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2024\3. CTCU WF-BLE\"/>
    </mc:Choice>
  </mc:AlternateContent>
  <xr:revisionPtr revIDLastSave="0" documentId="13_ncr:1_{5D1D5A35-82C1-4DD2-8FA1-739594255A40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heet1" sheetId="1" r:id="rId1"/>
    <sheet name="Tụ hóa đầu vào" sheetId="9" state="hidden" r:id="rId2"/>
    <sheet name="Snubber" sheetId="6" state="hidden" r:id="rId3"/>
    <sheet name="Biến áp" sheetId="10" r:id="rId4"/>
    <sheet name="Cuộn biến áp" sheetId="5" state="hidden" r:id="rId5"/>
    <sheet name="Diode xả" sheetId="11" state="hidden" r:id="rId6"/>
    <sheet name="Trở khởi động" sheetId="7" state="hidden" r:id="rId7"/>
    <sheet name="Nhiệt độ" sheetId="3" state="hidden" r:id="rId8"/>
    <sheet name="Dạng sóng làm việc" sheetId="4" state="hidden" r:id="rId9"/>
    <sheet name="Sheet3" sheetId="8" state="hidden" r:id="rId10"/>
    <sheet name="Sheet2" sheetId="2" state="hidden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0" l="1"/>
  <c r="C57" i="10"/>
  <c r="C56" i="10"/>
  <c r="D46" i="10"/>
  <c r="D29" i="10"/>
  <c r="D42" i="10"/>
  <c r="D35" i="10"/>
  <c r="D37" i="10" s="1"/>
  <c r="D40" i="10" s="1"/>
  <c r="F30" i="10"/>
  <c r="C27" i="10"/>
  <c r="D14" i="10"/>
  <c r="B14" i="10"/>
  <c r="D3" i="10"/>
  <c r="D14" i="9"/>
  <c r="D7" i="9"/>
  <c r="D9" i="9" s="1"/>
  <c r="D6" i="9"/>
  <c r="D8" i="9" s="1"/>
  <c r="D13" i="5" s="1"/>
  <c r="D17" i="5" s="1"/>
  <c r="D10" i="5"/>
  <c r="D12" i="5" s="1"/>
  <c r="D16" i="7"/>
  <c r="F16" i="7" s="1"/>
  <c r="F15" i="7"/>
  <c r="D14" i="7"/>
  <c r="D15" i="7"/>
  <c r="I7" i="6"/>
  <c r="I25" i="6"/>
  <c r="T24" i="6"/>
  <c r="T6" i="6"/>
  <c r="J55" i="1"/>
  <c r="H58" i="1"/>
  <c r="H59" i="1"/>
  <c r="H57" i="1"/>
  <c r="J43" i="1"/>
  <c r="K46" i="1" s="1"/>
  <c r="V43" i="1"/>
  <c r="Q30" i="1"/>
  <c r="Q29" i="1"/>
  <c r="J18" i="1"/>
  <c r="L25" i="1" s="1"/>
  <c r="J17" i="1"/>
  <c r="E63" i="10" l="1"/>
  <c r="D31" i="10"/>
  <c r="D32" i="10" s="1"/>
  <c r="D5" i="10"/>
  <c r="P38" i="1"/>
  <c r="B2" i="8" s="1"/>
  <c r="J44" i="1"/>
  <c r="L24" i="1"/>
  <c r="L26" i="1" s="1"/>
  <c r="L27" i="1" s="1"/>
  <c r="J23" i="1"/>
  <c r="D15" i="9"/>
  <c r="D17" i="9" s="1"/>
  <c r="D18" i="9" s="1"/>
  <c r="D52" i="10" l="1"/>
  <c r="D48" i="10"/>
  <c r="D2" i="10"/>
  <c r="D6" i="10" s="1"/>
  <c r="D8" i="10" s="1"/>
  <c r="B19" i="10" s="1"/>
  <c r="D26" i="10" s="1"/>
  <c r="D20" i="9"/>
  <c r="D19" i="9"/>
  <c r="D27" i="10" l="1"/>
  <c r="D43" i="10"/>
  <c r="D44" i="10" s="1"/>
  <c r="D53" i="10" s="1"/>
  <c r="C59" i="10" s="1"/>
  <c r="B18" i="10"/>
  <c r="E64" i="10" l="1"/>
  <c r="E65" i="10" s="1"/>
  <c r="E66" i="10" s="1"/>
  <c r="C62" i="10"/>
</calcChain>
</file>

<file path=xl/sharedStrings.xml><?xml version="1.0" encoding="utf-8"?>
<sst xmlns="http://schemas.openxmlformats.org/spreadsheetml/2006/main" count="510" uniqueCount="349">
  <si>
    <t>Kênh 1</t>
  </si>
  <si>
    <t>Kênh 2</t>
  </si>
  <si>
    <t>Cầu Diode</t>
  </si>
  <si>
    <t>Tụ hóa đầu vào</t>
  </si>
  <si>
    <t>Relay 1</t>
  </si>
  <si>
    <t>Relay 2</t>
  </si>
  <si>
    <t>Relay 3</t>
  </si>
  <si>
    <t>Relay 4</t>
  </si>
  <si>
    <t>Môi trường</t>
  </si>
  <si>
    <t>IC nguồn</t>
  </si>
  <si>
    <t>Diode xả</t>
  </si>
  <si>
    <t>Cuộn biến áp</t>
  </si>
  <si>
    <t>Tụ 5V (1)</t>
  </si>
  <si>
    <t>Tụ 5V(2)</t>
  </si>
  <si>
    <t>Cuộn lọc</t>
  </si>
  <si>
    <t>IC LDO</t>
  </si>
  <si>
    <t>Tụ 3.3V</t>
  </si>
  <si>
    <t>25 độ 
(Có vỏ)</t>
  </si>
  <si>
    <t>50 độ 
(Có vỏ)</t>
  </si>
  <si>
    <t>Nút 1</t>
  </si>
  <si>
    <t>Nút 2</t>
  </si>
  <si>
    <t>Nút 3</t>
  </si>
  <si>
    <t>Nút 4</t>
  </si>
  <si>
    <t>1 x Kính 2mm</t>
  </si>
  <si>
    <t>2 x Kính 2mm</t>
  </si>
  <si>
    <t>1x Mica 3mm</t>
  </si>
  <si>
    <t>1x Mica 2mm</t>
  </si>
  <si>
    <t>OK</t>
  </si>
  <si>
    <t>Kém nhạy</t>
  </si>
  <si>
    <t>X</t>
  </si>
  <si>
    <t>Kiểm tra độ nhạy từng nút (Tụ 1.9pF // Tụ 1.9pF)</t>
  </si>
  <si>
    <r>
      <t xml:space="preserve">- Tại nhiệt độ 50 độ C, điện áp 220VAC, Nút số 3 trên CTCU 4 nút xuất hiện hiện tượng tự bật nút.
</t>
    </r>
    <r>
      <rPr>
        <sz val="11"/>
        <color rgb="FFFF0000"/>
        <rFont val="Calibri"/>
        <family val="2"/>
        <scheme val="minor"/>
      </rPr>
      <t xml:space="preserve"> - 60 phút, Tự nhảy nút 3 lần với tụ 1.9pF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- 60 phút, Bình thường với 2 x Tụ 1.9pF</t>
    </r>
    <r>
      <rPr>
        <sz val="11"/>
        <color theme="1"/>
        <rFont val="Calibri"/>
        <family val="2"/>
        <scheme val="minor"/>
      </rPr>
      <t xml:space="preserve">
(Nhiệt độ tăng --&gt; Giá trị tụ của nút cảm ứng giảm --&gt; độ nhạy tăng --&gt; tự bật nút)</t>
    </r>
  </si>
  <si>
    <t>Kiểm tra độ nhạy từng nút (Tụ 1.9pF)</t>
  </si>
  <si>
    <t>- Kém nhạy</t>
  </si>
  <si>
    <t>Kết Luận:</t>
  </si>
  <si>
    <r>
      <t xml:space="preserve">Trong quá trình kiểm tra nhiệt độ 180p  xuất-hiện hiện-tượng tự động nhảy nút số 3
</t>
    </r>
    <r>
      <rPr>
        <sz val="11"/>
        <color rgb="FFFF0000"/>
        <rFont val="Calibri"/>
        <family val="2"/>
        <scheme val="minor"/>
      </rPr>
      <t xml:space="preserve"> - 60 phút, Tự nhảy nút 1 lần với tụ 1.9pF
- 60 phút, Bình thường với 2 x Tụ 1.9pF</t>
    </r>
  </si>
  <si>
    <t>- Nhấn giữ lâu hơn các nút 1 , 2, 4 để nhận diện thao tác, thời gian nhận cảm ứng 50-80mS.
- Thường xuyên bị miss cảm ứng tại nút số 3 (Trong cả hai chế độ FastMode và Lowpower Mode) khi thử nghiệm với Driver. Không gặp trường hợp miss cảm ứng khi thử với nguồn chuẩn DC
- Thời gian xử lý cảm ứng chậm hơn IC SGL8022K. Có khoảng Delay 200-600mS giữa hai hoặc nhiều lần nhấn liên tiếp.
- Giá trị tụ điện điều chỉnh độ nhạy:
     + Nằm trong khoảng 1-6pF để có thể ấn nút cảm ứng.
     + Giá trị tụ điện điều chỉnh độ nhạy &gt;= 7pF gây ra tình trạng đơ / kém nhạy trên nút.
     + Giá trị tụ = 0pF, Nút cảm ứng hoạt động không ổn định, tự động bật/tắt nút số 3 (Vị trí gần cuồn biến áp) khi nhiệt độ tăng cao. 
     + Giá trị tụ = 1.9pF, Nút cảm ứng hoạt động không ổn định, tự động bật/tắt nút số 3 (Vị trí gần cuồn biến áp) khi nhiệt độ tăng cao. 
     + Giá trị tụ = 3.9pF, Nút cảm ứng hoạt động không ổn định, nút số 3 (Vị trí gần cuồn biến áp) kém nhạy, thường xuyên miss cảm ứng. 
- ĐIều kiện độ ẩm không ảnh hưởng tới độ nhạy nút cảm ứng.
- Điều kiện nhiệt độ môi trường ảnh hưởng tới độ nhạy cảm ứng của nút theo hướng tăng lên. (Trường hợp Driver và nguồn chuẩn DC)
- Trường hợp đặc biệt: Bật nút 1, 2, 3, 4. Sau đó lần lượt tắt các nút 1, 2, 4. Nút số 3 sẽ bị đơ cảm ứng trong khoảng thời gian 2-3s khi thử nghiệm với Driver (Xảy ra ngẫu nhiên, không có khoảng thời gian cụ thể). Không gặp khi thử với nguồn chuẩn DC</t>
  </si>
  <si>
    <t>- Diện tích tiếp xúc với nút cảm ứng yêu cầu lớn hơn so với ic SGL8022K'</t>
  </si>
  <si>
    <t>- Thời gian xử lý cảm ứng chậm hơn IC SGL8022K. Có khoảng Delay 200-600mS giữa hai hoặc nhiều lần nhấn liên tiếp.</t>
  </si>
  <si>
    <t>SGL</t>
  </si>
  <si>
    <t>65-82ms</t>
  </si>
  <si>
    <t>ttp</t>
  </si>
  <si>
    <t>90-120ms</t>
  </si>
  <si>
    <t>- tự bật/tắt
(nhiễu cảm ứng)</t>
  </si>
  <si>
    <t>NS</t>
  </si>
  <si>
    <t>Naux</t>
  </si>
  <si>
    <t>Vd</t>
  </si>
  <si>
    <t>Vòng</t>
  </si>
  <si>
    <t>Volt</t>
  </si>
  <si>
    <t>Vo</t>
  </si>
  <si>
    <t>Vfb_ref</t>
  </si>
  <si>
    <t>RfbH</t>
  </si>
  <si>
    <t>RfbL</t>
  </si>
  <si>
    <t>Rcs</t>
  </si>
  <si>
    <t>Ipk</t>
  </si>
  <si>
    <t>A</t>
  </si>
  <si>
    <t>Io</t>
  </si>
  <si>
    <t>Dòng peak</t>
  </si>
  <si>
    <t>Maximum Forward voltage</t>
  </si>
  <si>
    <t>V.max</t>
  </si>
  <si>
    <t>V.min</t>
  </si>
  <si>
    <t>V.rms</t>
  </si>
  <si>
    <t>%ripple +</t>
  </si>
  <si>
    <t>%Ripple -</t>
  </si>
  <si>
    <t>Ripple đầu ra 5V
- Tụ hóa đầu ra 10V/470uF</t>
  </si>
  <si>
    <t>PIV</t>
  </si>
  <si>
    <t>Fmax</t>
  </si>
  <si>
    <t xml:space="preserve">Tụ hóa đầu vào </t>
  </si>
  <si>
    <t>IC nguồn S7133S</t>
  </si>
  <si>
    <t>Tụ hóa đầu ra</t>
  </si>
  <si>
    <t>Trở Snubber</t>
  </si>
  <si>
    <t>Tụ film vcc</t>
  </si>
  <si>
    <t>Cầu chì</t>
  </si>
  <si>
    <t>Nhiệt độ môi trường</t>
  </si>
  <si>
    <t>300 V</t>
  </si>
  <si>
    <t xml:space="preserve"> Vds.max = 480V;
Ids.max = 296mA</t>
  </si>
  <si>
    <t>Điều kiện thử nghiệm</t>
  </si>
  <si>
    <t>Hoạt động bình thường</t>
  </si>
  <si>
    <t>Khởi động</t>
  </si>
  <si>
    <t>301 V</t>
  </si>
  <si>
    <t>Điện áp trên K-A của Diode đầu ra (V.ak) và dòng điện qua Diode (I.ak)
(@50oC, tải max 359mA)</t>
  </si>
  <si>
    <t xml:space="preserve"> Vka.rrm.max = 34.4V;
Iak.max = 3.12A</t>
  </si>
  <si>
    <t>Vka.rrm = 31.2V;
 Iak.max = 3.04A</t>
  </si>
  <si>
    <t>Vka.rrm = 47.2V;
 Iak.max = 3.04A</t>
  </si>
  <si>
    <t xml:space="preserve"> Vka.rrm.max = 45.6V;
Iak.max = 3.12A</t>
  </si>
  <si>
    <t xml:space="preserve"> Vka.rrm.max = 52.8V;
Iak.max = 3.28A</t>
  </si>
  <si>
    <t xml:space="preserve"> Vka.rrm.max = 56.8V;
Iak.max = 3.28A</t>
  </si>
  <si>
    <t>Điện áp trên D-S của Mosfet (Vds) và dòng điện qua Mosfet (Ids)
(@50oC, tải max 360mA)</t>
  </si>
  <si>
    <t>Vka.rrm = 52V;
 Iak.max = 3.12A</t>
  </si>
  <si>
    <t>Điện áp trên D-S của Mosfet (Vds) và dòng điện qua Mosfet (Ids)
(@80oC, tải max 360mA)</t>
  </si>
  <si>
    <t>Điện áp trên K-A của Diode đầu ra (V.ak) và dòng điện qua Diode (I.ak)
(@80oC, tải max 359mA)</t>
  </si>
  <si>
    <t>(@50oC, tải max 360mA)</t>
  </si>
  <si>
    <t>Điện áp</t>
  </si>
  <si>
    <t>Vka.rrm = 60.6V;
 Iak.max = 3.20A</t>
  </si>
  <si>
    <t xml:space="preserve"> Ids.max = 324mA</t>
  </si>
  <si>
    <t xml:space="preserve"> Ids.max = 312mA</t>
  </si>
  <si>
    <t xml:space="preserve"> Ids.max = 304mA</t>
  </si>
  <si>
    <t xml:space="preserve"> Ids.max = 288mA</t>
  </si>
  <si>
    <t>Vka.rrm = 33.6V;
 Iak.max = 3.52A</t>
  </si>
  <si>
    <t>Vka.rrm = 46.4V;
 Iak.max = 3.36A</t>
  </si>
  <si>
    <t>Vka.rrm = 52V;
 Iak.max = 3.60A</t>
  </si>
  <si>
    <t>Vka.rrm = 59.2V;
 Iak.max = 3.76A</t>
  </si>
  <si>
    <t xml:space="preserve"> Vka.rrm.max = 60V;
Iak.max = 3.52A</t>
  </si>
  <si>
    <t xml:space="preserve"> Vka.rrm.max = 51.2V;
Iak.max = 3.36A</t>
  </si>
  <si>
    <t xml:space="preserve"> Vka.rrm.max = 46.4V;
Iak.max = 3.36A</t>
  </si>
  <si>
    <t xml:space="preserve"> Vka.rrm.max = 32.0V;
Iak.max = 3.28A</t>
  </si>
  <si>
    <t>Vds.rms = 215V; Vds.max = 384V;
F.max = 48.08kHz; Ton = 1.6uS
Ids.rms = 53.0mA; Ids.max = 272mA</t>
  </si>
  <si>
    <t>Vds.rms = 313V; Vds.max = 480V;
F.max = 50.00kHz; Ton = 1.2uS
Ids.rms = 49.5mA; Ids.max = 288mA</t>
  </si>
  <si>
    <t>Vds.rms = 356V; Vds.max = 536V;
F.max = 45.45kHz; Ton =0.8uS
Ids.rms = 46.8mA; Ids.max = 304mA</t>
  </si>
  <si>
    <t>Vds.rms = 423V; Vds.max = 600V;
F.max = 43.1kHz; Ton = 0.8uS
Ids.rms = 39.9mA; Ids.max = 304mA</t>
  </si>
  <si>
    <t xml:space="preserve"> Vds.max = 592V;
Ids.max = 312mA</t>
  </si>
  <si>
    <t xml:space="preserve"> Vds.max = 520V;
Ids.max = 296mA</t>
  </si>
  <si>
    <t xml:space="preserve"> Vds.max = 376V;
Ids.max = 280mA</t>
  </si>
  <si>
    <t>Tụ FilmVCC</t>
  </si>
  <si>
    <t>Tụ Film VCC</t>
  </si>
  <si>
    <t>- Tại vị trí trở Snubber, đang sử dung 01 điện trở dán 220K/1206/10%/0.25W, nhiệt độ hoạt động của điện trở đang ở mức 64.8-68.2oC (@50oC) và 64.8-68.2oC (@80oC)</t>
  </si>
  <si>
    <t>Vds.rms = 300V; Vds.max = 480V;
F.max = 49.05kHz; ton=1.2uS
Ids.rms = 47.8mA; Ids.max = 288mA</t>
  </si>
  <si>
    <t>Vds.rms = 417V; Vds.max = 592V;
F.max = 45.72kHz; ton=0.8uS
Ids.rms = 38.2mA; Ids.max = 304mA</t>
  </si>
  <si>
    <t>Vds.rms = 350V; Vds.max = 528V;
F.max = 45.91kHz; ton=1.2uS
Ids.rms = 41.5mA; Ids.max = 296mA</t>
  </si>
  <si>
    <t>Vds.rms = 216V; Vds.max = 392V;
F.max = 51.2kHz; ton=1.6uS
Ids.rms = 53.0mA; Ids.max = 272mA</t>
  </si>
  <si>
    <t>Trở 220K/1206</t>
  </si>
  <si>
    <t>Trở 1M/1206</t>
  </si>
  <si>
    <t>V.spike = 144V</t>
  </si>
  <si>
    <t>V.Spike = 220V</t>
  </si>
  <si>
    <t>Trở 150K/1206</t>
  </si>
  <si>
    <t>V.spike = 128V</t>
  </si>
  <si>
    <t>Trở 150K/1206 // 150K/1206</t>
  </si>
  <si>
    <t>V.spike = 104V</t>
  </si>
  <si>
    <t>Thay đổi giá trị tụ không thay đổi giá trị biên độ của Vspike</t>
  </si>
  <si>
    <t>tụ 100p/1206/1kV</t>
  </si>
  <si>
    <t>tụ 1 np/1206/1kV</t>
  </si>
  <si>
    <t>Điện áp rơi trên hai đầu của trở khởi động Rx</t>
  </si>
  <si>
    <t>V(R.start).max = 296V
V(R.start).min = 276V</t>
  </si>
  <si>
    <t>V(R.start).max = 344V
V(R.start).min = 320V</t>
  </si>
  <si>
    <t>V(R.start).max = 416V
V(R.start).min = 392V</t>
  </si>
  <si>
    <t>V(R.start).max = 200V
V(R.start).min = 168V</t>
  </si>
  <si>
    <t>P.r=</t>
  </si>
  <si>
    <t>Điện áp rơi trên trở/cụm trở khởi động dao động từ 400V-152V
Dòng điện lớn nhất để khởi động IC: 5uA
Dòng điện trung bình để duy trì IC: 0.5mA
Điện áp làm việc cực đại trên trở 1206: 200V</t>
  </si>
  <si>
    <t>V</t>
  </si>
  <si>
    <t>Điện áp khởi động (Vcc_on - 1V)</t>
  </si>
  <si>
    <t>Điện áp bật (Vcc_on)</t>
  </si>
  <si>
    <t>uA</t>
  </si>
  <si>
    <t>Điện trở hạ áp</t>
  </si>
  <si>
    <t xml:space="preserve">Điện áp Max </t>
  </si>
  <si>
    <t>dòng khởi động Max</t>
  </si>
  <si>
    <t>Ohm</t>
  </si>
  <si>
    <t>M.Ohm</t>
  </si>
  <si>
    <t>STT</t>
  </si>
  <si>
    <t>Thông số</t>
  </si>
  <si>
    <t>Diện tích mặt cắt ngang</t>
  </si>
  <si>
    <t>Vùng quấn dây</t>
  </si>
  <si>
    <t>Mật độ từ thẩm bão hòa</t>
  </si>
  <si>
    <t>Ký hiệu</t>
  </si>
  <si>
    <t>𝐴_𝑒</t>
  </si>
  <si>
    <t>A_w</t>
  </si>
  <si>
    <t>B_sat</t>
  </si>
  <si>
    <t>Giá trị</t>
  </si>
  <si>
    <t>Đơn vị</t>
  </si>
  <si>
    <t>Thường chọn 0.3 - 0.35T</t>
  </si>
  <si>
    <t>mm2</t>
  </si>
  <si>
    <t>Ghi chú</t>
  </si>
  <si>
    <t>V (Volt)</t>
  </si>
  <si>
    <t>Điện áp đầu ra cho yêu cầu thiết kế</t>
  </si>
  <si>
    <t>Điện áp thực tế tính theo Datasheet IC S7133S</t>
  </si>
  <si>
    <t>Vout</t>
  </si>
  <si>
    <t>Dđiện áp so sánh FB</t>
  </si>
  <si>
    <t>Vfb_Ref</t>
  </si>
  <si>
    <t>Điện trở FB trên</t>
  </si>
  <si>
    <t>Điện trở FB dưới</t>
  </si>
  <si>
    <t>Rfb_H</t>
  </si>
  <si>
    <t>Rfb_L</t>
  </si>
  <si>
    <t>Số vòng dây sơ cấp</t>
  </si>
  <si>
    <t>Số vòng dây thứ cấp</t>
  </si>
  <si>
    <t>Số vòng dây nguồn phụ</t>
  </si>
  <si>
    <t>Điện áp dẫn của Diode đầu ra</t>
  </si>
  <si>
    <t>Vak</t>
  </si>
  <si>
    <t>Điện áp ngược của Diode đầu ra</t>
  </si>
  <si>
    <t>Vrrm</t>
  </si>
  <si>
    <t>Iout.max</t>
  </si>
  <si>
    <r>
      <t>A (</t>
    </r>
    <r>
      <rPr>
        <b/>
        <i/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mpe)</t>
    </r>
  </si>
  <si>
    <r>
      <t>V (</t>
    </r>
    <r>
      <rPr>
        <b/>
        <i/>
        <sz val="11"/>
        <color rgb="FFFF000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olt)</t>
    </r>
  </si>
  <si>
    <r>
      <t>T (</t>
    </r>
    <r>
      <rPr>
        <b/>
        <i/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esla)</t>
    </r>
  </si>
  <si>
    <t>Pout.max</t>
  </si>
  <si>
    <r>
      <t>W (</t>
    </r>
    <r>
      <rPr>
        <b/>
        <i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att)</t>
    </r>
  </si>
  <si>
    <t>Công suất đầu ra lớn nhất (mong muốn)</t>
  </si>
  <si>
    <t>Dòng điện đầu ra lớn nhất 
(mong muốn)</t>
  </si>
  <si>
    <t>Điện áp đầu ra (mong muốn)</t>
  </si>
  <si>
    <t>Pout.max = Vo * Iout.max</t>
  </si>
  <si>
    <t>Hiệu suất chuyển đổi</t>
  </si>
  <si>
    <t>E_ff</t>
  </si>
  <si>
    <t>%</t>
  </si>
  <si>
    <t>Công suất đầu vào lớn nhất</t>
  </si>
  <si>
    <t>Pin.max</t>
  </si>
  <si>
    <t>Pin.max = Pout.max*100/E_ff</t>
  </si>
  <si>
    <t>VDC.min</t>
  </si>
  <si>
    <t>Vac.max</t>
  </si>
  <si>
    <t>Điện áp AC đầu vào max</t>
  </si>
  <si>
    <t>Điện áp AC đầu vào định mức</t>
  </si>
  <si>
    <t>Điện áp AC đầu vào min</t>
  </si>
  <si>
    <t>Vac</t>
  </si>
  <si>
    <t>Vac.min</t>
  </si>
  <si>
    <t>Vac.rated</t>
  </si>
  <si>
    <r>
      <t>VAC (</t>
    </r>
    <r>
      <rPr>
        <b/>
        <i/>
        <sz val="11"/>
        <color rgb="FFFF0000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olt)</t>
    </r>
  </si>
  <si>
    <t>Điện áp DC đầu vào nhỏ nhất
(Minimum input DC link voltage)</t>
  </si>
  <si>
    <t>Tần số làm việc</t>
  </si>
  <si>
    <t>Hz</t>
  </si>
  <si>
    <t>Hệ số gợn sóng</t>
  </si>
  <si>
    <t>K_rf</t>
  </si>
  <si>
    <t>F_s</t>
  </si>
  <si>
    <t>--</t>
  </si>
  <si>
    <t xml:space="preserve"> Nếu mạch hoạt động ở chế độ DCM, chọn hệ số = 1
Nếu mạch hoạt động ở chế độ CCM, chọn hệ số &lt; 1 theo 2 tiêu chí sau:
+ 0.3 ÷ 0.5 cho dải đầu vào (85÷265)V (phổ thông)
+ 0.4 ÷ 0.8 cho dải đầu vào (195÷265)V (Châu Âu)</t>
  </si>
  <si>
    <t>Điện dung cuộn dây sơ cấp</t>
  </si>
  <si>
    <t>Lm</t>
  </si>
  <si>
    <t>Chu trình làm việc lớn nhất</t>
  </si>
  <si>
    <t>D_max</t>
  </si>
  <si>
    <t>giá trị</t>
  </si>
  <si>
    <t>đơn vị</t>
  </si>
  <si>
    <t>V_ac.min</t>
  </si>
  <si>
    <t>V_ac.max</t>
  </si>
  <si>
    <t>V_dc.min.pk</t>
  </si>
  <si>
    <t>V_dc.max.pk</t>
  </si>
  <si>
    <t>VDC</t>
  </si>
  <si>
    <t xml:space="preserve"> V_dc.min.pk = V_ac.min * Sqrt(2)</t>
  </si>
  <si>
    <t xml:space="preserve"> V_dc.max.pk = V_ac.max * Sqrt(2)</t>
  </si>
  <si>
    <t>Điện áp đỉnh DC đầu vào min</t>
  </si>
  <si>
    <t>Điện áp đỉnh DC đầu vào max</t>
  </si>
  <si>
    <t>Điện áp DC đầu vào min</t>
  </si>
  <si>
    <t>Điện áp DC đầu vào max</t>
  </si>
  <si>
    <t>V_dc.min</t>
  </si>
  <si>
    <t>V_dc.max</t>
  </si>
  <si>
    <t>Điện áp rơi trên cầu Diode</t>
  </si>
  <si>
    <t>V_d</t>
  </si>
  <si>
    <t>Ripple điện áp DC</t>
  </si>
  <si>
    <t>Ripple</t>
  </si>
  <si>
    <t>V_dc.min = V_dc.min.pk - (V_dc.min.pk*Ripple)/(2*100) - 2*V_d</t>
  </si>
  <si>
    <t>V_dc.max = V_dc.max.pk - (V_dc.max.pk*Ripple)/(2*100) - 2*V_d</t>
  </si>
  <si>
    <t>Điện áp đầu ra</t>
  </si>
  <si>
    <t>Điện áp đầu ra max</t>
  </si>
  <si>
    <t>Công suất đầu ra max</t>
  </si>
  <si>
    <t>Hiệu suất chuyển đổi max</t>
  </si>
  <si>
    <t>Công suất đầu vào max</t>
  </si>
  <si>
    <t>V_out.max</t>
  </si>
  <si>
    <t>I_out.max</t>
  </si>
  <si>
    <t>P_out.max</t>
  </si>
  <si>
    <t>W</t>
  </si>
  <si>
    <t>n</t>
  </si>
  <si>
    <t>P_in.max</t>
  </si>
  <si>
    <t>P_in.max = P_out.max*100/n</t>
  </si>
  <si>
    <t>P_out.max = V_out.max*I_out.max</t>
  </si>
  <si>
    <t>Năng lượng đầu vào tương ứng với công suất đầu vào lớn nhất</t>
  </si>
  <si>
    <t>Tần số hoạt động min</t>
  </si>
  <si>
    <t>Tần số hoạt động max</t>
  </si>
  <si>
    <t>F_min</t>
  </si>
  <si>
    <t>F_max</t>
  </si>
  <si>
    <t>E_in.max</t>
  </si>
  <si>
    <r>
      <t>J (</t>
    </r>
    <r>
      <rPr>
        <b/>
        <i/>
        <sz val="11"/>
        <color rgb="FFFF0000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oule)</t>
    </r>
  </si>
  <si>
    <t>E_in.max = P_in.max/(2*F_min)</t>
  </si>
  <si>
    <t>Cmax</t>
  </si>
  <si>
    <t>uF</t>
  </si>
  <si>
    <t>Giá trị tụ đầu vào max</t>
  </si>
  <si>
    <t>Giá trị tụ đầu vào min</t>
  </si>
  <si>
    <t>Cmin</t>
  </si>
  <si>
    <t>Cmax = 10^6*((2*E_in.max)/(V_dc.min.pk^2-V_dc.min^2))</t>
  </si>
  <si>
    <t>Cmin = 10^6*((2*E_in.max)/(V_dc.max.pk^2-V_dc.max^2))</t>
  </si>
  <si>
    <t>-&gt;</t>
  </si>
  <si>
    <t>Lựa chọn giá trị phù hợp của tụ nằm trong dải.
Lưu ý: tụ có giá trị càng lớn, kích thước tụ càng lớn, và Ripple của điện áp càng được giảm thiểu</t>
  </si>
  <si>
    <t>C_DC.in</t>
  </si>
  <si>
    <t>lựa chọn độ gợn sóng mong muốn, độ gợn càng thấp, giá trị tụ điện càng cao</t>
  </si>
  <si>
    <t>mH (Henry)</t>
  </si>
  <si>
    <t>Tính độ tự cảm theo công thức trong Datasheet IC S7133S</t>
  </si>
  <si>
    <t>tần số hoạt động lớn nhất</t>
  </si>
  <si>
    <t>kHz</t>
  </si>
  <si>
    <t>Dòng điện đỉnh</t>
  </si>
  <si>
    <t>I_pk</t>
  </si>
  <si>
    <t>L_p</t>
  </si>
  <si>
    <t>mH</t>
  </si>
  <si>
    <t>Công suất đầu ra max (an toàn)</t>
  </si>
  <si>
    <t>Dòng điện đầu ra lớn nhất (an toàn)</t>
  </si>
  <si>
    <t>Vậy chọn độ tự cảm của cuộn Sơ cấp với giá trị</t>
  </si>
  <si>
    <t>==&gt;</t>
  </si>
  <si>
    <t>Độ tự cảm cuộn sơ cấp</t>
  </si>
  <si>
    <t xml:space="preserve">Dòng điện đầu ra tối đa I_out.peak= I_out.max / 80% </t>
  </si>
  <si>
    <t>công suất peak trên trở</t>
  </si>
  <si>
    <t>dòng liên tục thứ cấp</t>
  </si>
  <si>
    <t>Chọn giá trị tần số hoạt động tối đa cho IC S7133S, theo giá trị trong Report của hãng Semiconductor</t>
  </si>
  <si>
    <t xml:space="preserve">Dòng điện đầu ra tối đa </t>
  </si>
  <si>
    <t xml:space="preserve">I_out.peak= I_out.max / 80% </t>
  </si>
  <si>
    <t>I_out.peak</t>
  </si>
  <si>
    <t>D</t>
  </si>
  <si>
    <t>C</t>
  </si>
  <si>
    <t>A_e</t>
  </si>
  <si>
    <t>Bsat</t>
  </si>
  <si>
    <t>I_over</t>
  </si>
  <si>
    <t>N_p.min</t>
  </si>
  <si>
    <t>mm</t>
  </si>
  <si>
    <t>Chọn EE13/12C</t>
  </si>
  <si>
    <t>Lựa chọn Lõi từ, số vòng cho các cuộn dây</t>
  </si>
  <si>
    <t>Vậy số vòng dây (lý thuyết) min cần chọn là 108 vòng</t>
  </si>
  <si>
    <t>Lấy điện áp đầu ra 5V (lý thuyết) để làm giá trị gốc trong việc tính toán các giá trị khác</t>
  </si>
  <si>
    <t>Số vòng cuộn dây sơ cấp nhỏ nhất (lý thuyết)</t>
  </si>
  <si>
    <t>vòng</t>
  </si>
  <si>
    <t>Ns</t>
  </si>
  <si>
    <t>Vds.max</t>
  </si>
  <si>
    <t>Vds.pk</t>
  </si>
  <si>
    <t>Điện áp tối đa trên mosfet</t>
  </si>
  <si>
    <t>Vref</t>
  </si>
  <si>
    <t>80%Vds.peak</t>
  </si>
  <si>
    <t>Điện áp hoạt động an toàn trên Moset nằm trong khoảng 80%</t>
  </si>
  <si>
    <t>%Điện áp dđột biết do tụ ký sinh</t>
  </si>
  <si>
    <t>%Spike</t>
  </si>
  <si>
    <t>Tỉ lệ cuộn dây Sơ cấp / Thứ cấp</t>
  </si>
  <si>
    <t>Reflected Voltage 
Điện áp trên cuộn sơ cấp</t>
  </si>
  <si>
    <t>dòng hoạt động của IC</t>
  </si>
  <si>
    <t>chọn 1 trở hạn dòng vào VCC</t>
  </si>
  <si>
    <t>Điện áp trên trở</t>
  </si>
  <si>
    <t>--&gt; điện áp trên cuộn phụ</t>
  </si>
  <si>
    <t>Chọn điện áp hoạt động</t>
  </si>
  <si>
    <t>Cuộn thứ cấp</t>
  </si>
  <si>
    <t>Cuộn nguồn VCC</t>
  </si>
  <si>
    <t>Điện áp trên Diode VCC</t>
  </si>
  <si>
    <t>Điện áp trên Diode đầu ra</t>
  </si>
  <si>
    <t>Số vòng cuộn nguồn nuôi</t>
  </si>
  <si>
    <t>V_Aux</t>
  </si>
  <si>
    <t>V.ak.out</t>
  </si>
  <si>
    <t>V.out</t>
  </si>
  <si>
    <t>N.Aux</t>
  </si>
  <si>
    <t>Vcc</t>
  </si>
  <si>
    <t>V.ak.Vcc</t>
  </si>
  <si>
    <t>I(Vcc)</t>
  </si>
  <si>
    <t>R(Vcc)</t>
  </si>
  <si>
    <t>V.R(Vcc)</t>
  </si>
  <si>
    <t>tỉ lệ</t>
  </si>
  <si>
    <t>thử nghiệm cuộn biến áp thực tế</t>
  </si>
  <si>
    <t>Độ tự cảm sơ cấp</t>
  </si>
  <si>
    <t>Số vòng cuộn sơ cấp</t>
  </si>
  <si>
    <t>N_p</t>
  </si>
  <si>
    <t>Số vòng cuộn thứ cấp</t>
  </si>
  <si>
    <t>N_s</t>
  </si>
  <si>
    <t>Số vòng cuộn nguồn VCC</t>
  </si>
  <si>
    <t>N_Aux</t>
  </si>
  <si>
    <t>Dòng điện quá tải trên đầu ra thứ cấp</t>
  </si>
  <si>
    <t>Số vòng trên cuộn thứ cấp (Min)</t>
  </si>
  <si>
    <t>Chọn số vòng dây trên cuộn sơ cấp</t>
  </si>
  <si>
    <t>Số vòng dây tối đa trên cuộn thứ cấp</t>
  </si>
  <si>
    <t>N_s.max</t>
  </si>
  <si>
    <t xml:space="preserve"> vòng  (&gt;107 vòng)</t>
  </si>
  <si>
    <t>lựa chọn số vòng trên cuộn dây thứ cấp &gt; 14 vòng</t>
  </si>
  <si>
    <t>Vậy số vòng trên cuộn Aux</t>
  </si>
  <si>
    <t>Tính điện áp đầu 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</si>
</sst>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2" borderId="0" xfId="0" quotePrefix="1" applyNumberFormat="1" applyFill="1"/>
    <xf numFmtId="0" fontId="0" fillId="2" borderId="0" xfId="0" applyFill="1"/>
    <xf numFmtId="49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2" fillId="8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wrapText="1"/>
    </xf>
    <xf numFmtId="2" fontId="0" fillId="2" borderId="0" xfId="0" applyNumberFormat="1" applyFill="1" applyAlignment="1">
      <alignment horizontal="center" vertical="center"/>
    </xf>
    <xf numFmtId="0" fontId="0" fillId="0" borderId="0" xfId="0" quotePrefix="1" applyAlignment="1">
      <alignment horizontal="left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8" borderId="0" xfId="0" applyFill="1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7" Type="http://schemas.openxmlformats.org/officeDocument/2006/relationships/image" Target="../media/image2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7.png"/><Relationship Id="rId5" Type="http://schemas.openxmlformats.org/officeDocument/2006/relationships/image" Target="../media/image9.png"/><Relationship Id="rId4" Type="http://schemas.openxmlformats.org/officeDocument/2006/relationships/image" Target="../media/image2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45.png"/><Relationship Id="rId18" Type="http://schemas.openxmlformats.org/officeDocument/2006/relationships/image" Target="../media/image50.png"/><Relationship Id="rId26" Type="http://schemas.openxmlformats.org/officeDocument/2006/relationships/image" Target="../media/image58.png"/><Relationship Id="rId3" Type="http://schemas.openxmlformats.org/officeDocument/2006/relationships/image" Target="../media/image35.png"/><Relationship Id="rId21" Type="http://schemas.openxmlformats.org/officeDocument/2006/relationships/image" Target="../media/image53.png"/><Relationship Id="rId34" Type="http://schemas.openxmlformats.org/officeDocument/2006/relationships/image" Target="../media/image66.png"/><Relationship Id="rId7" Type="http://schemas.openxmlformats.org/officeDocument/2006/relationships/image" Target="../media/image39.png"/><Relationship Id="rId12" Type="http://schemas.openxmlformats.org/officeDocument/2006/relationships/image" Target="../media/image44.png"/><Relationship Id="rId17" Type="http://schemas.openxmlformats.org/officeDocument/2006/relationships/image" Target="../media/image49.png"/><Relationship Id="rId25" Type="http://schemas.openxmlformats.org/officeDocument/2006/relationships/image" Target="../media/image57.png"/><Relationship Id="rId33" Type="http://schemas.openxmlformats.org/officeDocument/2006/relationships/image" Target="../media/image65.png"/><Relationship Id="rId2" Type="http://schemas.openxmlformats.org/officeDocument/2006/relationships/image" Target="../media/image34.png"/><Relationship Id="rId16" Type="http://schemas.openxmlformats.org/officeDocument/2006/relationships/image" Target="../media/image48.png"/><Relationship Id="rId20" Type="http://schemas.openxmlformats.org/officeDocument/2006/relationships/image" Target="../media/image52.png"/><Relationship Id="rId29" Type="http://schemas.openxmlformats.org/officeDocument/2006/relationships/image" Target="../media/image61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11" Type="http://schemas.openxmlformats.org/officeDocument/2006/relationships/image" Target="../media/image43.png"/><Relationship Id="rId24" Type="http://schemas.openxmlformats.org/officeDocument/2006/relationships/image" Target="../media/image56.png"/><Relationship Id="rId32" Type="http://schemas.openxmlformats.org/officeDocument/2006/relationships/image" Target="../media/image64.png"/><Relationship Id="rId5" Type="http://schemas.openxmlformats.org/officeDocument/2006/relationships/image" Target="../media/image37.png"/><Relationship Id="rId15" Type="http://schemas.openxmlformats.org/officeDocument/2006/relationships/image" Target="../media/image47.png"/><Relationship Id="rId23" Type="http://schemas.openxmlformats.org/officeDocument/2006/relationships/image" Target="../media/image55.png"/><Relationship Id="rId28" Type="http://schemas.openxmlformats.org/officeDocument/2006/relationships/image" Target="../media/image60.png"/><Relationship Id="rId36" Type="http://schemas.openxmlformats.org/officeDocument/2006/relationships/image" Target="../media/image68.png"/><Relationship Id="rId10" Type="http://schemas.openxmlformats.org/officeDocument/2006/relationships/image" Target="../media/image42.png"/><Relationship Id="rId19" Type="http://schemas.openxmlformats.org/officeDocument/2006/relationships/image" Target="../media/image51.png"/><Relationship Id="rId31" Type="http://schemas.openxmlformats.org/officeDocument/2006/relationships/image" Target="../media/image63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Relationship Id="rId14" Type="http://schemas.openxmlformats.org/officeDocument/2006/relationships/image" Target="../media/image46.png"/><Relationship Id="rId22" Type="http://schemas.openxmlformats.org/officeDocument/2006/relationships/image" Target="../media/image54.png"/><Relationship Id="rId27" Type="http://schemas.openxmlformats.org/officeDocument/2006/relationships/image" Target="../media/image59.png"/><Relationship Id="rId30" Type="http://schemas.openxmlformats.org/officeDocument/2006/relationships/image" Target="../media/image62.png"/><Relationship Id="rId35" Type="http://schemas.openxmlformats.org/officeDocument/2006/relationships/image" Target="../media/image6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1.png"/><Relationship Id="rId2" Type="http://schemas.openxmlformats.org/officeDocument/2006/relationships/image" Target="../media/image70.png"/><Relationship Id="rId1" Type="http://schemas.openxmlformats.org/officeDocument/2006/relationships/image" Target="../media/image6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4</xdr:row>
      <xdr:rowOff>28575</xdr:rowOff>
    </xdr:from>
    <xdr:to>
      <xdr:col>16</xdr:col>
      <xdr:colOff>361232</xdr:colOff>
      <xdr:row>9</xdr:row>
      <xdr:rowOff>123694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EC1BB3-A278-5111-38CC-0129CBB13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790575"/>
          <a:ext cx="5742857" cy="10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9</xdr:row>
      <xdr:rowOff>150014</xdr:rowOff>
    </xdr:from>
    <xdr:to>
      <xdr:col>16</xdr:col>
      <xdr:colOff>361950</xdr:colOff>
      <xdr:row>15</xdr:row>
      <xdr:rowOff>183089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A8D079-3004-4BBC-6DCC-224A3554D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300" y="1864514"/>
          <a:ext cx="5686425" cy="1176075"/>
        </a:xfrm>
        <a:prstGeom prst="rect">
          <a:avLst/>
        </a:prstGeom>
      </xdr:spPr>
    </xdr:pic>
    <xdr:clientData/>
  </xdr:twoCellAnchor>
  <xdr:twoCellAnchor editAs="oneCell">
    <xdr:from>
      <xdr:col>17</xdr:col>
      <xdr:colOff>47625</xdr:colOff>
      <xdr:row>3</xdr:row>
      <xdr:rowOff>178632</xdr:rowOff>
    </xdr:from>
    <xdr:to>
      <xdr:col>29</xdr:col>
      <xdr:colOff>55470</xdr:colOff>
      <xdr:row>11</xdr:row>
      <xdr:rowOff>9214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3717A4-F960-04BE-FEDB-D150D342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0" y="750132"/>
          <a:ext cx="7323045" cy="135458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29</xdr:row>
      <xdr:rowOff>47625</xdr:rowOff>
    </xdr:from>
    <xdr:to>
      <xdr:col>13</xdr:col>
      <xdr:colOff>56751</xdr:colOff>
      <xdr:row>33</xdr:row>
      <xdr:rowOff>152292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BA05B60-C334-CF0B-39BC-209D82141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05600" y="5572125"/>
          <a:ext cx="3190476" cy="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34</xdr:row>
      <xdr:rowOff>133350</xdr:rowOff>
    </xdr:from>
    <xdr:to>
      <xdr:col>11</xdr:col>
      <xdr:colOff>428330</xdr:colOff>
      <xdr:row>38</xdr:row>
      <xdr:rowOff>95160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2F9F687-D19E-F503-509B-4880B24C3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86550" y="6610350"/>
          <a:ext cx="2361905" cy="7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85725</xdr:colOff>
      <xdr:row>22</xdr:row>
      <xdr:rowOff>55051</xdr:rowOff>
    </xdr:from>
    <xdr:to>
      <xdr:col>20</xdr:col>
      <xdr:colOff>571500</xdr:colOff>
      <xdr:row>31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7661C5-596A-040F-7584-6C0AF8B72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72950" y="4246051"/>
          <a:ext cx="2314575" cy="1726124"/>
        </a:xfrm>
        <a:prstGeom prst="rect">
          <a:avLst/>
        </a:prstGeom>
      </xdr:spPr>
    </xdr:pic>
    <xdr:clientData/>
  </xdr:twoCellAnchor>
  <xdr:twoCellAnchor editAs="oneCell">
    <xdr:from>
      <xdr:col>21</xdr:col>
      <xdr:colOff>66675</xdr:colOff>
      <xdr:row>22</xdr:row>
      <xdr:rowOff>66676</xdr:rowOff>
    </xdr:from>
    <xdr:to>
      <xdr:col>24</xdr:col>
      <xdr:colOff>566052</xdr:colOff>
      <xdr:row>31</xdr:row>
      <xdr:rowOff>104776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08DBC1-F25D-C890-43CF-5A739ED29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92300" y="4257676"/>
          <a:ext cx="2328177" cy="1752600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60</xdr:row>
      <xdr:rowOff>38100</xdr:rowOff>
    </xdr:from>
    <xdr:to>
      <xdr:col>19</xdr:col>
      <xdr:colOff>388821</xdr:colOff>
      <xdr:row>89</xdr:row>
      <xdr:rowOff>18362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1E4BE-FC0E-3323-D4DD-7A439E902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4825" y="11468100"/>
          <a:ext cx="13628571" cy="5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4</xdr:row>
      <xdr:rowOff>114300</xdr:rowOff>
    </xdr:from>
    <xdr:to>
      <xdr:col>6</xdr:col>
      <xdr:colOff>2400300</xdr:colOff>
      <xdr:row>9</xdr:row>
      <xdr:rowOff>85764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9265DD-94C7-4CBF-9686-8B0173F88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5550" y="876300"/>
          <a:ext cx="2219325" cy="9239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6</xdr:col>
      <xdr:colOff>180499</xdr:colOff>
      <xdr:row>15</xdr:row>
      <xdr:rowOff>37743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353164-81B3-CA8F-9DE7-E88DDB36A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38100"/>
          <a:ext cx="3809524" cy="2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28575</xdr:rowOff>
    </xdr:from>
    <xdr:to>
      <xdr:col>6</xdr:col>
      <xdr:colOff>151924</xdr:colOff>
      <xdr:row>32</xdr:row>
      <xdr:rowOff>28218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4265B3-0CF2-DF7E-2F0A-200528923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67075"/>
          <a:ext cx="3809524" cy="28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0</xdr:row>
      <xdr:rowOff>28575</xdr:rowOff>
    </xdr:from>
    <xdr:to>
      <xdr:col>16</xdr:col>
      <xdr:colOff>390049</xdr:colOff>
      <xdr:row>15</xdr:row>
      <xdr:rowOff>28218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AD7EBE-FB16-CBDF-3D71-DA482BDE3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9400" y="28575"/>
          <a:ext cx="3809524" cy="28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17</xdr:row>
      <xdr:rowOff>47625</xdr:rowOff>
    </xdr:from>
    <xdr:to>
      <xdr:col>16</xdr:col>
      <xdr:colOff>390049</xdr:colOff>
      <xdr:row>32</xdr:row>
      <xdr:rowOff>47268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A06A4D-FDD4-B521-AD0C-19B1E047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29400" y="3286125"/>
          <a:ext cx="3809524" cy="2857143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476250</xdr:colOff>
      <xdr:row>5</xdr:row>
      <xdr:rowOff>57150</xdr:rowOff>
    </xdr:from>
    <xdr:to>
      <xdr:col>28</xdr:col>
      <xdr:colOff>18574</xdr:colOff>
      <xdr:row>20</xdr:row>
      <xdr:rowOff>56793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3D8CE1-CA19-2295-75E1-9120B9560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73125" y="1009650"/>
          <a:ext cx="3809524" cy="2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222168</xdr:colOff>
      <xdr:row>4</xdr:row>
      <xdr:rowOff>165652</xdr:rowOff>
    </xdr:from>
    <xdr:to>
      <xdr:col>8</xdr:col>
      <xdr:colOff>398124</xdr:colOff>
      <xdr:row>8</xdr:row>
      <xdr:rowOff>98842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7315DA-0D82-8C31-C7CF-12576B1B0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5190" y="927652"/>
          <a:ext cx="2751847" cy="107619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247651</xdr:colOff>
      <xdr:row>12</xdr:row>
      <xdr:rowOff>43899</xdr:rowOff>
    </xdr:from>
    <xdr:to>
      <xdr:col>9</xdr:col>
      <xdr:colOff>103534</xdr:colOff>
      <xdr:row>16</xdr:row>
      <xdr:rowOff>137700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FD17A8-58A5-44C7-8ED5-198BD403D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06499" y="2710899"/>
          <a:ext cx="1371600" cy="814388"/>
        </a:xfrm>
        <a:prstGeom prst="rect">
          <a:avLst/>
        </a:prstGeom>
      </xdr:spPr>
    </xdr:pic>
    <xdr:clientData/>
  </xdr:twoCellAnchor>
  <xdr:twoCellAnchor editAs="oneCell">
    <xdr:from>
      <xdr:col>7</xdr:col>
      <xdr:colOff>207066</xdr:colOff>
      <xdr:row>9</xdr:row>
      <xdr:rowOff>49696</xdr:rowOff>
    </xdr:from>
    <xdr:to>
      <xdr:col>9</xdr:col>
      <xdr:colOff>138872</xdr:colOff>
      <xdr:row>11</xdr:row>
      <xdr:rowOff>135421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D48530-0F42-4C34-983D-874ADB1C1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65914" y="2145196"/>
          <a:ext cx="1447523" cy="466725"/>
        </a:xfrm>
        <a:prstGeom prst="rect">
          <a:avLst/>
        </a:prstGeom>
      </xdr:spPr>
    </xdr:pic>
    <xdr:clientData/>
  </xdr:twoCellAnchor>
  <xdr:twoCellAnchor editAs="oneCell">
    <xdr:from>
      <xdr:col>10</xdr:col>
      <xdr:colOff>99392</xdr:colOff>
      <xdr:row>10</xdr:row>
      <xdr:rowOff>42031</xdr:rowOff>
    </xdr:from>
    <xdr:to>
      <xdr:col>16</xdr:col>
      <xdr:colOff>323022</xdr:colOff>
      <xdr:row>20</xdr:row>
      <xdr:rowOff>176204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7E88B7B-10D5-96B1-4387-E4F50DA5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6870" y="2328031"/>
          <a:ext cx="3901108" cy="1997760"/>
        </a:xfrm>
        <a:prstGeom prst="rect">
          <a:avLst/>
        </a:prstGeom>
      </xdr:spPr>
    </xdr:pic>
    <xdr:clientData/>
  </xdr:twoCellAnchor>
  <xdr:twoCellAnchor editAs="oneCell">
    <xdr:from>
      <xdr:col>5</xdr:col>
      <xdr:colOff>215348</xdr:colOff>
      <xdr:row>17</xdr:row>
      <xdr:rowOff>99392</xdr:rowOff>
    </xdr:from>
    <xdr:to>
      <xdr:col>9</xdr:col>
      <xdr:colOff>7496</xdr:colOff>
      <xdr:row>20</xdr:row>
      <xdr:rowOff>175511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6724F60-6B09-CB04-B924-01B7B5DDB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48370" y="3677479"/>
          <a:ext cx="2980952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57979</xdr:colOff>
      <xdr:row>30</xdr:row>
      <xdr:rowOff>70761</xdr:rowOff>
    </xdr:from>
    <xdr:to>
      <xdr:col>7</xdr:col>
      <xdr:colOff>853110</xdr:colOff>
      <xdr:row>30</xdr:row>
      <xdr:rowOff>413172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A6178F7-139D-060F-3D1E-D435261D4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91001" y="7458848"/>
          <a:ext cx="2468218" cy="342411"/>
        </a:xfrm>
        <a:prstGeom prst="rect">
          <a:avLst/>
        </a:prstGeom>
      </xdr:spPr>
    </xdr:pic>
    <xdr:clientData/>
  </xdr:twoCellAnchor>
  <xdr:twoCellAnchor editAs="oneCell">
    <xdr:from>
      <xdr:col>5</xdr:col>
      <xdr:colOff>248478</xdr:colOff>
      <xdr:row>37</xdr:row>
      <xdr:rowOff>16565</xdr:rowOff>
    </xdr:from>
    <xdr:to>
      <xdr:col>7</xdr:col>
      <xdr:colOff>584915</xdr:colOff>
      <xdr:row>40</xdr:row>
      <xdr:rowOff>130779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1F4A77-5DC2-4AAD-A914-71017C247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13413" y="8994913"/>
          <a:ext cx="2009524" cy="6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240196</xdr:colOff>
      <xdr:row>38</xdr:row>
      <xdr:rowOff>16565</xdr:rowOff>
    </xdr:from>
    <xdr:to>
      <xdr:col>17</xdr:col>
      <xdr:colOff>124239</xdr:colOff>
      <xdr:row>42</xdr:row>
      <xdr:rowOff>36399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30B510-EF1F-BFC6-E654-700EA5D30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06848" y="9375913"/>
          <a:ext cx="4174434" cy="781834"/>
        </a:xfrm>
        <a:prstGeom prst="rect">
          <a:avLst/>
        </a:prstGeom>
      </xdr:spPr>
    </xdr:pic>
    <xdr:clientData/>
  </xdr:twoCellAnchor>
  <xdr:twoCellAnchor editAs="oneCell">
    <xdr:from>
      <xdr:col>6</xdr:col>
      <xdr:colOff>182216</xdr:colOff>
      <xdr:row>46</xdr:row>
      <xdr:rowOff>49695</xdr:rowOff>
    </xdr:from>
    <xdr:to>
      <xdr:col>9</xdr:col>
      <xdr:colOff>414130</xdr:colOff>
      <xdr:row>47</xdr:row>
      <xdr:rowOff>380207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CCFEED-EB68-33F5-32EF-8C2F75D6D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07325" y="11123543"/>
          <a:ext cx="2360544" cy="711512"/>
        </a:xfrm>
        <a:prstGeom prst="rect">
          <a:avLst/>
        </a:prstGeom>
      </xdr:spPr>
    </xdr:pic>
    <xdr:clientData/>
  </xdr:twoCellAnchor>
  <xdr:twoCellAnchor editAs="oneCell">
    <xdr:from>
      <xdr:col>6</xdr:col>
      <xdr:colOff>173934</xdr:colOff>
      <xdr:row>55</xdr:row>
      <xdr:rowOff>99391</xdr:rowOff>
    </xdr:from>
    <xdr:to>
      <xdr:col>14</xdr:col>
      <xdr:colOff>171215</xdr:colOff>
      <xdr:row>60</xdr:row>
      <xdr:rowOff>118320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7E24E6-D726-1736-F386-F1FC55AA2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99043" y="13840239"/>
          <a:ext cx="5190476" cy="9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1</xdr:row>
      <xdr:rowOff>23812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BBC384-236A-372F-3826-2CB8E9D7893A}"/>
            </a:ext>
          </a:extLst>
        </xdr:cNvPr>
        <xdr:cNvSpPr txBox="1"/>
      </xdr:nvSpPr>
      <xdr:spPr>
        <a:xfrm>
          <a:off x="2238375" y="214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457200</xdr:colOff>
      <xdr:row>2</xdr:row>
      <xdr:rowOff>23812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CDC64B-97E7-CBA5-ED21-4A8A671B70CF}"/>
            </a:ext>
          </a:extLst>
        </xdr:cNvPr>
        <xdr:cNvSpPr txBox="1"/>
      </xdr:nvSpPr>
      <xdr:spPr>
        <a:xfrm>
          <a:off x="3733800" y="4048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5</xdr:col>
      <xdr:colOff>114301</xdr:colOff>
      <xdr:row>2</xdr:row>
      <xdr:rowOff>123826</xdr:rowOff>
    </xdr:from>
    <xdr:to>
      <xdr:col>5</xdr:col>
      <xdr:colOff>1485901</xdr:colOff>
      <xdr:row>2</xdr:row>
      <xdr:rowOff>938214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D092AD-66D3-753A-7E5E-2484B0BB7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1" y="838201"/>
          <a:ext cx="1371600" cy="814388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</xdr:row>
      <xdr:rowOff>57150</xdr:rowOff>
    </xdr:from>
    <xdr:to>
      <xdr:col>5</xdr:col>
      <xdr:colOff>1504673</xdr:colOff>
      <xdr:row>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37808D-D491-F874-F67D-7898D804C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3350" y="247650"/>
          <a:ext cx="1447523" cy="466725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180976</xdr:colOff>
      <xdr:row>1</xdr:row>
      <xdr:rowOff>47626</xdr:rowOff>
    </xdr:from>
    <xdr:to>
      <xdr:col>18</xdr:col>
      <xdr:colOff>409576</xdr:colOff>
      <xdr:row>1</xdr:row>
      <xdr:rowOff>481470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32989E-64C0-5FAC-0829-4FDB05CD7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96851" y="238126"/>
          <a:ext cx="2667000" cy="433844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</xdr:colOff>
      <xdr:row>2</xdr:row>
      <xdr:rowOff>331618</xdr:rowOff>
    </xdr:from>
    <xdr:to>
      <xdr:col>20</xdr:col>
      <xdr:colOff>598817</xdr:colOff>
      <xdr:row>2</xdr:row>
      <xdr:rowOff>647606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82807C2-8B56-2EB6-967A-4F5C61D69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44450" y="1045993"/>
          <a:ext cx="4227842" cy="315988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12</xdr:row>
      <xdr:rowOff>100615</xdr:rowOff>
    </xdr:from>
    <xdr:to>
      <xdr:col>5</xdr:col>
      <xdr:colOff>2286000</xdr:colOff>
      <xdr:row>12</xdr:row>
      <xdr:rowOff>1024579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B19948-6778-E3D3-62E3-0E996B876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00600" y="5939440"/>
          <a:ext cx="2219325" cy="923964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16</xdr:row>
      <xdr:rowOff>114300</xdr:rowOff>
    </xdr:from>
    <xdr:to>
      <xdr:col>5</xdr:col>
      <xdr:colOff>2085746</xdr:colOff>
      <xdr:row>16</xdr:row>
      <xdr:rowOff>819062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DB38066-2D0C-164A-FBB3-74637B481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10410825"/>
          <a:ext cx="1828571" cy="7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47626</xdr:colOff>
      <xdr:row>15</xdr:row>
      <xdr:rowOff>47625</xdr:rowOff>
    </xdr:from>
    <xdr:to>
      <xdr:col>5</xdr:col>
      <xdr:colOff>2257426</xdr:colOff>
      <xdr:row>15</xdr:row>
      <xdr:rowOff>1387678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160FE66-D386-E826-1614-B60182130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81551" y="8848725"/>
          <a:ext cx="2209800" cy="13400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5</xdr:row>
      <xdr:rowOff>28575</xdr:rowOff>
    </xdr:from>
    <xdr:to>
      <xdr:col>4</xdr:col>
      <xdr:colOff>2748915</xdr:colOff>
      <xdr:row>5</xdr:row>
      <xdr:rowOff>2040255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E3854D8-FE03-D180-2578-7903661D9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13620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5</xdr:row>
      <xdr:rowOff>57151</xdr:rowOff>
    </xdr:from>
    <xdr:to>
      <xdr:col>3</xdr:col>
      <xdr:colOff>2767965</xdr:colOff>
      <xdr:row>5</xdr:row>
      <xdr:rowOff>2068831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F2DAC2A-356C-257B-A7F7-7623E9275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5" y="1200151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5</xdr:row>
      <xdr:rowOff>47625</xdr:rowOff>
    </xdr:from>
    <xdr:to>
      <xdr:col>2</xdr:col>
      <xdr:colOff>2748915</xdr:colOff>
      <xdr:row>5</xdr:row>
      <xdr:rowOff>2059305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640BF8C-6CAA-E72E-28B3-1D924F459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119062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5</xdr:row>
      <xdr:rowOff>57150</xdr:rowOff>
    </xdr:from>
    <xdr:to>
      <xdr:col>5</xdr:col>
      <xdr:colOff>2825115</xdr:colOff>
      <xdr:row>5</xdr:row>
      <xdr:rowOff>2068830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C3085E8-3840-2DB0-959F-A2B80FC7E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20275" y="1200150"/>
          <a:ext cx="2682240" cy="20116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28574</xdr:rowOff>
    </xdr:from>
    <xdr:to>
      <xdr:col>2</xdr:col>
      <xdr:colOff>2701290</xdr:colOff>
      <xdr:row>2</xdr:row>
      <xdr:rowOff>2040254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38EE8E-01F3-5FC8-82BA-AA87620A9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857249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3</xdr:row>
      <xdr:rowOff>114300</xdr:rowOff>
    </xdr:from>
    <xdr:to>
      <xdr:col>3</xdr:col>
      <xdr:colOff>2767965</xdr:colOff>
      <xdr:row>3</xdr:row>
      <xdr:rowOff>2125980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D9E01E-8E6B-F2DF-6AE3-E32EA0211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05225" y="365760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3</xdr:row>
      <xdr:rowOff>66675</xdr:rowOff>
    </xdr:from>
    <xdr:to>
      <xdr:col>2</xdr:col>
      <xdr:colOff>2758440</xdr:colOff>
      <xdr:row>3</xdr:row>
      <xdr:rowOff>2078355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D9DD3A-D278-3244-5263-DA0D3EC8A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36099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</xdr:row>
      <xdr:rowOff>38100</xdr:rowOff>
    </xdr:from>
    <xdr:to>
      <xdr:col>3</xdr:col>
      <xdr:colOff>2796540</xdr:colOff>
      <xdr:row>2</xdr:row>
      <xdr:rowOff>2049780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FD0755-329A-541B-2008-A30B2385A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3800" y="8667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3</xdr:row>
      <xdr:rowOff>123825</xdr:rowOff>
    </xdr:from>
    <xdr:to>
      <xdr:col>5</xdr:col>
      <xdr:colOff>2701290</xdr:colOff>
      <xdr:row>3</xdr:row>
      <xdr:rowOff>2135505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12FFBE-CFDF-2AE0-5788-92C79131E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82075" y="366712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3</xdr:row>
      <xdr:rowOff>95250</xdr:rowOff>
    </xdr:from>
    <xdr:to>
      <xdr:col>4</xdr:col>
      <xdr:colOff>2796540</xdr:colOff>
      <xdr:row>3</xdr:row>
      <xdr:rowOff>2106930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54C2CA-7AFA-BD43-BC0F-4C69ABFE5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81775" y="363855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2</xdr:row>
      <xdr:rowOff>38100</xdr:rowOff>
    </xdr:from>
    <xdr:to>
      <xdr:col>4</xdr:col>
      <xdr:colOff>2806065</xdr:colOff>
      <xdr:row>2</xdr:row>
      <xdr:rowOff>2049780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E6192B-E9B4-DF4C-524B-701B320BF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24750" y="8667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2</xdr:row>
      <xdr:rowOff>38100</xdr:rowOff>
    </xdr:from>
    <xdr:to>
      <xdr:col>5</xdr:col>
      <xdr:colOff>2787015</xdr:colOff>
      <xdr:row>2</xdr:row>
      <xdr:rowOff>2049780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18123F6-A2E4-6AE7-547A-5C8697E35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39275" y="8667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6</xdr:row>
      <xdr:rowOff>85725</xdr:rowOff>
    </xdr:from>
    <xdr:to>
      <xdr:col>5</xdr:col>
      <xdr:colOff>2767965</xdr:colOff>
      <xdr:row>6</xdr:row>
      <xdr:rowOff>2097405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3B41A3B-F9AC-7206-59B2-A908D20CD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353675" y="63912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8</xdr:row>
      <xdr:rowOff>47625</xdr:rowOff>
    </xdr:from>
    <xdr:to>
      <xdr:col>5</xdr:col>
      <xdr:colOff>2739390</xdr:colOff>
      <xdr:row>8</xdr:row>
      <xdr:rowOff>2059305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244D2A6-0127-6B1B-BCAF-31B1B2E0E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25100" y="89439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6</xdr:row>
      <xdr:rowOff>76200</xdr:rowOff>
    </xdr:from>
    <xdr:to>
      <xdr:col>4</xdr:col>
      <xdr:colOff>2806065</xdr:colOff>
      <xdr:row>6</xdr:row>
      <xdr:rowOff>2087880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67421F8-F744-D7B5-C5EB-294DDECBF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24750" y="638175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</xdr:row>
      <xdr:rowOff>57150</xdr:rowOff>
    </xdr:from>
    <xdr:to>
      <xdr:col>4</xdr:col>
      <xdr:colOff>2758440</xdr:colOff>
      <xdr:row>8</xdr:row>
      <xdr:rowOff>2068830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1332D9B-4314-7E3F-8DCA-D56B22B65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77125" y="895350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8</xdr:row>
      <xdr:rowOff>57150</xdr:rowOff>
    </xdr:from>
    <xdr:to>
      <xdr:col>3</xdr:col>
      <xdr:colOff>2796540</xdr:colOff>
      <xdr:row>8</xdr:row>
      <xdr:rowOff>2068830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30D38F4-F3DB-E997-5E2A-2733C3E7A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67250" y="895350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8</xdr:row>
      <xdr:rowOff>57150</xdr:rowOff>
    </xdr:from>
    <xdr:to>
      <xdr:col>2</xdr:col>
      <xdr:colOff>2748915</xdr:colOff>
      <xdr:row>8</xdr:row>
      <xdr:rowOff>2068830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7764422-0DB4-9402-42C8-622A9218F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19275" y="895350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6</xdr:row>
      <xdr:rowOff>85725</xdr:rowOff>
    </xdr:from>
    <xdr:to>
      <xdr:col>3</xdr:col>
      <xdr:colOff>2796540</xdr:colOff>
      <xdr:row>6</xdr:row>
      <xdr:rowOff>2097405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3C5F36B-63AE-ED94-764F-4B5180BB7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67250" y="63912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6</xdr:row>
      <xdr:rowOff>85724</xdr:rowOff>
    </xdr:from>
    <xdr:to>
      <xdr:col>2</xdr:col>
      <xdr:colOff>2748915</xdr:colOff>
      <xdr:row>6</xdr:row>
      <xdr:rowOff>2097404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F592840-1591-7692-5DC2-9F7C2BB5E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19275" y="6391274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15</xdr:row>
      <xdr:rowOff>57150</xdr:rowOff>
    </xdr:from>
    <xdr:to>
      <xdr:col>2</xdr:col>
      <xdr:colOff>2748915</xdr:colOff>
      <xdr:row>15</xdr:row>
      <xdr:rowOff>2068830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7D4512C-0D89-4998-948B-8940797B0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19275" y="187356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15</xdr:row>
      <xdr:rowOff>47626</xdr:rowOff>
    </xdr:from>
    <xdr:to>
      <xdr:col>3</xdr:col>
      <xdr:colOff>2767965</xdr:colOff>
      <xdr:row>15</xdr:row>
      <xdr:rowOff>2059306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D39A1C-FE17-25E8-8EA3-78B0C09ED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638675" y="18726151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15</xdr:row>
      <xdr:rowOff>66675</xdr:rowOff>
    </xdr:from>
    <xdr:to>
      <xdr:col>4</xdr:col>
      <xdr:colOff>2796540</xdr:colOff>
      <xdr:row>15</xdr:row>
      <xdr:rowOff>2078355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E80696-2CB3-0300-F0A2-2803B2C8A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515225" y="1874520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15</xdr:row>
      <xdr:rowOff>76200</xdr:rowOff>
    </xdr:from>
    <xdr:to>
      <xdr:col>5</xdr:col>
      <xdr:colOff>2739390</xdr:colOff>
      <xdr:row>15</xdr:row>
      <xdr:rowOff>2087880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0182821-3B4A-714F-86AC-B05B90D3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325100" y="1875472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18</xdr:row>
      <xdr:rowOff>38100</xdr:rowOff>
    </xdr:from>
    <xdr:to>
      <xdr:col>5</xdr:col>
      <xdr:colOff>2739390</xdr:colOff>
      <xdr:row>18</xdr:row>
      <xdr:rowOff>2049780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F811781-902F-A8E8-F9C1-A2AEA94F2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325100" y="214026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18</xdr:row>
      <xdr:rowOff>47625</xdr:rowOff>
    </xdr:from>
    <xdr:to>
      <xdr:col>4</xdr:col>
      <xdr:colOff>2777490</xdr:colOff>
      <xdr:row>18</xdr:row>
      <xdr:rowOff>2059305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D268B2-9F0D-7A71-6C2D-203C20025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496175" y="2141220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18</xdr:row>
      <xdr:rowOff>57150</xdr:rowOff>
    </xdr:from>
    <xdr:to>
      <xdr:col>3</xdr:col>
      <xdr:colOff>2777490</xdr:colOff>
      <xdr:row>18</xdr:row>
      <xdr:rowOff>2068830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D995384-71F8-D153-8108-04572295D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648200" y="2142172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18</xdr:row>
      <xdr:rowOff>57150</xdr:rowOff>
    </xdr:from>
    <xdr:to>
      <xdr:col>2</xdr:col>
      <xdr:colOff>2758440</xdr:colOff>
      <xdr:row>18</xdr:row>
      <xdr:rowOff>2068830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859D296-D5D0-732D-4116-CD2D14574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2142172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20</xdr:row>
      <xdr:rowOff>76200</xdr:rowOff>
    </xdr:from>
    <xdr:to>
      <xdr:col>2</xdr:col>
      <xdr:colOff>2748915</xdr:colOff>
      <xdr:row>20</xdr:row>
      <xdr:rowOff>2087880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5B2DAA1-A111-C5C4-124A-64CD7D8BD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19275" y="2390775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20</xdr:row>
      <xdr:rowOff>76200</xdr:rowOff>
    </xdr:from>
    <xdr:to>
      <xdr:col>3</xdr:col>
      <xdr:colOff>2787015</xdr:colOff>
      <xdr:row>20</xdr:row>
      <xdr:rowOff>2087880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A7BAADB-44F3-B39B-6B69-B0C9AD336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657725" y="2390775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20</xdr:row>
      <xdr:rowOff>95250</xdr:rowOff>
    </xdr:from>
    <xdr:to>
      <xdr:col>4</xdr:col>
      <xdr:colOff>2796540</xdr:colOff>
      <xdr:row>20</xdr:row>
      <xdr:rowOff>2106930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A07E139-A11C-2EAD-1498-3A25652D2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515225" y="2392680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20</xdr:row>
      <xdr:rowOff>114300</xdr:rowOff>
    </xdr:from>
    <xdr:to>
      <xdr:col>5</xdr:col>
      <xdr:colOff>2767965</xdr:colOff>
      <xdr:row>20</xdr:row>
      <xdr:rowOff>2125980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46FD3D4-04F6-E66F-BFD8-806F0A8EF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353675" y="2394585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11</xdr:row>
      <xdr:rowOff>57150</xdr:rowOff>
    </xdr:from>
    <xdr:to>
      <xdr:col>5</xdr:col>
      <xdr:colOff>2758440</xdr:colOff>
      <xdr:row>11</xdr:row>
      <xdr:rowOff>2068830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21CFC22-991B-BF4D-BE86-F6AED3EE1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0344150" y="1375410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11</xdr:row>
      <xdr:rowOff>76200</xdr:rowOff>
    </xdr:from>
    <xdr:to>
      <xdr:col>4</xdr:col>
      <xdr:colOff>2777490</xdr:colOff>
      <xdr:row>11</xdr:row>
      <xdr:rowOff>2087880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3514137-9682-3CA0-DFC1-03399EC9D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496175" y="1377315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11</xdr:row>
      <xdr:rowOff>76200</xdr:rowOff>
    </xdr:from>
    <xdr:to>
      <xdr:col>3</xdr:col>
      <xdr:colOff>2748915</xdr:colOff>
      <xdr:row>11</xdr:row>
      <xdr:rowOff>2087880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15DB7BB-B56A-C7A2-A42F-51A633033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619625" y="13773150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11</xdr:row>
      <xdr:rowOff>85725</xdr:rowOff>
    </xdr:from>
    <xdr:to>
      <xdr:col>2</xdr:col>
      <xdr:colOff>2739390</xdr:colOff>
      <xdr:row>11</xdr:row>
      <xdr:rowOff>2097405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AF2115B-EF0E-8558-A1B5-CCEFCE4F0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09750" y="137826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13</xdr:row>
      <xdr:rowOff>57150</xdr:rowOff>
    </xdr:from>
    <xdr:to>
      <xdr:col>2</xdr:col>
      <xdr:colOff>2748915</xdr:colOff>
      <xdr:row>13</xdr:row>
      <xdr:rowOff>2068830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68B440F-66F0-F5D1-D7EB-6BCDDD3DD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19275" y="16297275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13</xdr:row>
      <xdr:rowOff>66674</xdr:rowOff>
    </xdr:from>
    <xdr:to>
      <xdr:col>3</xdr:col>
      <xdr:colOff>2777490</xdr:colOff>
      <xdr:row>13</xdr:row>
      <xdr:rowOff>2078354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6A014248-4BCD-C05D-60F2-D46065848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648200" y="16306799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13</xdr:row>
      <xdr:rowOff>66674</xdr:rowOff>
    </xdr:from>
    <xdr:to>
      <xdr:col>4</xdr:col>
      <xdr:colOff>2825115</xdr:colOff>
      <xdr:row>13</xdr:row>
      <xdr:rowOff>2078354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64EEF0B-051F-59E4-B7B5-3FD6B75E7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543800" y="16306799"/>
          <a:ext cx="2682240" cy="201168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13</xdr:row>
      <xdr:rowOff>57150</xdr:rowOff>
    </xdr:from>
    <xdr:to>
      <xdr:col>5</xdr:col>
      <xdr:colOff>2787015</xdr:colOff>
      <xdr:row>13</xdr:row>
      <xdr:rowOff>2068830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BEA9EFB6-5FE7-CF1B-6C3C-47D960332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0372725" y="16297275"/>
          <a:ext cx="2682240" cy="20116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419100</xdr:colOff>
      <xdr:row>21</xdr:row>
      <xdr:rowOff>64306</xdr:rowOff>
    </xdr:from>
    <xdr:to>
      <xdr:col>13</xdr:col>
      <xdr:colOff>504826</xdr:colOff>
      <xdr:row>21</xdr:row>
      <xdr:rowOff>1973255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4B751F9-F485-0055-CEE5-FA3E644C2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11056156"/>
          <a:ext cx="2505076" cy="1908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20</xdr:row>
      <xdr:rowOff>66675</xdr:rowOff>
    </xdr:from>
    <xdr:to>
      <xdr:col>13</xdr:col>
      <xdr:colOff>559574</xdr:colOff>
      <xdr:row>20</xdr:row>
      <xdr:rowOff>1895475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01BB90-7AE6-93E4-9051-81B602F47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0" y="9105900"/>
          <a:ext cx="1388249" cy="1828800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20</xdr:row>
      <xdr:rowOff>66675</xdr:rowOff>
    </xdr:from>
    <xdr:to>
      <xdr:col>10</xdr:col>
      <xdr:colOff>216674</xdr:colOff>
      <xdr:row>20</xdr:row>
      <xdr:rowOff>1895475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70049E5-ECA2-3998-19D4-CDE58EB7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2250" y="9105900"/>
          <a:ext cx="1388249" cy="1828800"/>
        </a:xfrm>
        <a:prstGeom prst="rect">
          <a:avLst/>
        </a:prstGeom>
      </xdr:spPr>
    </xdr:pic>
    <xdr:clientData/>
  </xdr:twoCellAnchor>
  <xdr:oneCellAnchor>
    <xdr:from>
      <xdr:col>10</xdr:col>
      <xdr:colOff>219075</xdr:colOff>
      <xdr:row>20</xdr:row>
      <xdr:rowOff>819150</xdr:rowOff>
    </xdr:from>
    <xdr:ext cx="1224694" cy="342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6F5790-C32A-74E1-1952-1883A8512C4C}"/>
            </a:ext>
          </a:extLst>
        </xdr:cNvPr>
        <xdr:cNvSpPr txBox="1"/>
      </xdr:nvSpPr>
      <xdr:spPr>
        <a:xfrm>
          <a:off x="7962900" y="9858375"/>
          <a:ext cx="122469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rgbClr val="FF0000"/>
              </a:solidFill>
            </a:rPr>
            <a:t>IC SGL8022K</a:t>
          </a:r>
        </a:p>
      </xdr:txBody>
    </xdr:sp>
    <xdr:clientData/>
  </xdr:oneCellAnchor>
  <xdr:oneCellAnchor>
    <xdr:from>
      <xdr:col>13</xdr:col>
      <xdr:colOff>590550</xdr:colOff>
      <xdr:row>20</xdr:row>
      <xdr:rowOff>752475</xdr:rowOff>
    </xdr:from>
    <xdr:ext cx="1010020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2BED4D4-2B6F-41D4-9153-770E79D6B05B}"/>
            </a:ext>
          </a:extLst>
        </xdr:cNvPr>
        <xdr:cNvSpPr txBox="1"/>
      </xdr:nvSpPr>
      <xdr:spPr>
        <a:xfrm>
          <a:off x="10753725" y="9791700"/>
          <a:ext cx="101002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rgbClr val="FF0000"/>
              </a:solidFill>
            </a:rPr>
            <a:t>IC TTP224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V59"/>
  <sheetViews>
    <sheetView topLeftCell="A58" workbookViewId="0">
      <selection activeCell="G90" sqref="G90"/>
    </sheetView>
  </sheetViews>
  <sheetFormatPr defaultRowHeight="15" x14ac:dyDescent="0.25"/>
  <cols>
    <col min="4" max="4" width="9.140625" style="2"/>
    <col min="5" max="5" width="35" bestFit="1" customWidth="1"/>
    <col min="9" max="10" width="10.5703125" customWidth="1"/>
    <col min="15" max="15" width="12.85546875" customWidth="1"/>
  </cols>
  <sheetData>
    <row r="6" spans="3:6" x14ac:dyDescent="0.25">
      <c r="C6" s="1"/>
    </row>
    <row r="13" spans="3:6" x14ac:dyDescent="0.25">
      <c r="D13" s="3"/>
      <c r="E13" s="4"/>
      <c r="F13" s="4"/>
    </row>
    <row r="14" spans="3:6" x14ac:dyDescent="0.25">
      <c r="D14" s="3"/>
      <c r="E14" s="4"/>
      <c r="F14" s="4"/>
    </row>
    <row r="16" spans="3:6" x14ac:dyDescent="0.25">
      <c r="D16" s="5"/>
      <c r="E16" s="4"/>
      <c r="F16" s="4"/>
    </row>
    <row r="17" spans="4:21" x14ac:dyDescent="0.25">
      <c r="I17" t="s">
        <v>51</v>
      </c>
      <c r="J17">
        <f>K17*1000</f>
        <v>18000</v>
      </c>
      <c r="K17">
        <v>18</v>
      </c>
    </row>
    <row r="18" spans="4:21" x14ac:dyDescent="0.25">
      <c r="I18" t="s">
        <v>52</v>
      </c>
      <c r="J18">
        <f>K18*1000</f>
        <v>3300</v>
      </c>
      <c r="K18">
        <v>3.3</v>
      </c>
    </row>
    <row r="19" spans="4:21" x14ac:dyDescent="0.25">
      <c r="D19" s="5"/>
      <c r="E19" s="4"/>
      <c r="F19" s="4"/>
      <c r="I19" t="s">
        <v>44</v>
      </c>
      <c r="J19">
        <v>13</v>
      </c>
      <c r="K19" t="s">
        <v>47</v>
      </c>
    </row>
    <row r="20" spans="4:21" x14ac:dyDescent="0.25">
      <c r="D20" s="5"/>
      <c r="E20" s="4"/>
      <c r="F20" s="4"/>
      <c r="I20" t="s">
        <v>45</v>
      </c>
      <c r="J20">
        <v>28</v>
      </c>
      <c r="K20" t="s">
        <v>47</v>
      </c>
    </row>
    <row r="21" spans="4:21" x14ac:dyDescent="0.25">
      <c r="I21" t="s">
        <v>46</v>
      </c>
      <c r="J21">
        <v>0.85</v>
      </c>
      <c r="K21" t="s">
        <v>48</v>
      </c>
      <c r="L21" t="s">
        <v>58</v>
      </c>
    </row>
    <row r="22" spans="4:21" x14ac:dyDescent="0.25">
      <c r="D22" s="5"/>
      <c r="E22" s="4"/>
      <c r="F22" s="4"/>
      <c r="I22" t="s">
        <v>50</v>
      </c>
      <c r="J22">
        <v>2</v>
      </c>
      <c r="K22" t="s">
        <v>48</v>
      </c>
    </row>
    <row r="23" spans="4:21" x14ac:dyDescent="0.25">
      <c r="D23" s="5"/>
      <c r="E23" s="4"/>
      <c r="F23" s="4"/>
      <c r="I23" t="s">
        <v>49</v>
      </c>
      <c r="J23">
        <f>((J22*(J18+J17)*J19)/(J18*J20))-J21</f>
        <v>5.1435064935064938</v>
      </c>
      <c r="O23" s="54" t="s">
        <v>64</v>
      </c>
    </row>
    <row r="24" spans="4:21" x14ac:dyDescent="0.25">
      <c r="L24">
        <f>2*(J17+J18)*J19</f>
        <v>553800</v>
      </c>
      <c r="O24" s="55"/>
    </row>
    <row r="25" spans="4:21" x14ac:dyDescent="0.25">
      <c r="L25">
        <f>J18*J20</f>
        <v>92400</v>
      </c>
      <c r="O25" s="55"/>
    </row>
    <row r="26" spans="4:21" x14ac:dyDescent="0.25">
      <c r="L26">
        <f>L24/L25</f>
        <v>5.9935064935064934</v>
      </c>
      <c r="O26" s="55"/>
      <c r="P26" t="s">
        <v>59</v>
      </c>
      <c r="Q26">
        <v>5.6</v>
      </c>
    </row>
    <row r="27" spans="4:21" x14ac:dyDescent="0.25">
      <c r="L27">
        <f>L26-J21</f>
        <v>5.1435064935064938</v>
      </c>
      <c r="O27" s="55"/>
      <c r="P27" t="s">
        <v>60</v>
      </c>
      <c r="Q27">
        <v>5.42</v>
      </c>
      <c r="U27" s="1"/>
    </row>
    <row r="28" spans="4:21" x14ac:dyDescent="0.25">
      <c r="O28" s="55"/>
      <c r="P28" t="s">
        <v>61</v>
      </c>
      <c r="Q28">
        <v>5.48</v>
      </c>
    </row>
    <row r="29" spans="4:21" x14ac:dyDescent="0.25">
      <c r="O29" s="55"/>
      <c r="P29" t="s">
        <v>62</v>
      </c>
      <c r="Q29">
        <f>(Q26/Q27-1)*100</f>
        <v>3.3210332103321027</v>
      </c>
    </row>
    <row r="30" spans="4:21" x14ac:dyDescent="0.25">
      <c r="O30" s="55"/>
      <c r="P30" t="s">
        <v>63</v>
      </c>
      <c r="Q30">
        <f>(1-Q27/Q28)*100</f>
        <v>1.0948905109489093</v>
      </c>
    </row>
    <row r="31" spans="4:21" x14ac:dyDescent="0.25">
      <c r="O31" s="55"/>
    </row>
    <row r="32" spans="4:21" x14ac:dyDescent="0.25">
      <c r="O32" s="55"/>
    </row>
    <row r="38" spans="7:22" x14ac:dyDescent="0.25">
      <c r="O38" t="s">
        <v>66</v>
      </c>
      <c r="P38">
        <f>(2*1.9)/(0.64*(1/1000)*(J43*J43))</f>
        <v>53437.5</v>
      </c>
    </row>
    <row r="42" spans="7:22" x14ac:dyDescent="0.25">
      <c r="I42" t="s">
        <v>53</v>
      </c>
      <c r="J42">
        <v>1.5</v>
      </c>
    </row>
    <row r="43" spans="7:22" x14ac:dyDescent="0.25">
      <c r="G43" t="s">
        <v>57</v>
      </c>
      <c r="I43" t="s">
        <v>54</v>
      </c>
      <c r="J43">
        <f>0.5/J42</f>
        <v>0.33333333333333331</v>
      </c>
      <c r="K43" t="s">
        <v>55</v>
      </c>
      <c r="U43" t="s">
        <v>65</v>
      </c>
      <c r="V43">
        <f>-(U41+V39)</f>
        <v>0</v>
      </c>
    </row>
    <row r="44" spans="7:22" x14ac:dyDescent="0.25">
      <c r="I44" t="s">
        <v>56</v>
      </c>
      <c r="J44">
        <f>0.25*J43*110/13</f>
        <v>0.70512820512820507</v>
      </c>
      <c r="K44" t="s">
        <v>55</v>
      </c>
    </row>
    <row r="46" spans="7:22" x14ac:dyDescent="0.25">
      <c r="I46" s="56" t="s">
        <v>282</v>
      </c>
      <c r="J46" s="56"/>
      <c r="K46">
        <f>J43*J43*J42</f>
        <v>0.16666666666666666</v>
      </c>
      <c r="L46" t="s">
        <v>244</v>
      </c>
    </row>
    <row r="47" spans="7:22" x14ac:dyDescent="0.25">
      <c r="I47" t="s">
        <v>283</v>
      </c>
      <c r="K47">
        <v>0.4</v>
      </c>
    </row>
    <row r="55" spans="8:10" x14ac:dyDescent="0.25">
      <c r="H55">
        <v>4</v>
      </c>
      <c r="J55">
        <f>(H55*H56*H56)/(H57*H58*H58*H59)</f>
        <v>1118555.8536301455</v>
      </c>
    </row>
    <row r="56" spans="8:10" x14ac:dyDescent="0.25">
      <c r="H56">
        <v>350</v>
      </c>
    </row>
    <row r="57" spans="8:10" x14ac:dyDescent="0.25">
      <c r="H57">
        <f>78/1000000</f>
        <v>7.7999999999999999E-5</v>
      </c>
    </row>
    <row r="58" spans="8:10" x14ac:dyDescent="0.25">
      <c r="H58">
        <f>324/1000</f>
        <v>0.32400000000000001</v>
      </c>
    </row>
    <row r="59" spans="8:10" x14ac:dyDescent="0.25">
      <c r="H59">
        <f>53.5*1000</f>
        <v>53500</v>
      </c>
    </row>
  </sheetData>
  <mergeCells count="2">
    <mergeCell ref="O23:O32"/>
    <mergeCell ref="I46:J4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0645-F7A7-434A-90CC-CCC0821EEA8D}">
  <dimension ref="A2:B2"/>
  <sheetViews>
    <sheetView workbookViewId="0">
      <selection activeCell="A3" sqref="A3"/>
    </sheetView>
  </sheetViews>
  <sheetFormatPr defaultRowHeight="15" x14ac:dyDescent="0.25"/>
  <sheetData>
    <row r="2" spans="1:2" x14ac:dyDescent="0.25">
      <c r="A2" t="s">
        <v>253</v>
      </c>
      <c r="B2">
        <f>Sheet1!P38</f>
        <v>53437.5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AB81-45D4-4E58-BB00-0246B4C9BD4F}">
  <dimension ref="A2:T26"/>
  <sheetViews>
    <sheetView topLeftCell="A19" workbookViewId="0">
      <selection activeCell="A21" sqref="A21:O21"/>
    </sheetView>
  </sheetViews>
  <sheetFormatPr defaultRowHeight="15" x14ac:dyDescent="0.25"/>
  <cols>
    <col min="3" max="3" width="12.5703125" customWidth="1"/>
    <col min="4" max="4" width="14.28515625" customWidth="1"/>
    <col min="5" max="6" width="11.7109375" customWidth="1"/>
    <col min="7" max="7" width="12.140625" customWidth="1"/>
    <col min="8" max="8" width="12" customWidth="1"/>
    <col min="9" max="11" width="11.7109375" customWidth="1"/>
    <col min="12" max="12" width="12" customWidth="1"/>
    <col min="13" max="13" width="12.5703125" customWidth="1"/>
    <col min="14" max="14" width="13.42578125" customWidth="1"/>
    <col min="15" max="15" width="11.7109375" customWidth="1"/>
    <col min="16" max="16" width="12.28515625" customWidth="1"/>
    <col min="17" max="17" width="13.28515625" customWidth="1"/>
    <col min="18" max="19" width="12.5703125" customWidth="1"/>
    <col min="20" max="20" width="35.140625" customWidth="1"/>
  </cols>
  <sheetData>
    <row r="2" spans="1:20" x14ac:dyDescent="0.25">
      <c r="A2" s="6"/>
      <c r="B2" s="6"/>
      <c r="C2" s="87" t="s">
        <v>0</v>
      </c>
      <c r="D2" s="87"/>
      <c r="E2" s="87"/>
      <c r="F2" s="87"/>
      <c r="G2" s="87"/>
      <c r="H2" s="87"/>
      <c r="I2" s="87"/>
      <c r="J2" s="87"/>
      <c r="K2" s="8"/>
      <c r="L2" s="76" t="s">
        <v>1</v>
      </c>
      <c r="M2" s="76"/>
      <c r="N2" s="76"/>
      <c r="O2" s="76"/>
      <c r="P2" s="76"/>
      <c r="Q2" s="76"/>
      <c r="R2" s="76"/>
      <c r="S2" s="76"/>
    </row>
    <row r="3" spans="1:20" x14ac:dyDescent="0.25">
      <c r="A3" s="8"/>
      <c r="B3" s="8"/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  <c r="I3" s="12">
        <v>7</v>
      </c>
      <c r="J3" s="12">
        <v>8</v>
      </c>
      <c r="K3" s="8"/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3">
        <v>6</v>
      </c>
      <c r="R3" s="13">
        <v>7</v>
      </c>
      <c r="S3" s="13">
        <v>8</v>
      </c>
      <c r="T3" s="9"/>
    </row>
    <row r="4" spans="1:20" x14ac:dyDescent="0.25">
      <c r="A4" s="8"/>
      <c r="B4" s="8"/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  <c r="I4" s="85" t="s">
        <v>8</v>
      </c>
      <c r="J4" s="85"/>
      <c r="K4" s="8"/>
      <c r="L4" s="13" t="s">
        <v>9</v>
      </c>
      <c r="M4" s="13" t="s">
        <v>10</v>
      </c>
      <c r="N4" s="13" t="s">
        <v>11</v>
      </c>
      <c r="O4" s="13" t="s">
        <v>12</v>
      </c>
      <c r="P4" s="13" t="s">
        <v>13</v>
      </c>
      <c r="Q4" s="13" t="s">
        <v>14</v>
      </c>
      <c r="R4" s="13" t="s">
        <v>15</v>
      </c>
      <c r="S4" s="13" t="s">
        <v>16</v>
      </c>
      <c r="T4" s="9"/>
    </row>
    <row r="5" spans="1:20" ht="33" customHeight="1" x14ac:dyDescent="0.25">
      <c r="A5" s="86" t="s">
        <v>17</v>
      </c>
      <c r="B5" s="8">
        <v>150</v>
      </c>
      <c r="C5" s="12">
        <v>39.6</v>
      </c>
      <c r="D5" s="12">
        <v>42.9</v>
      </c>
      <c r="E5" s="12">
        <v>39.6</v>
      </c>
      <c r="F5" s="12">
        <v>55.1</v>
      </c>
      <c r="G5" s="12">
        <v>53.1</v>
      </c>
      <c r="H5" s="12">
        <v>47</v>
      </c>
      <c r="I5" s="12">
        <v>24.4</v>
      </c>
      <c r="J5" s="12">
        <v>23.9</v>
      </c>
      <c r="K5" s="8"/>
      <c r="L5" s="13">
        <v>48.6</v>
      </c>
      <c r="M5" s="13">
        <v>56.1</v>
      </c>
      <c r="N5" s="13">
        <v>51.8</v>
      </c>
      <c r="O5" s="13">
        <v>53.3</v>
      </c>
      <c r="P5" s="13">
        <v>48.1</v>
      </c>
      <c r="Q5" s="13">
        <v>56.7</v>
      </c>
      <c r="R5" s="13">
        <v>52.5</v>
      </c>
      <c r="S5" s="13">
        <v>50.1</v>
      </c>
      <c r="T5" s="84" t="s">
        <v>35</v>
      </c>
    </row>
    <row r="6" spans="1:20" ht="33" customHeight="1" x14ac:dyDescent="0.25">
      <c r="A6" s="86"/>
      <c r="B6" s="8">
        <v>220</v>
      </c>
      <c r="C6" s="12">
        <v>38.6</v>
      </c>
      <c r="D6" s="12">
        <v>42.4</v>
      </c>
      <c r="E6" s="12">
        <v>39.200000000000003</v>
      </c>
      <c r="F6" s="12">
        <v>54.6</v>
      </c>
      <c r="G6" s="12">
        <v>52.7</v>
      </c>
      <c r="H6" s="12">
        <v>46.5</v>
      </c>
      <c r="I6" s="12">
        <v>24.6</v>
      </c>
      <c r="J6" s="12">
        <v>24.2</v>
      </c>
      <c r="K6" s="8"/>
      <c r="L6" s="13">
        <v>49.2</v>
      </c>
      <c r="M6" s="13">
        <v>55.9</v>
      </c>
      <c r="N6" s="13">
        <v>52</v>
      </c>
      <c r="O6" s="13">
        <v>52.9</v>
      </c>
      <c r="P6" s="13">
        <v>47.7</v>
      </c>
      <c r="Q6" s="13">
        <v>56.3</v>
      </c>
      <c r="R6" s="13">
        <v>52.1</v>
      </c>
      <c r="S6" s="13">
        <v>49.6</v>
      </c>
      <c r="T6" s="84"/>
    </row>
    <row r="7" spans="1:20" ht="33" customHeight="1" x14ac:dyDescent="0.25">
      <c r="A7" s="86"/>
      <c r="B7" s="8">
        <v>265</v>
      </c>
      <c r="C7" s="12">
        <v>39.1</v>
      </c>
      <c r="D7" s="12">
        <v>43.5</v>
      </c>
      <c r="E7" s="12">
        <v>39.4</v>
      </c>
      <c r="F7" s="12">
        <v>54.9</v>
      </c>
      <c r="G7" s="12">
        <v>53</v>
      </c>
      <c r="H7" s="12">
        <v>47</v>
      </c>
      <c r="I7" s="12">
        <v>24.3</v>
      </c>
      <c r="J7" s="12">
        <v>23.8</v>
      </c>
      <c r="K7" s="8"/>
      <c r="L7" s="13">
        <v>50.9</v>
      </c>
      <c r="M7" s="13">
        <v>56.2</v>
      </c>
      <c r="N7" s="13">
        <v>53.1</v>
      </c>
      <c r="O7" s="13">
        <v>53.3</v>
      </c>
      <c r="P7" s="13">
        <v>47.9</v>
      </c>
      <c r="Q7" s="13">
        <v>56.6</v>
      </c>
      <c r="R7" s="13">
        <v>52.3</v>
      </c>
      <c r="S7" s="13">
        <v>49.9</v>
      </c>
      <c r="T7" s="84"/>
    </row>
    <row r="8" spans="1:20" x14ac:dyDescent="0.25">
      <c r="A8" s="10"/>
      <c r="B8" s="8"/>
      <c r="C8" s="12"/>
      <c r="D8" s="12"/>
      <c r="E8" s="12"/>
      <c r="F8" s="12"/>
      <c r="G8" s="12"/>
      <c r="H8" s="12"/>
      <c r="I8" s="12"/>
      <c r="J8" s="12"/>
      <c r="K8" s="8"/>
      <c r="L8" s="13"/>
      <c r="M8" s="13"/>
      <c r="N8" s="13"/>
      <c r="O8" s="13"/>
      <c r="P8" s="13"/>
      <c r="Q8" s="13"/>
      <c r="R8" s="13"/>
      <c r="S8" s="13"/>
      <c r="T8" s="9"/>
    </row>
    <row r="9" spans="1:20" ht="33" customHeight="1" x14ac:dyDescent="0.25">
      <c r="A9" s="86" t="s">
        <v>18</v>
      </c>
      <c r="B9" s="8">
        <v>150</v>
      </c>
      <c r="C9" s="12">
        <v>64.7</v>
      </c>
      <c r="D9" s="12">
        <v>67.400000000000006</v>
      </c>
      <c r="E9" s="12">
        <v>70.2</v>
      </c>
      <c r="F9" s="12">
        <v>82.1</v>
      </c>
      <c r="G9" s="12">
        <v>81.2</v>
      </c>
      <c r="H9" s="12">
        <v>75.400000000000006</v>
      </c>
      <c r="I9" s="12">
        <v>50.3</v>
      </c>
      <c r="J9" s="12">
        <v>50.8</v>
      </c>
      <c r="K9" s="8"/>
      <c r="L9" s="13">
        <v>71.8</v>
      </c>
      <c r="M9" s="13">
        <v>80</v>
      </c>
      <c r="N9" s="13">
        <v>75</v>
      </c>
      <c r="O9" s="13">
        <v>77.7</v>
      </c>
      <c r="P9" s="13">
        <v>73.900000000000006</v>
      </c>
      <c r="Q9" s="13">
        <v>81.3</v>
      </c>
      <c r="R9" s="13">
        <v>77.2</v>
      </c>
      <c r="S9" s="13">
        <v>75.400000000000006</v>
      </c>
      <c r="T9" s="9"/>
    </row>
    <row r="10" spans="1:20" ht="150" x14ac:dyDescent="0.25">
      <c r="A10" s="86"/>
      <c r="B10" s="8">
        <v>220</v>
      </c>
      <c r="C10" s="12">
        <v>64.599999999999994</v>
      </c>
      <c r="D10" s="12">
        <v>68.5</v>
      </c>
      <c r="E10" s="12">
        <v>70.900000000000006</v>
      </c>
      <c r="F10" s="12">
        <v>82.5</v>
      </c>
      <c r="G10" s="12">
        <v>82.3</v>
      </c>
      <c r="H10" s="12">
        <v>76</v>
      </c>
      <c r="I10" s="12">
        <v>50.6</v>
      </c>
      <c r="J10" s="12">
        <v>51.2</v>
      </c>
      <c r="K10" s="8"/>
      <c r="L10" s="13">
        <v>73.400000000000006</v>
      </c>
      <c r="M10" s="13">
        <v>80.099999999999994</v>
      </c>
      <c r="N10" s="13">
        <v>76.3</v>
      </c>
      <c r="O10" s="13">
        <v>78</v>
      </c>
      <c r="P10" s="13">
        <v>74.099999999999994</v>
      </c>
      <c r="Q10" s="13">
        <v>81.5</v>
      </c>
      <c r="R10" s="13">
        <v>77.599999999999994</v>
      </c>
      <c r="S10" s="13">
        <v>76</v>
      </c>
      <c r="T10" s="11" t="s">
        <v>31</v>
      </c>
    </row>
    <row r="11" spans="1:20" ht="40.5" customHeight="1" x14ac:dyDescent="0.25">
      <c r="A11" s="86"/>
      <c r="B11" s="8">
        <v>265</v>
      </c>
      <c r="C11" s="12">
        <v>65.7</v>
      </c>
      <c r="D11" s="12">
        <v>70.5</v>
      </c>
      <c r="E11" s="12">
        <v>71.8</v>
      </c>
      <c r="F11" s="12">
        <v>83.9</v>
      </c>
      <c r="G11" s="12">
        <v>82.5</v>
      </c>
      <c r="H11" s="12">
        <v>77.7</v>
      </c>
      <c r="I11" s="12">
        <v>50.7</v>
      </c>
      <c r="J11" s="12">
        <v>51.1</v>
      </c>
      <c r="K11" s="8"/>
      <c r="L11" s="13">
        <v>75.900000000000006</v>
      </c>
      <c r="M11" s="13">
        <v>81.900000000000006</v>
      </c>
      <c r="N11" s="13">
        <v>78.7</v>
      </c>
      <c r="O11" s="13">
        <v>79.8</v>
      </c>
      <c r="P11" s="13">
        <v>75.599999999999994</v>
      </c>
      <c r="Q11" s="13">
        <v>83.2</v>
      </c>
      <c r="R11" s="13">
        <v>78.7</v>
      </c>
      <c r="S11" s="13">
        <v>77</v>
      </c>
      <c r="T11" s="9"/>
    </row>
    <row r="13" spans="1:20" x14ac:dyDescent="0.25">
      <c r="A13" s="89" t="s">
        <v>30</v>
      </c>
      <c r="B13" s="89"/>
      <c r="C13" s="89"/>
      <c r="D13" s="89"/>
      <c r="E13" s="89"/>
      <c r="F13" s="89"/>
      <c r="G13" s="89"/>
      <c r="I13" s="89" t="s">
        <v>32</v>
      </c>
      <c r="J13" s="89"/>
      <c r="K13" s="89"/>
      <c r="L13" s="89"/>
      <c r="M13" s="89"/>
      <c r="N13" s="89"/>
      <c r="O13" s="89"/>
    </row>
    <row r="14" spans="1:20" x14ac:dyDescent="0.25">
      <c r="A14" s="9"/>
      <c r="B14" s="9"/>
      <c r="C14" s="8" t="s">
        <v>19</v>
      </c>
      <c r="D14" s="8" t="s">
        <v>20</v>
      </c>
      <c r="E14" s="90" t="s">
        <v>21</v>
      </c>
      <c r="F14" s="90"/>
      <c r="G14" s="8" t="s">
        <v>22</v>
      </c>
      <c r="I14" s="9"/>
      <c r="J14" s="9"/>
      <c r="K14" s="8" t="s">
        <v>19</v>
      </c>
      <c r="L14" s="8" t="s">
        <v>20</v>
      </c>
      <c r="M14" s="90" t="s">
        <v>21</v>
      </c>
      <c r="N14" s="90"/>
      <c r="O14" s="8" t="s">
        <v>22</v>
      </c>
    </row>
    <row r="15" spans="1:20" ht="21.75" customHeight="1" x14ac:dyDescent="0.25">
      <c r="A15" s="90" t="s">
        <v>23</v>
      </c>
      <c r="B15" s="90"/>
      <c r="C15" s="8" t="s">
        <v>27</v>
      </c>
      <c r="D15" s="8" t="s">
        <v>27</v>
      </c>
      <c r="E15" s="88" t="s">
        <v>33</v>
      </c>
      <c r="F15" s="84"/>
      <c r="G15" s="8" t="s">
        <v>27</v>
      </c>
      <c r="I15" s="90" t="s">
        <v>23</v>
      </c>
      <c r="J15" s="90"/>
      <c r="K15" s="8" t="s">
        <v>27</v>
      </c>
      <c r="L15" s="8" t="s">
        <v>27</v>
      </c>
      <c r="M15" s="88" t="s">
        <v>43</v>
      </c>
      <c r="N15" s="84"/>
      <c r="O15" s="8" t="s">
        <v>27</v>
      </c>
    </row>
    <row r="16" spans="1:20" ht="136.5" customHeight="1" x14ac:dyDescent="0.25">
      <c r="A16" s="90" t="s">
        <v>24</v>
      </c>
      <c r="B16" s="90"/>
      <c r="C16" s="8" t="s">
        <v>27</v>
      </c>
      <c r="D16" s="8" t="s">
        <v>27</v>
      </c>
      <c r="E16" s="84"/>
      <c r="F16" s="84"/>
      <c r="G16" s="8" t="s">
        <v>27</v>
      </c>
      <c r="I16" s="90" t="s">
        <v>24</v>
      </c>
      <c r="J16" s="90"/>
      <c r="K16" s="8" t="s">
        <v>27</v>
      </c>
      <c r="L16" s="8" t="s">
        <v>27</v>
      </c>
      <c r="M16" s="84"/>
      <c r="N16" s="84"/>
      <c r="O16" s="8" t="s">
        <v>27</v>
      </c>
    </row>
    <row r="17" spans="1:20" ht="27.75" customHeight="1" x14ac:dyDescent="0.25">
      <c r="A17" s="90" t="s">
        <v>26</v>
      </c>
      <c r="B17" s="90"/>
      <c r="C17" s="8" t="s">
        <v>28</v>
      </c>
      <c r="D17" s="8" t="s">
        <v>28</v>
      </c>
      <c r="E17" s="90" t="s">
        <v>29</v>
      </c>
      <c r="F17" s="90"/>
      <c r="G17" s="8" t="s">
        <v>28</v>
      </c>
      <c r="I17" s="90" t="s">
        <v>26</v>
      </c>
      <c r="J17" s="90"/>
      <c r="K17" s="8" t="s">
        <v>28</v>
      </c>
      <c r="L17" s="8" t="s">
        <v>28</v>
      </c>
      <c r="M17" s="90" t="s">
        <v>29</v>
      </c>
      <c r="N17" s="90"/>
      <c r="O17" s="8" t="s">
        <v>28</v>
      </c>
    </row>
    <row r="18" spans="1:20" ht="30" customHeight="1" x14ac:dyDescent="0.25">
      <c r="A18" s="90" t="s">
        <v>25</v>
      </c>
      <c r="B18" s="90"/>
      <c r="C18" s="8" t="s">
        <v>29</v>
      </c>
      <c r="D18" s="8" t="s">
        <v>29</v>
      </c>
      <c r="E18" s="90" t="s">
        <v>29</v>
      </c>
      <c r="F18" s="90"/>
      <c r="G18" s="8" t="s">
        <v>29</v>
      </c>
      <c r="I18" s="90" t="s">
        <v>25</v>
      </c>
      <c r="J18" s="90"/>
      <c r="K18" s="8" t="s">
        <v>29</v>
      </c>
      <c r="L18" s="8" t="s">
        <v>29</v>
      </c>
      <c r="M18" s="90" t="s">
        <v>29</v>
      </c>
      <c r="N18" s="90"/>
      <c r="O18" s="8" t="s">
        <v>29</v>
      </c>
    </row>
    <row r="20" spans="1:20" ht="180.75" customHeight="1" x14ac:dyDescent="0.25">
      <c r="A20" s="54" t="s">
        <v>34</v>
      </c>
      <c r="B20" s="54"/>
      <c r="C20" s="54"/>
      <c r="D20" s="54"/>
      <c r="E20" s="54"/>
      <c r="F20" s="54"/>
      <c r="G20" s="54"/>
      <c r="H20" s="54"/>
      <c r="I20" s="54"/>
      <c r="J20" s="14"/>
      <c r="K20" s="14"/>
      <c r="L20" s="14"/>
      <c r="M20" s="14"/>
      <c r="N20" s="14"/>
      <c r="O20" s="14"/>
      <c r="T20" s="7" t="s">
        <v>36</v>
      </c>
    </row>
    <row r="21" spans="1:20" ht="153.75" customHeight="1" x14ac:dyDescent="0.25">
      <c r="A21" s="91" t="s">
        <v>37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</row>
    <row r="22" spans="1:20" ht="159.75" customHeight="1" x14ac:dyDescent="0.25">
      <c r="A22" s="91" t="s">
        <v>38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</row>
    <row r="25" spans="1:20" x14ac:dyDescent="0.25">
      <c r="B25" t="s">
        <v>39</v>
      </c>
      <c r="C25" t="s">
        <v>40</v>
      </c>
    </row>
    <row r="26" spans="1:20" x14ac:dyDescent="0.25">
      <c r="B26" t="s">
        <v>41</v>
      </c>
      <c r="C26" t="s">
        <v>42</v>
      </c>
    </row>
  </sheetData>
  <mergeCells count="27">
    <mergeCell ref="A21:O21"/>
    <mergeCell ref="A22:O22"/>
    <mergeCell ref="I17:J17"/>
    <mergeCell ref="M17:N17"/>
    <mergeCell ref="I18:J18"/>
    <mergeCell ref="M18:N18"/>
    <mergeCell ref="A20:I20"/>
    <mergeCell ref="A17:B17"/>
    <mergeCell ref="A18:B18"/>
    <mergeCell ref="E17:F17"/>
    <mergeCell ref="E18:F18"/>
    <mergeCell ref="E15:F16"/>
    <mergeCell ref="A13:G13"/>
    <mergeCell ref="I13:O13"/>
    <mergeCell ref="M14:N14"/>
    <mergeCell ref="I15:J15"/>
    <mergeCell ref="M15:N16"/>
    <mergeCell ref="I16:J16"/>
    <mergeCell ref="A15:B15"/>
    <mergeCell ref="A16:B16"/>
    <mergeCell ref="E14:F14"/>
    <mergeCell ref="T5:T7"/>
    <mergeCell ref="I4:J4"/>
    <mergeCell ref="A5:A7"/>
    <mergeCell ref="A9:A11"/>
    <mergeCell ref="C2:J2"/>
    <mergeCell ref="L2:S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617C-B5CC-4C24-9732-05A0653A8458}">
  <dimension ref="A1:F26"/>
  <sheetViews>
    <sheetView workbookViewId="0">
      <selection activeCell="D27" sqref="D27"/>
    </sheetView>
  </sheetViews>
  <sheetFormatPr defaultRowHeight="15" x14ac:dyDescent="0.25"/>
  <cols>
    <col min="2" max="2" width="32.5703125" customWidth="1"/>
    <col min="3" max="3" width="18.42578125" customWidth="1"/>
    <col min="4" max="4" width="15.7109375" style="39" customWidth="1"/>
    <col min="5" max="5" width="14.28515625" customWidth="1"/>
    <col min="6" max="6" width="58.85546875" bestFit="1" customWidth="1"/>
    <col min="7" max="7" width="38.7109375" customWidth="1"/>
    <col min="8" max="8" width="13.5703125" bestFit="1" customWidth="1"/>
  </cols>
  <sheetData>
    <row r="1" spans="1:6" x14ac:dyDescent="0.25">
      <c r="A1" s="6" t="s">
        <v>147</v>
      </c>
      <c r="B1" s="6" t="s">
        <v>148</v>
      </c>
      <c r="C1" s="6" t="s">
        <v>152</v>
      </c>
      <c r="D1" s="6" t="s">
        <v>215</v>
      </c>
      <c r="E1" s="6" t="s">
        <v>216</v>
      </c>
      <c r="F1" s="6" t="s">
        <v>160</v>
      </c>
    </row>
    <row r="2" spans="1:6" x14ac:dyDescent="0.25">
      <c r="A2" s="6">
        <v>1</v>
      </c>
      <c r="B2" t="s">
        <v>198</v>
      </c>
      <c r="C2" t="s">
        <v>217</v>
      </c>
      <c r="D2" s="40">
        <v>150</v>
      </c>
      <c r="E2" s="6" t="s">
        <v>199</v>
      </c>
    </row>
    <row r="3" spans="1:6" x14ac:dyDescent="0.25">
      <c r="A3" s="6">
        <v>2</v>
      </c>
      <c r="B3" t="s">
        <v>196</v>
      </c>
      <c r="C3" t="s">
        <v>218</v>
      </c>
      <c r="D3" s="40">
        <v>265</v>
      </c>
      <c r="E3" s="6" t="s">
        <v>199</v>
      </c>
    </row>
    <row r="4" spans="1:6" x14ac:dyDescent="0.25">
      <c r="A4" s="6">
        <v>3</v>
      </c>
      <c r="B4" t="s">
        <v>250</v>
      </c>
      <c r="C4" t="s">
        <v>252</v>
      </c>
      <c r="D4" s="40">
        <v>50</v>
      </c>
      <c r="E4" s="6" t="s">
        <v>205</v>
      </c>
    </row>
    <row r="5" spans="1:6" x14ac:dyDescent="0.25">
      <c r="A5" s="6">
        <v>4</v>
      </c>
      <c r="B5" t="s">
        <v>251</v>
      </c>
      <c r="C5" t="s">
        <v>253</v>
      </c>
      <c r="D5" s="40">
        <v>60</v>
      </c>
      <c r="E5" s="6" t="s">
        <v>205</v>
      </c>
    </row>
    <row r="6" spans="1:6" x14ac:dyDescent="0.25">
      <c r="A6" s="6">
        <v>5</v>
      </c>
      <c r="B6" t="s">
        <v>224</v>
      </c>
      <c r="C6" t="s">
        <v>219</v>
      </c>
      <c r="D6" s="41">
        <f>D2*SQRT(2)</f>
        <v>212.13203435596427</v>
      </c>
      <c r="E6" s="6" t="s">
        <v>221</v>
      </c>
      <c r="F6" t="s">
        <v>222</v>
      </c>
    </row>
    <row r="7" spans="1:6" x14ac:dyDescent="0.25">
      <c r="A7" s="6">
        <v>6</v>
      </c>
      <c r="B7" t="s">
        <v>225</v>
      </c>
      <c r="C7" t="s">
        <v>220</v>
      </c>
      <c r="D7" s="41">
        <f>D3*SQRT(2)</f>
        <v>374.7665940288702</v>
      </c>
      <c r="E7" s="6" t="s">
        <v>221</v>
      </c>
      <c r="F7" t="s">
        <v>223</v>
      </c>
    </row>
    <row r="8" spans="1:6" x14ac:dyDescent="0.25">
      <c r="A8" s="6">
        <v>7</v>
      </c>
      <c r="B8" t="s">
        <v>226</v>
      </c>
      <c r="C8" t="s">
        <v>228</v>
      </c>
      <c r="D8" s="41">
        <f>D6-D6*D11/200-2*D10</f>
        <v>178.91222920256962</v>
      </c>
      <c r="E8" s="6"/>
      <c r="F8" t="s">
        <v>234</v>
      </c>
    </row>
    <row r="9" spans="1:6" x14ac:dyDescent="0.25">
      <c r="A9" s="6">
        <v>8</v>
      </c>
      <c r="B9" t="s">
        <v>227</v>
      </c>
      <c r="C9" t="s">
        <v>229</v>
      </c>
      <c r="D9" s="41">
        <f>D7-D7*D11/200-2*D10</f>
        <v>317.1516049245397</v>
      </c>
      <c r="E9" s="6"/>
      <c r="F9" t="s">
        <v>235</v>
      </c>
    </row>
    <row r="10" spans="1:6" x14ac:dyDescent="0.25">
      <c r="A10" s="6">
        <v>9</v>
      </c>
      <c r="B10" t="s">
        <v>230</v>
      </c>
      <c r="C10" t="s">
        <v>231</v>
      </c>
      <c r="D10" s="40">
        <v>0.7</v>
      </c>
      <c r="E10" s="6"/>
    </row>
    <row r="11" spans="1:6" s="33" customFormat="1" ht="30" x14ac:dyDescent="0.25">
      <c r="A11" s="6">
        <v>10</v>
      </c>
      <c r="B11" s="33" t="s">
        <v>232</v>
      </c>
      <c r="C11" s="33" t="s">
        <v>233</v>
      </c>
      <c r="D11" s="42">
        <v>30</v>
      </c>
      <c r="E11" s="6" t="s">
        <v>190</v>
      </c>
      <c r="F11" s="38" t="s">
        <v>267</v>
      </c>
    </row>
    <row r="12" spans="1:6" x14ac:dyDescent="0.25">
      <c r="A12" s="6">
        <v>11</v>
      </c>
      <c r="B12" t="s">
        <v>237</v>
      </c>
      <c r="C12" t="s">
        <v>241</v>
      </c>
      <c r="D12" s="40">
        <v>5</v>
      </c>
      <c r="E12" s="6" t="s">
        <v>221</v>
      </c>
    </row>
    <row r="13" spans="1:6" x14ac:dyDescent="0.25">
      <c r="A13" s="6">
        <v>12</v>
      </c>
      <c r="B13" t="s">
        <v>285</v>
      </c>
      <c r="C13" t="s">
        <v>287</v>
      </c>
      <c r="D13" s="40">
        <v>0.5</v>
      </c>
      <c r="E13" s="6" t="s">
        <v>55</v>
      </c>
      <c r="F13" t="s">
        <v>286</v>
      </c>
    </row>
    <row r="14" spans="1:6" x14ac:dyDescent="0.25">
      <c r="A14" s="6">
        <v>13</v>
      </c>
      <c r="B14" t="s">
        <v>277</v>
      </c>
      <c r="C14" t="s">
        <v>242</v>
      </c>
      <c r="D14" s="40">
        <f>D13*0.8</f>
        <v>0.4</v>
      </c>
      <c r="E14" s="6" t="s">
        <v>55</v>
      </c>
      <c r="F14" t="s">
        <v>281</v>
      </c>
    </row>
    <row r="15" spans="1:6" x14ac:dyDescent="0.25">
      <c r="A15" s="6">
        <v>14</v>
      </c>
      <c r="B15" t="s">
        <v>276</v>
      </c>
      <c r="C15" t="s">
        <v>243</v>
      </c>
      <c r="D15" s="41">
        <f>D12*D14</f>
        <v>2</v>
      </c>
      <c r="E15" s="6" t="s">
        <v>244</v>
      </c>
      <c r="F15" t="s">
        <v>248</v>
      </c>
    </row>
    <row r="16" spans="1:6" ht="15.75" customHeight="1" x14ac:dyDescent="0.25">
      <c r="A16" s="6">
        <v>15</v>
      </c>
      <c r="B16" t="s">
        <v>239</v>
      </c>
      <c r="C16" t="s">
        <v>245</v>
      </c>
      <c r="D16" s="40">
        <v>65</v>
      </c>
      <c r="E16" s="6" t="s">
        <v>190</v>
      </c>
    </row>
    <row r="17" spans="1:6" x14ac:dyDescent="0.25">
      <c r="A17" s="6">
        <v>16</v>
      </c>
      <c r="B17" t="s">
        <v>240</v>
      </c>
      <c r="C17" t="s">
        <v>246</v>
      </c>
      <c r="D17" s="41">
        <f>D15*100/D16</f>
        <v>3.0769230769230771</v>
      </c>
      <c r="E17" s="6" t="s">
        <v>244</v>
      </c>
      <c r="F17" t="s">
        <v>247</v>
      </c>
    </row>
    <row r="18" spans="1:6" ht="30" x14ac:dyDescent="0.25">
      <c r="A18" s="6">
        <v>17</v>
      </c>
      <c r="B18" s="32" t="s">
        <v>249</v>
      </c>
      <c r="C18" t="s">
        <v>254</v>
      </c>
      <c r="D18" s="45">
        <f>D17/(2*D4)</f>
        <v>3.0769230769230771E-2</v>
      </c>
      <c r="E18" s="6" t="s">
        <v>255</v>
      </c>
      <c r="F18" t="s">
        <v>256</v>
      </c>
    </row>
    <row r="19" spans="1:6" x14ac:dyDescent="0.25">
      <c r="A19" s="6">
        <v>18</v>
      </c>
      <c r="B19" t="s">
        <v>259</v>
      </c>
      <c r="C19" t="s">
        <v>257</v>
      </c>
      <c r="D19" s="43">
        <f>1000000*((2*D18)/(D6^2-D8^2))</f>
        <v>4.7372208763444288</v>
      </c>
      <c r="E19" s="6" t="s">
        <v>258</v>
      </c>
      <c r="F19" t="s">
        <v>262</v>
      </c>
    </row>
    <row r="20" spans="1:6" x14ac:dyDescent="0.25">
      <c r="A20" s="6">
        <v>19</v>
      </c>
      <c r="B20" t="s">
        <v>260</v>
      </c>
      <c r="C20" t="s">
        <v>261</v>
      </c>
      <c r="D20" s="43">
        <f>1000000*((2*D18)/(D7^2-D9^2))</f>
        <v>1.5436768703035266</v>
      </c>
      <c r="E20" s="6" t="s">
        <v>258</v>
      </c>
      <c r="F20" t="s">
        <v>263</v>
      </c>
    </row>
    <row r="21" spans="1:6" x14ac:dyDescent="0.25">
      <c r="C21" s="39"/>
      <c r="D21"/>
      <c r="E21" s="6"/>
    </row>
    <row r="22" spans="1:6" ht="23.25" customHeight="1" x14ac:dyDescent="0.25">
      <c r="A22" s="58" t="s">
        <v>264</v>
      </c>
      <c r="B22" s="57" t="s">
        <v>265</v>
      </c>
      <c r="C22" s="59" t="s">
        <v>266</v>
      </c>
      <c r="D22" s="44">
        <v>2.2000000000000002</v>
      </c>
      <c r="E22" s="6" t="s">
        <v>258</v>
      </c>
    </row>
    <row r="23" spans="1:6" ht="23.25" customHeight="1" x14ac:dyDescent="0.25">
      <c r="A23" s="58"/>
      <c r="B23" s="57"/>
      <c r="C23" s="59"/>
      <c r="D23" s="48">
        <v>3.3</v>
      </c>
      <c r="E23" s="42" t="s">
        <v>258</v>
      </c>
    </row>
    <row r="24" spans="1:6" ht="23.25" customHeight="1" x14ac:dyDescent="0.25">
      <c r="A24" s="58"/>
      <c r="B24" s="57"/>
      <c r="C24" s="59"/>
      <c r="D24" s="48">
        <v>4.7</v>
      </c>
      <c r="E24" s="42" t="s">
        <v>258</v>
      </c>
    </row>
    <row r="25" spans="1:6" ht="23.25" customHeight="1" x14ac:dyDescent="0.25">
      <c r="A25" s="58"/>
      <c r="B25" s="57"/>
      <c r="C25" s="59"/>
      <c r="D25" s="44">
        <v>5.6</v>
      </c>
      <c r="E25" s="6" t="s">
        <v>258</v>
      </c>
    </row>
    <row r="26" spans="1:6" x14ac:dyDescent="0.25">
      <c r="C26" s="39"/>
      <c r="D26"/>
    </row>
  </sheetData>
  <mergeCells count="3">
    <mergeCell ref="B22:B25"/>
    <mergeCell ref="A22:A25"/>
    <mergeCell ref="C22:C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D5C6-B4BB-4A8B-9904-D8E35D7FDB04}">
  <dimension ref="A1:X27"/>
  <sheetViews>
    <sheetView zoomScale="85" zoomScaleNormal="85" workbookViewId="0">
      <selection activeCell="N38" sqref="N38"/>
    </sheetView>
  </sheetViews>
  <sheetFormatPr defaultRowHeight="15" x14ac:dyDescent="0.25"/>
  <cols>
    <col min="8" max="8" width="13.5703125" bestFit="1" customWidth="1"/>
  </cols>
  <sheetData>
    <row r="1" spans="1:20" x14ac:dyDescent="0.25">
      <c r="A1" s="28"/>
      <c r="B1" s="28"/>
      <c r="C1" s="28"/>
      <c r="D1" s="28"/>
      <c r="E1" s="28"/>
      <c r="F1" s="28"/>
      <c r="G1" s="28"/>
      <c r="H1" s="28"/>
      <c r="I1" s="28"/>
    </row>
    <row r="2" spans="1:20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20" x14ac:dyDescent="0.25">
      <c r="A3" s="28"/>
      <c r="B3" s="28"/>
      <c r="C3" s="28"/>
      <c r="D3" s="28"/>
      <c r="E3" s="28"/>
      <c r="F3" s="28"/>
      <c r="G3" s="28"/>
      <c r="H3" s="28" t="s">
        <v>120</v>
      </c>
      <c r="I3" s="28"/>
      <c r="S3" t="s">
        <v>124</v>
      </c>
    </row>
    <row r="4" spans="1:20" x14ac:dyDescent="0.25">
      <c r="A4" s="28"/>
      <c r="B4" s="28"/>
      <c r="C4" s="28"/>
      <c r="D4" s="28"/>
      <c r="E4" s="28"/>
      <c r="F4" s="28"/>
      <c r="G4" s="28"/>
      <c r="H4" s="28" t="s">
        <v>129</v>
      </c>
      <c r="I4" s="28"/>
      <c r="S4" t="s">
        <v>129</v>
      </c>
    </row>
    <row r="5" spans="1:20" x14ac:dyDescent="0.25">
      <c r="A5" s="28"/>
      <c r="B5" s="28"/>
      <c r="C5" s="28"/>
      <c r="D5" s="28"/>
      <c r="E5" s="28"/>
      <c r="F5" s="28"/>
      <c r="G5" s="28"/>
      <c r="H5" s="28" t="s">
        <v>122</v>
      </c>
      <c r="I5" s="28"/>
      <c r="S5" t="s">
        <v>125</v>
      </c>
    </row>
    <row r="6" spans="1:20" x14ac:dyDescent="0.25">
      <c r="A6" s="28"/>
      <c r="B6" s="28"/>
      <c r="C6" s="28"/>
      <c r="D6" s="28"/>
      <c r="E6" s="28"/>
      <c r="F6" s="28"/>
      <c r="G6" s="28"/>
      <c r="H6" s="28"/>
      <c r="I6" s="28"/>
      <c r="S6" t="s">
        <v>136</v>
      </c>
      <c r="T6" s="29">
        <f>128*128/150000</f>
        <v>0.10922666666666667</v>
      </c>
    </row>
    <row r="7" spans="1:20" x14ac:dyDescent="0.25">
      <c r="A7" s="28"/>
      <c r="B7" s="28"/>
      <c r="C7" s="28"/>
      <c r="D7" s="28"/>
      <c r="E7" s="28"/>
      <c r="F7" s="28"/>
      <c r="G7" s="28"/>
      <c r="H7" s="28" t="s">
        <v>136</v>
      </c>
      <c r="I7" s="29">
        <f>144*144/220000</f>
        <v>9.4254545454545452E-2</v>
      </c>
    </row>
    <row r="8" spans="1:20" x14ac:dyDescent="0.25">
      <c r="A8" s="28"/>
      <c r="B8" s="28"/>
      <c r="C8" s="28"/>
      <c r="D8" s="28"/>
      <c r="E8" s="28"/>
      <c r="F8" s="28"/>
      <c r="G8" s="28"/>
      <c r="H8" s="28"/>
      <c r="I8" s="28"/>
    </row>
    <row r="9" spans="1:20" x14ac:dyDescent="0.25">
      <c r="A9" s="28"/>
      <c r="B9" s="28"/>
      <c r="C9" s="28"/>
      <c r="D9" s="28"/>
      <c r="E9" s="28"/>
      <c r="F9" s="28"/>
      <c r="G9" s="28"/>
      <c r="H9" s="28"/>
      <c r="I9" s="28"/>
    </row>
    <row r="10" spans="1:20" x14ac:dyDescent="0.25">
      <c r="A10" s="28"/>
      <c r="B10" s="28"/>
      <c r="C10" s="28"/>
      <c r="D10" s="28"/>
      <c r="E10" s="28"/>
      <c r="F10" s="28"/>
      <c r="G10" s="28"/>
      <c r="H10" s="28"/>
      <c r="I10" s="28"/>
    </row>
    <row r="11" spans="1:20" x14ac:dyDescent="0.25">
      <c r="A11" s="28"/>
      <c r="B11" s="28"/>
      <c r="C11" s="28"/>
      <c r="D11" s="28"/>
      <c r="E11" s="28"/>
      <c r="F11" s="28"/>
      <c r="G11" s="28"/>
      <c r="H11" s="28"/>
      <c r="I11" s="28"/>
    </row>
    <row r="12" spans="1:20" x14ac:dyDescent="0.25">
      <c r="A12" s="28"/>
      <c r="B12" s="28"/>
      <c r="C12" s="28"/>
      <c r="D12" s="28"/>
      <c r="E12" s="28"/>
      <c r="F12" s="28"/>
      <c r="G12" s="28"/>
      <c r="H12" s="28"/>
      <c r="I12" s="28"/>
    </row>
    <row r="13" spans="1:20" x14ac:dyDescent="0.25">
      <c r="A13" s="28"/>
      <c r="B13" s="28"/>
      <c r="C13" s="28"/>
      <c r="D13" s="28"/>
      <c r="E13" s="28"/>
      <c r="F13" s="28"/>
      <c r="G13" s="28"/>
      <c r="H13" s="28"/>
      <c r="I13" s="28"/>
    </row>
    <row r="14" spans="1:20" x14ac:dyDescent="0.25">
      <c r="A14" s="28"/>
      <c r="B14" s="28"/>
      <c r="C14" s="28"/>
      <c r="D14" s="28"/>
      <c r="E14" s="28"/>
      <c r="F14" s="28"/>
      <c r="G14" s="28"/>
      <c r="H14" s="28"/>
      <c r="I14" s="28"/>
    </row>
    <row r="15" spans="1:20" x14ac:dyDescent="0.25">
      <c r="A15" s="28"/>
      <c r="B15" s="28"/>
      <c r="C15" s="28"/>
      <c r="D15" s="28"/>
      <c r="E15" s="28"/>
      <c r="F15" s="28"/>
      <c r="G15" s="28"/>
      <c r="H15" s="28"/>
      <c r="I15" s="28"/>
    </row>
    <row r="16" spans="1:20" x14ac:dyDescent="0.25">
      <c r="A16" s="28"/>
      <c r="B16" s="28"/>
      <c r="C16" s="28"/>
      <c r="D16" s="28"/>
      <c r="E16" s="28"/>
      <c r="F16" s="28"/>
      <c r="G16" s="28"/>
      <c r="H16" s="28"/>
      <c r="I16" s="28"/>
    </row>
    <row r="20" spans="8:24" x14ac:dyDescent="0.25">
      <c r="H20" t="s">
        <v>121</v>
      </c>
      <c r="S20" t="s">
        <v>126</v>
      </c>
    </row>
    <row r="21" spans="8:24" x14ac:dyDescent="0.25">
      <c r="H21" t="s">
        <v>129</v>
      </c>
      <c r="S21" t="s">
        <v>129</v>
      </c>
    </row>
    <row r="22" spans="8:24" x14ac:dyDescent="0.25">
      <c r="S22" t="s">
        <v>127</v>
      </c>
    </row>
    <row r="23" spans="8:24" x14ac:dyDescent="0.25">
      <c r="H23" t="s">
        <v>123</v>
      </c>
      <c r="W23" t="s">
        <v>128</v>
      </c>
    </row>
    <row r="24" spans="8:24" x14ac:dyDescent="0.25">
      <c r="S24" t="s">
        <v>136</v>
      </c>
      <c r="T24" s="29">
        <f>104*104/75000</f>
        <v>0.14421333333333333</v>
      </c>
    </row>
    <row r="25" spans="8:24" x14ac:dyDescent="0.25">
      <c r="H25" t="s">
        <v>136</v>
      </c>
      <c r="I25" s="29">
        <f>220*220/1000000</f>
        <v>4.8399999999999999E-2</v>
      </c>
      <c r="X25" t="s">
        <v>126</v>
      </c>
    </row>
    <row r="26" spans="8:24" x14ac:dyDescent="0.25">
      <c r="X26" t="s">
        <v>130</v>
      </c>
    </row>
    <row r="27" spans="8:24" x14ac:dyDescent="0.25">
      <c r="X27" t="s">
        <v>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C92C-CDA8-4FC8-811A-25E8213D697A}">
  <dimension ref="A1:J73"/>
  <sheetViews>
    <sheetView tabSelected="1" topLeftCell="A52" zoomScale="115" zoomScaleNormal="115" workbookViewId="0">
      <selection activeCell="S64" sqref="S64"/>
    </sheetView>
  </sheetViews>
  <sheetFormatPr defaultRowHeight="15" x14ac:dyDescent="0.25"/>
  <cols>
    <col min="2" max="2" width="24" style="47" bestFit="1" customWidth="1"/>
    <col min="3" max="3" width="10.42578125" bestFit="1" customWidth="1"/>
    <col min="4" max="4" width="12.7109375" customWidth="1"/>
    <col min="6" max="6" width="15.85546875" customWidth="1"/>
    <col min="8" max="8" width="13.5703125" bestFit="1" customWidth="1"/>
  </cols>
  <sheetData>
    <row r="1" spans="1:7" x14ac:dyDescent="0.25">
      <c r="A1" s="60" t="s">
        <v>269</v>
      </c>
      <c r="B1" s="60"/>
      <c r="C1" s="60"/>
      <c r="D1" s="60"/>
      <c r="E1" s="60"/>
      <c r="F1" s="60"/>
      <c r="G1" s="60"/>
    </row>
    <row r="2" spans="1:7" x14ac:dyDescent="0.25">
      <c r="A2" s="39">
        <v>1</v>
      </c>
      <c r="B2" s="47" t="s">
        <v>238</v>
      </c>
      <c r="C2" s="6" t="s">
        <v>243</v>
      </c>
      <c r="D2" s="42">
        <f>'Tụ hóa đầu vào'!D15</f>
        <v>2</v>
      </c>
      <c r="E2" s="6" t="s">
        <v>244</v>
      </c>
    </row>
    <row r="3" spans="1:7" x14ac:dyDescent="0.25">
      <c r="A3" s="39">
        <v>2</v>
      </c>
      <c r="B3" s="47" t="s">
        <v>239</v>
      </c>
      <c r="C3" s="6" t="s">
        <v>245</v>
      </c>
      <c r="D3" s="42">
        <f>'Tụ hóa đầu vào'!D16</f>
        <v>65</v>
      </c>
      <c r="E3" s="6" t="s">
        <v>190</v>
      </c>
    </row>
    <row r="4" spans="1:7" x14ac:dyDescent="0.25">
      <c r="A4" s="39">
        <v>3</v>
      </c>
      <c r="B4" s="47" t="s">
        <v>270</v>
      </c>
      <c r="C4" s="6" t="s">
        <v>253</v>
      </c>
      <c r="D4" s="42">
        <v>55</v>
      </c>
      <c r="E4" s="6" t="s">
        <v>271</v>
      </c>
      <c r="F4" t="s">
        <v>284</v>
      </c>
    </row>
    <row r="5" spans="1:7" x14ac:dyDescent="0.25">
      <c r="A5" s="39">
        <v>4</v>
      </c>
      <c r="B5" s="47" t="s">
        <v>272</v>
      </c>
      <c r="C5" s="6" t="s">
        <v>273</v>
      </c>
      <c r="D5" s="42">
        <f>Sheet1!J43</f>
        <v>0.33333333333333331</v>
      </c>
      <c r="E5" s="6" t="s">
        <v>55</v>
      </c>
    </row>
    <row r="6" spans="1:7" x14ac:dyDescent="0.25">
      <c r="A6" s="39">
        <v>5</v>
      </c>
      <c r="B6" s="47" t="s">
        <v>280</v>
      </c>
      <c r="C6" s="6" t="s">
        <v>274</v>
      </c>
      <c r="D6" s="45">
        <f>(2*D2)/((D3/100)*(D4*1000)*(D5^2))*1000</f>
        <v>1.0069930069930069</v>
      </c>
      <c r="E6" s="6" t="s">
        <v>275</v>
      </c>
    </row>
    <row r="8" spans="1:7" ht="45" customHeight="1" x14ac:dyDescent="0.25">
      <c r="A8" s="37" t="s">
        <v>279</v>
      </c>
      <c r="B8" s="35" t="s">
        <v>278</v>
      </c>
      <c r="C8" s="6" t="s">
        <v>274</v>
      </c>
      <c r="D8" s="46">
        <f>ROUNDUP(D6,3)</f>
        <v>1.0069999999999999</v>
      </c>
      <c r="E8" s="6" t="s">
        <v>275</v>
      </c>
    </row>
    <row r="10" spans="1:7" x14ac:dyDescent="0.25">
      <c r="A10" s="61" t="s">
        <v>296</v>
      </c>
      <c r="B10" s="61"/>
      <c r="C10" s="61"/>
      <c r="D10" s="61"/>
      <c r="E10" s="61"/>
      <c r="F10" s="61"/>
      <c r="G10" s="61"/>
    </row>
    <row r="11" spans="1:7" x14ac:dyDescent="0.25">
      <c r="A11" t="s">
        <v>295</v>
      </c>
    </row>
    <row r="12" spans="1:7" x14ac:dyDescent="0.25">
      <c r="A12" t="s">
        <v>288</v>
      </c>
      <c r="B12" s="47">
        <v>2.75</v>
      </c>
      <c r="C12" t="s">
        <v>294</v>
      </c>
      <c r="D12">
        <v>2.6</v>
      </c>
      <c r="E12" t="s">
        <v>294</v>
      </c>
    </row>
    <row r="13" spans="1:7" ht="12" customHeight="1" x14ac:dyDescent="0.25">
      <c r="A13" t="s">
        <v>289</v>
      </c>
      <c r="B13" s="47">
        <v>6.15</v>
      </c>
      <c r="C13" t="s">
        <v>294</v>
      </c>
      <c r="D13">
        <v>6</v>
      </c>
      <c r="E13" t="s">
        <v>294</v>
      </c>
    </row>
    <row r="14" spans="1:7" x14ac:dyDescent="0.25">
      <c r="A14" t="s">
        <v>290</v>
      </c>
      <c r="B14" s="47">
        <f>B13*B12</f>
        <v>16.912500000000001</v>
      </c>
      <c r="C14" t="s">
        <v>159</v>
      </c>
      <c r="D14">
        <f>D13*D12</f>
        <v>15.600000000000001</v>
      </c>
    </row>
    <row r="15" spans="1:7" x14ac:dyDescent="0.25">
      <c r="A15" t="s">
        <v>291</v>
      </c>
      <c r="B15" s="47">
        <v>0.3</v>
      </c>
    </row>
    <row r="16" spans="1:7" x14ac:dyDescent="0.25">
      <c r="A16" t="s">
        <v>292</v>
      </c>
      <c r="B16" s="47">
        <v>0.5</v>
      </c>
      <c r="C16" t="s">
        <v>55</v>
      </c>
    </row>
    <row r="18" spans="1:10" x14ac:dyDescent="0.25">
      <c r="A18" s="59" t="s">
        <v>293</v>
      </c>
      <c r="B18" s="47">
        <f>D8*B16*10^3/(B15*B14)</f>
        <v>99.236265089923606</v>
      </c>
    </row>
    <row r="19" spans="1:10" x14ac:dyDescent="0.25">
      <c r="A19" s="59"/>
      <c r="B19" s="47">
        <f>D8*B16*10^3/(B15*D14)</f>
        <v>107.58547008547006</v>
      </c>
    </row>
    <row r="21" spans="1:10" x14ac:dyDescent="0.25">
      <c r="A21" s="62" t="s">
        <v>297</v>
      </c>
      <c r="B21" s="62"/>
      <c r="C21" s="62"/>
      <c r="D21" s="62"/>
    </row>
    <row r="23" spans="1:10" x14ac:dyDescent="0.25">
      <c r="A23" s="62" t="s">
        <v>298</v>
      </c>
      <c r="B23" s="62"/>
      <c r="C23" s="62"/>
      <c r="D23" s="62"/>
      <c r="E23" s="62"/>
      <c r="F23" s="62"/>
      <c r="G23" s="62"/>
    </row>
    <row r="25" spans="1:10" x14ac:dyDescent="0.25">
      <c r="B25" s="63" t="s">
        <v>317</v>
      </c>
      <c r="C25" s="63"/>
      <c r="D25" s="63"/>
      <c r="E25" s="63"/>
    </row>
    <row r="26" spans="1:10" s="6" customFormat="1" ht="30" x14ac:dyDescent="0.25">
      <c r="A26" s="6">
        <v>1</v>
      </c>
      <c r="B26" s="35" t="s">
        <v>341</v>
      </c>
      <c r="C26" s="6" t="s">
        <v>301</v>
      </c>
      <c r="D26" s="45">
        <f>B19/D32</f>
        <v>8.6361266243121921</v>
      </c>
      <c r="E26" s="6" t="s">
        <v>300</v>
      </c>
      <c r="F26" s="59"/>
      <c r="G26" s="59"/>
      <c r="H26" s="59"/>
      <c r="I26" s="59"/>
      <c r="J26" s="59"/>
    </row>
    <row r="27" spans="1:10" s="6" customFormat="1" ht="30" x14ac:dyDescent="0.25">
      <c r="A27" s="6">
        <v>2</v>
      </c>
      <c r="B27" s="35" t="s">
        <v>299</v>
      </c>
      <c r="C27" s="6" t="str">
        <f>A18</f>
        <v>N_p.min</v>
      </c>
      <c r="D27" s="45">
        <f>B19</f>
        <v>107.58547008547006</v>
      </c>
      <c r="E27" s="6" t="s">
        <v>300</v>
      </c>
    </row>
    <row r="28" spans="1:10" s="6" customFormat="1" ht="30" x14ac:dyDescent="0.25">
      <c r="A28" s="6">
        <v>5</v>
      </c>
      <c r="B28" s="35" t="s">
        <v>304</v>
      </c>
      <c r="C28" s="6" t="s">
        <v>303</v>
      </c>
      <c r="D28" s="42">
        <v>700</v>
      </c>
      <c r="E28" s="6" t="s">
        <v>221</v>
      </c>
    </row>
    <row r="29" spans="1:10" s="6" customFormat="1" ht="45" x14ac:dyDescent="0.25">
      <c r="A29" s="6">
        <v>6</v>
      </c>
      <c r="B29" s="34" t="s">
        <v>307</v>
      </c>
      <c r="C29" s="6" t="s">
        <v>302</v>
      </c>
      <c r="D29" s="45">
        <f>D28*0.8</f>
        <v>560</v>
      </c>
      <c r="E29" s="6" t="s">
        <v>221</v>
      </c>
      <c r="F29" s="49" t="s">
        <v>306</v>
      </c>
    </row>
    <row r="30" spans="1:10" s="6" customFormat="1" ht="30" x14ac:dyDescent="0.25">
      <c r="A30" s="6">
        <v>7</v>
      </c>
      <c r="B30" s="34" t="s">
        <v>308</v>
      </c>
      <c r="C30" s="6" t="s">
        <v>309</v>
      </c>
      <c r="D30" s="42">
        <v>30</v>
      </c>
      <c r="E30" s="6" t="s">
        <v>190</v>
      </c>
      <c r="F30" s="50">
        <f>D30/100</f>
        <v>0.3</v>
      </c>
    </row>
    <row r="31" spans="1:10" s="6" customFormat="1" ht="35.25" customHeight="1" x14ac:dyDescent="0.25">
      <c r="A31" s="6">
        <v>8</v>
      </c>
      <c r="B31" s="51" t="s">
        <v>311</v>
      </c>
      <c r="C31" s="6" t="s">
        <v>305</v>
      </c>
      <c r="D31" s="52">
        <f xml:space="preserve"> D29/(1+F30) - 265*1.414</f>
        <v>56.059230769230794</v>
      </c>
    </row>
    <row r="32" spans="1:10" s="6" customFormat="1" ht="30" x14ac:dyDescent="0.25">
      <c r="A32" s="6">
        <v>9</v>
      </c>
      <c r="B32" s="35" t="s">
        <v>310</v>
      </c>
      <c r="C32" s="6" t="s">
        <v>245</v>
      </c>
      <c r="D32" s="52">
        <f>D31/(5*0.9)</f>
        <v>12.457606837606843</v>
      </c>
    </row>
    <row r="33" spans="2:5" s="6" customFormat="1" x14ac:dyDescent="0.25"/>
    <row r="34" spans="2:5" s="6" customFormat="1" x14ac:dyDescent="0.25">
      <c r="B34" s="63" t="s">
        <v>318</v>
      </c>
      <c r="C34" s="63"/>
      <c r="D34" s="63"/>
      <c r="E34" s="63"/>
    </row>
    <row r="35" spans="2:5" s="6" customFormat="1" x14ac:dyDescent="0.25">
      <c r="B35" s="33" t="s">
        <v>312</v>
      </c>
      <c r="C35" s="24" t="s">
        <v>328</v>
      </c>
      <c r="D35" s="33">
        <f>5/10000</f>
        <v>5.0000000000000001E-4</v>
      </c>
      <c r="E35" s="6" t="s">
        <v>55</v>
      </c>
    </row>
    <row r="36" spans="2:5" ht="30" x14ac:dyDescent="0.25">
      <c r="B36" s="47" t="s">
        <v>313</v>
      </c>
      <c r="C36" t="s">
        <v>329</v>
      </c>
      <c r="D36">
        <v>100</v>
      </c>
      <c r="E36" s="6" t="s">
        <v>145</v>
      </c>
    </row>
    <row r="37" spans="2:5" x14ac:dyDescent="0.25">
      <c r="B37" s="47" t="s">
        <v>314</v>
      </c>
      <c r="C37" t="s">
        <v>330</v>
      </c>
      <c r="D37">
        <f>D36*D35</f>
        <v>0.05</v>
      </c>
      <c r="E37" s="6" t="s">
        <v>221</v>
      </c>
    </row>
    <row r="38" spans="2:5" x14ac:dyDescent="0.25">
      <c r="B38" s="47" t="s">
        <v>319</v>
      </c>
      <c r="C38" t="s">
        <v>327</v>
      </c>
      <c r="D38">
        <v>1.7</v>
      </c>
      <c r="E38" s="6" t="s">
        <v>221</v>
      </c>
    </row>
    <row r="39" spans="2:5" x14ac:dyDescent="0.25">
      <c r="B39" s="47" t="s">
        <v>316</v>
      </c>
      <c r="C39" t="s">
        <v>326</v>
      </c>
      <c r="D39">
        <v>12</v>
      </c>
      <c r="E39" s="6" t="s">
        <v>221</v>
      </c>
    </row>
    <row r="40" spans="2:5" x14ac:dyDescent="0.25">
      <c r="B40" s="53" t="s">
        <v>315</v>
      </c>
      <c r="C40" t="s">
        <v>322</v>
      </c>
      <c r="D40">
        <f>D38+D39+D37</f>
        <v>13.75</v>
      </c>
      <c r="E40" s="6" t="s">
        <v>221</v>
      </c>
    </row>
    <row r="41" spans="2:5" x14ac:dyDescent="0.25">
      <c r="B41" s="47" t="s">
        <v>320</v>
      </c>
      <c r="C41" t="s">
        <v>323</v>
      </c>
      <c r="D41">
        <v>0.85</v>
      </c>
      <c r="E41" s="6" t="s">
        <v>221</v>
      </c>
    </row>
    <row r="42" spans="2:5" x14ac:dyDescent="0.25">
      <c r="B42" s="47" t="s">
        <v>236</v>
      </c>
      <c r="C42" t="s">
        <v>324</v>
      </c>
      <c r="D42">
        <f>'Tụ hóa đầu vào'!D12</f>
        <v>5</v>
      </c>
      <c r="E42" s="6" t="s">
        <v>221</v>
      </c>
    </row>
    <row r="43" spans="2:5" x14ac:dyDescent="0.25">
      <c r="B43" s="47" t="s">
        <v>321</v>
      </c>
      <c r="C43" t="s">
        <v>325</v>
      </c>
      <c r="D43">
        <f>D40*D26/(D42+D41)</f>
        <v>20.298588219537205</v>
      </c>
      <c r="E43" s="6" t="s">
        <v>221</v>
      </c>
    </row>
    <row r="44" spans="2:5" x14ac:dyDescent="0.25">
      <c r="B44" s="47" t="s">
        <v>331</v>
      </c>
      <c r="D44">
        <f>D43/D26</f>
        <v>2.3504273504273505</v>
      </c>
    </row>
    <row r="46" spans="2:5" ht="30" x14ac:dyDescent="0.25">
      <c r="B46" s="47" t="s">
        <v>340</v>
      </c>
      <c r="C46" t="s">
        <v>292</v>
      </c>
      <c r="D46">
        <f>('Tụ hóa đầu vào'!D14/0.8)/0.8</f>
        <v>0.625</v>
      </c>
      <c r="E46" t="s">
        <v>55</v>
      </c>
    </row>
    <row r="47" spans="2:5" ht="30" x14ac:dyDescent="0.25">
      <c r="B47" s="47" t="s">
        <v>342</v>
      </c>
      <c r="C47" t="s">
        <v>335</v>
      </c>
      <c r="D47">
        <v>110</v>
      </c>
      <c r="E47" t="s">
        <v>345</v>
      </c>
    </row>
    <row r="48" spans="2:5" ht="30" x14ac:dyDescent="0.25">
      <c r="B48" s="47" t="s">
        <v>343</v>
      </c>
      <c r="C48" t="s">
        <v>344</v>
      </c>
      <c r="D48">
        <f>0.25*D5*D47/D46</f>
        <v>14.666666666666666</v>
      </c>
      <c r="E48" t="s">
        <v>300</v>
      </c>
    </row>
    <row r="50" spans="2:5" ht="45" x14ac:dyDescent="0.25">
      <c r="B50" s="47" t="s">
        <v>346</v>
      </c>
      <c r="C50" t="s">
        <v>337</v>
      </c>
      <c r="D50">
        <v>15</v>
      </c>
      <c r="E50" t="s">
        <v>300</v>
      </c>
    </row>
    <row r="52" spans="2:5" x14ac:dyDescent="0.25">
      <c r="C52" t="s">
        <v>56</v>
      </c>
      <c r="D52">
        <f>0.25*D5*D47/D50</f>
        <v>0.61111111111111105</v>
      </c>
    </row>
    <row r="53" spans="2:5" ht="30" x14ac:dyDescent="0.25">
      <c r="B53" s="47" t="s">
        <v>347</v>
      </c>
      <c r="C53" t="s">
        <v>339</v>
      </c>
      <c r="D53">
        <f>D50*D44</f>
        <v>35.256410256410255</v>
      </c>
    </row>
    <row r="55" spans="2:5" x14ac:dyDescent="0.25">
      <c r="B55" s="47" t="s">
        <v>348</v>
      </c>
    </row>
    <row r="56" spans="2:5" x14ac:dyDescent="0.25">
      <c r="B56" t="s">
        <v>51</v>
      </c>
      <c r="C56">
        <f>D56*1000</f>
        <v>18000</v>
      </c>
      <c r="D56">
        <v>18</v>
      </c>
    </row>
    <row r="57" spans="2:5" x14ac:dyDescent="0.25">
      <c r="B57" t="s">
        <v>52</v>
      </c>
      <c r="C57">
        <f>D57*1000</f>
        <v>3300</v>
      </c>
      <c r="D57">
        <v>3.3</v>
      </c>
    </row>
    <row r="58" spans="2:5" x14ac:dyDescent="0.25">
      <c r="B58" t="s">
        <v>44</v>
      </c>
      <c r="C58">
        <f>D50</f>
        <v>15</v>
      </c>
      <c r="D58" t="s">
        <v>47</v>
      </c>
    </row>
    <row r="59" spans="2:5" x14ac:dyDescent="0.25">
      <c r="B59" t="s">
        <v>45</v>
      </c>
      <c r="C59">
        <f>D53</f>
        <v>35.256410256410255</v>
      </c>
      <c r="D59" t="s">
        <v>47</v>
      </c>
    </row>
    <row r="60" spans="2:5" x14ac:dyDescent="0.25">
      <c r="B60" t="s">
        <v>46</v>
      </c>
      <c r="C60">
        <v>0.85</v>
      </c>
      <c r="D60" t="s">
        <v>48</v>
      </c>
      <c r="E60" t="s">
        <v>58</v>
      </c>
    </row>
    <row r="61" spans="2:5" x14ac:dyDescent="0.25">
      <c r="B61" t="s">
        <v>50</v>
      </c>
      <c r="C61">
        <v>2</v>
      </c>
      <c r="D61" t="s">
        <v>48</v>
      </c>
    </row>
    <row r="62" spans="2:5" x14ac:dyDescent="0.25">
      <c r="B62" t="s">
        <v>49</v>
      </c>
      <c r="C62">
        <f>((C61*(C57+C56)*C58)/(C57*C59))-C60</f>
        <v>4.6422314049586779</v>
      </c>
    </row>
    <row r="63" spans="2:5" x14ac:dyDescent="0.25">
      <c r="B63"/>
      <c r="E63">
        <f>2*(C56+C57)*C58</f>
        <v>639000</v>
      </c>
    </row>
    <row r="64" spans="2:5" x14ac:dyDescent="0.25">
      <c r="B64"/>
      <c r="E64">
        <f>C57*C59</f>
        <v>116346.15384615384</v>
      </c>
    </row>
    <row r="65" spans="2:5" x14ac:dyDescent="0.25">
      <c r="B65"/>
      <c r="E65">
        <f>E63/E64</f>
        <v>5.4922314049586776</v>
      </c>
    </row>
    <row r="66" spans="2:5" x14ac:dyDescent="0.25">
      <c r="B66"/>
      <c r="E66">
        <f>E65-C60</f>
        <v>4.6422314049586779</v>
      </c>
    </row>
    <row r="68" spans="2:5" x14ac:dyDescent="0.25">
      <c r="B68" s="63" t="s">
        <v>332</v>
      </c>
      <c r="C68" s="63"/>
      <c r="D68" s="63"/>
      <c r="E68" s="63"/>
    </row>
    <row r="69" spans="2:5" x14ac:dyDescent="0.25">
      <c r="E69" s="6"/>
    </row>
    <row r="70" spans="2:5" x14ac:dyDescent="0.25">
      <c r="B70" s="92" t="s">
        <v>333</v>
      </c>
      <c r="C70" s="29" t="s">
        <v>274</v>
      </c>
      <c r="D70" s="29">
        <v>1</v>
      </c>
      <c r="E70" s="29" t="s">
        <v>275</v>
      </c>
    </row>
    <row r="71" spans="2:5" x14ac:dyDescent="0.25">
      <c r="B71" s="92" t="s">
        <v>334</v>
      </c>
      <c r="C71" s="29" t="s">
        <v>335</v>
      </c>
      <c r="D71" s="29">
        <v>110</v>
      </c>
      <c r="E71" s="29" t="s">
        <v>300</v>
      </c>
    </row>
    <row r="72" spans="2:5" x14ac:dyDescent="0.25">
      <c r="B72" s="92" t="s">
        <v>336</v>
      </c>
      <c r="C72" s="29" t="s">
        <v>337</v>
      </c>
      <c r="D72" s="29">
        <v>13</v>
      </c>
      <c r="E72" s="29" t="s">
        <v>300</v>
      </c>
    </row>
    <row r="73" spans="2:5" x14ac:dyDescent="0.25">
      <c r="B73" s="92" t="s">
        <v>338</v>
      </c>
      <c r="C73" s="29" t="s">
        <v>339</v>
      </c>
      <c r="D73" s="29">
        <v>28</v>
      </c>
      <c r="E73" s="29" t="s">
        <v>300</v>
      </c>
    </row>
  </sheetData>
  <mergeCells count="9">
    <mergeCell ref="A1:G1"/>
    <mergeCell ref="A10:G10"/>
    <mergeCell ref="A18:A19"/>
    <mergeCell ref="A21:D21"/>
    <mergeCell ref="B68:E68"/>
    <mergeCell ref="B25:E25"/>
    <mergeCell ref="B34:E34"/>
    <mergeCell ref="A23:G23"/>
    <mergeCell ref="F26:J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2588-5CF8-4325-AD75-FF8C6ECB1BE8}">
  <dimension ref="A1:N31"/>
  <sheetViews>
    <sheetView topLeftCell="A13" workbookViewId="0">
      <selection activeCell="E13" sqref="E13"/>
    </sheetView>
  </sheetViews>
  <sheetFormatPr defaultRowHeight="15" x14ac:dyDescent="0.25"/>
  <cols>
    <col min="1" max="1" width="9.140625" style="6"/>
    <col min="2" max="2" width="25.85546875" style="24" customWidth="1"/>
    <col min="3" max="3" width="10.42578125" style="6" customWidth="1"/>
    <col min="4" max="4" width="17.140625" style="6" customWidth="1"/>
    <col min="5" max="5" width="10.5703125" style="6" customWidth="1"/>
    <col min="6" max="6" width="35" style="6" customWidth="1"/>
    <col min="7" max="9" width="9.140625" style="6"/>
    <col min="10" max="10" width="5" style="6" customWidth="1"/>
    <col min="11" max="11" width="30.85546875" style="6" customWidth="1"/>
    <col min="12" max="16384" width="9.140625" style="6"/>
  </cols>
  <sheetData>
    <row r="1" spans="1:14" x14ac:dyDescent="0.25">
      <c r="A1" s="6" t="s">
        <v>147</v>
      </c>
      <c r="B1" s="6" t="s">
        <v>148</v>
      </c>
      <c r="C1" s="6" t="s">
        <v>152</v>
      </c>
      <c r="D1" s="6" t="s">
        <v>156</v>
      </c>
      <c r="E1" s="6" t="s">
        <v>157</v>
      </c>
      <c r="F1" s="6" t="s">
        <v>160</v>
      </c>
    </row>
    <row r="2" spans="1:14" ht="41.25" customHeight="1" x14ac:dyDescent="0.25">
      <c r="A2" s="6">
        <v>1</v>
      </c>
      <c r="B2" s="24" t="s">
        <v>149</v>
      </c>
      <c r="C2" s="6" t="s">
        <v>153</v>
      </c>
      <c r="E2" s="6" t="s">
        <v>159</v>
      </c>
      <c r="K2" s="35" t="s">
        <v>163</v>
      </c>
      <c r="L2" s="6" t="s">
        <v>164</v>
      </c>
      <c r="N2" s="6" t="s">
        <v>161</v>
      </c>
    </row>
    <row r="3" spans="1:14" ht="75" customHeight="1" x14ac:dyDescent="0.25">
      <c r="A3" s="6">
        <v>2</v>
      </c>
      <c r="B3" s="24" t="s">
        <v>150</v>
      </c>
      <c r="C3" s="6" t="s">
        <v>154</v>
      </c>
      <c r="E3" s="6" t="s">
        <v>159</v>
      </c>
      <c r="K3" s="24" t="s">
        <v>165</v>
      </c>
      <c r="L3" s="6" t="s">
        <v>166</v>
      </c>
      <c r="M3" s="6">
        <v>2</v>
      </c>
      <c r="N3" s="6" t="s">
        <v>161</v>
      </c>
    </row>
    <row r="4" spans="1:14" ht="39" customHeight="1" x14ac:dyDescent="0.25">
      <c r="A4" s="6">
        <v>3</v>
      </c>
      <c r="B4" s="24" t="s">
        <v>151</v>
      </c>
      <c r="C4" s="6" t="s">
        <v>155</v>
      </c>
      <c r="D4" s="6">
        <v>0.3</v>
      </c>
      <c r="E4" s="6" t="s">
        <v>181</v>
      </c>
      <c r="F4" s="6" t="s">
        <v>158</v>
      </c>
      <c r="K4" s="24" t="s">
        <v>167</v>
      </c>
      <c r="L4" s="6" t="s">
        <v>169</v>
      </c>
    </row>
    <row r="5" spans="1:14" ht="39" customHeight="1" x14ac:dyDescent="0.25">
      <c r="A5" s="6">
        <v>4</v>
      </c>
      <c r="B5" s="35" t="s">
        <v>196</v>
      </c>
      <c r="C5" s="6" t="s">
        <v>195</v>
      </c>
      <c r="D5" s="6">
        <v>250</v>
      </c>
      <c r="E5" s="6" t="s">
        <v>202</v>
      </c>
      <c r="F5" s="35"/>
      <c r="K5" s="24" t="s">
        <v>168</v>
      </c>
      <c r="L5" s="6" t="s">
        <v>170</v>
      </c>
    </row>
    <row r="6" spans="1:14" ht="39" customHeight="1" x14ac:dyDescent="0.25">
      <c r="B6" s="35" t="s">
        <v>197</v>
      </c>
      <c r="C6" s="6" t="s">
        <v>201</v>
      </c>
      <c r="D6" s="6">
        <v>220</v>
      </c>
      <c r="E6" s="6" t="s">
        <v>202</v>
      </c>
      <c r="F6" s="35"/>
      <c r="K6" s="24"/>
    </row>
    <row r="7" spans="1:14" ht="39" customHeight="1" x14ac:dyDescent="0.25">
      <c r="B7" s="35" t="s">
        <v>198</v>
      </c>
      <c r="C7" s="6" t="s">
        <v>200</v>
      </c>
      <c r="D7" s="6">
        <v>150</v>
      </c>
      <c r="E7" s="6" t="s">
        <v>202</v>
      </c>
      <c r="F7" s="35"/>
      <c r="K7" s="24"/>
    </row>
    <row r="8" spans="1:14" ht="39" customHeight="1" x14ac:dyDescent="0.25">
      <c r="B8" s="35" t="s">
        <v>186</v>
      </c>
      <c r="C8" s="6" t="s">
        <v>49</v>
      </c>
      <c r="D8" s="6">
        <v>5</v>
      </c>
      <c r="E8" s="6" t="s">
        <v>180</v>
      </c>
      <c r="F8" s="35" t="s">
        <v>162</v>
      </c>
      <c r="K8" s="24"/>
    </row>
    <row r="9" spans="1:14" ht="37.5" customHeight="1" x14ac:dyDescent="0.25">
      <c r="A9" s="6">
        <v>5</v>
      </c>
      <c r="B9" s="35" t="s">
        <v>185</v>
      </c>
      <c r="C9" s="6" t="s">
        <v>178</v>
      </c>
      <c r="D9" s="6">
        <v>0.5</v>
      </c>
      <c r="E9" s="6" t="s">
        <v>179</v>
      </c>
      <c r="K9" s="24" t="s">
        <v>174</v>
      </c>
      <c r="L9" s="6" t="s">
        <v>175</v>
      </c>
      <c r="N9" s="6" t="s">
        <v>161</v>
      </c>
    </row>
    <row r="10" spans="1:14" ht="37.5" customHeight="1" x14ac:dyDescent="0.25">
      <c r="A10" s="6">
        <v>6</v>
      </c>
      <c r="B10" s="35" t="s">
        <v>184</v>
      </c>
      <c r="C10" s="6" t="s">
        <v>182</v>
      </c>
      <c r="D10" s="6">
        <f>D8*D9</f>
        <v>2.5</v>
      </c>
      <c r="E10" s="6" t="s">
        <v>183</v>
      </c>
      <c r="F10" s="6" t="s">
        <v>187</v>
      </c>
      <c r="K10" s="24" t="s">
        <v>176</v>
      </c>
      <c r="L10" s="6" t="s">
        <v>177</v>
      </c>
      <c r="N10" s="6" t="s">
        <v>161</v>
      </c>
    </row>
    <row r="11" spans="1:14" ht="24" customHeight="1" x14ac:dyDescent="0.25">
      <c r="A11" s="6">
        <v>7</v>
      </c>
      <c r="B11" s="24" t="s">
        <v>188</v>
      </c>
      <c r="C11" s="6" t="s">
        <v>189</v>
      </c>
      <c r="D11" s="6">
        <v>65</v>
      </c>
      <c r="E11" s="6" t="s">
        <v>190</v>
      </c>
    </row>
    <row r="12" spans="1:14" ht="34.5" customHeight="1" x14ac:dyDescent="0.25">
      <c r="A12" s="6">
        <v>8</v>
      </c>
      <c r="B12" s="24" t="s">
        <v>191</v>
      </c>
      <c r="C12" s="6" t="s">
        <v>192</v>
      </c>
      <c r="D12" s="36">
        <f>ROUNDUP((D10*100/D11),2)</f>
        <v>3.8499999999999996</v>
      </c>
      <c r="E12" s="6" t="s">
        <v>183</v>
      </c>
      <c r="F12" s="6" t="s">
        <v>193</v>
      </c>
    </row>
    <row r="13" spans="1:14" ht="87.75" customHeight="1" x14ac:dyDescent="0.25">
      <c r="A13" s="6">
        <v>9</v>
      </c>
      <c r="B13" s="35" t="s">
        <v>203</v>
      </c>
      <c r="C13" s="6" t="s">
        <v>194</v>
      </c>
      <c r="D13" s="6">
        <f>'Tụ hóa đầu vào'!D8</f>
        <v>178.91222920256962</v>
      </c>
      <c r="E13" s="6" t="s">
        <v>180</v>
      </c>
    </row>
    <row r="14" spans="1:14" x14ac:dyDescent="0.25">
      <c r="A14" s="6">
        <v>10</v>
      </c>
      <c r="B14" s="24" t="s">
        <v>204</v>
      </c>
      <c r="C14" s="6" t="s">
        <v>208</v>
      </c>
      <c r="D14" s="6">
        <v>55000</v>
      </c>
      <c r="E14" s="6" t="s">
        <v>205</v>
      </c>
    </row>
    <row r="15" spans="1:14" ht="130.5" customHeight="1" x14ac:dyDescent="0.25">
      <c r="A15" s="6">
        <v>11</v>
      </c>
      <c r="B15" s="24" t="s">
        <v>206</v>
      </c>
      <c r="C15" s="6" t="s">
        <v>207</v>
      </c>
      <c r="D15" s="6">
        <v>0.5</v>
      </c>
      <c r="E15" s="37" t="s">
        <v>209</v>
      </c>
      <c r="F15" s="23" t="s">
        <v>210</v>
      </c>
    </row>
    <row r="16" spans="1:14" ht="117.75" customHeight="1" x14ac:dyDescent="0.25">
      <c r="B16" s="24" t="s">
        <v>213</v>
      </c>
      <c r="C16" s="6" t="s">
        <v>214</v>
      </c>
      <c r="D16" s="6">
        <v>0.08</v>
      </c>
      <c r="E16" s="37"/>
      <c r="F16" s="23"/>
    </row>
    <row r="17" spans="1:5" ht="71.25" customHeight="1" x14ac:dyDescent="0.25">
      <c r="A17" s="6">
        <v>12</v>
      </c>
      <c r="B17" s="24" t="s">
        <v>211</v>
      </c>
      <c r="C17" s="6" t="s">
        <v>212</v>
      </c>
      <c r="D17" s="6">
        <f>(D13*D13*D16*D16)/(2*D12*D14*D15)*1000</f>
        <v>0.96746799930432115</v>
      </c>
      <c r="E17" s="6" t="s">
        <v>268</v>
      </c>
    </row>
    <row r="18" spans="1:5" x14ac:dyDescent="0.25">
      <c r="A18" s="6">
        <v>13</v>
      </c>
    </row>
    <row r="19" spans="1:5" x14ac:dyDescent="0.25">
      <c r="A19" s="6">
        <v>14</v>
      </c>
    </row>
    <row r="20" spans="1:5" x14ac:dyDescent="0.25">
      <c r="A20" s="6">
        <v>15</v>
      </c>
    </row>
    <row r="21" spans="1:5" x14ac:dyDescent="0.25">
      <c r="A21" s="6">
        <v>16</v>
      </c>
    </row>
    <row r="22" spans="1:5" x14ac:dyDescent="0.25">
      <c r="A22" s="6">
        <v>17</v>
      </c>
    </row>
    <row r="23" spans="1:5" x14ac:dyDescent="0.25">
      <c r="A23" s="6">
        <v>18</v>
      </c>
    </row>
    <row r="24" spans="1:5" x14ac:dyDescent="0.25">
      <c r="A24" s="6">
        <v>19</v>
      </c>
    </row>
    <row r="25" spans="1:5" x14ac:dyDescent="0.25">
      <c r="A25" s="6">
        <v>20</v>
      </c>
    </row>
    <row r="26" spans="1:5" x14ac:dyDescent="0.25">
      <c r="A26" s="6">
        <v>21</v>
      </c>
    </row>
    <row r="27" spans="1:5" x14ac:dyDescent="0.25">
      <c r="A27" s="6">
        <v>22</v>
      </c>
    </row>
    <row r="28" spans="1:5" x14ac:dyDescent="0.25">
      <c r="A28" s="6">
        <v>23</v>
      </c>
      <c r="B28" s="24" t="s">
        <v>171</v>
      </c>
    </row>
    <row r="29" spans="1:5" x14ac:dyDescent="0.25">
      <c r="A29" s="6">
        <v>24</v>
      </c>
      <c r="B29" s="24" t="s">
        <v>172</v>
      </c>
    </row>
    <row r="30" spans="1:5" x14ac:dyDescent="0.25">
      <c r="A30" s="6">
        <v>25</v>
      </c>
      <c r="B30" s="24" t="s">
        <v>173</v>
      </c>
    </row>
    <row r="31" spans="1:5" x14ac:dyDescent="0.25">
      <c r="A31" s="6">
        <v>26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169D-2CC5-44F2-B792-6DCAAC4BC9AD}">
  <dimension ref="A1:L50"/>
  <sheetViews>
    <sheetView zoomScale="115" zoomScaleNormal="115" workbookViewId="0">
      <selection activeCell="D34" sqref="D34"/>
    </sheetView>
  </sheetViews>
  <sheetFormatPr defaultRowHeight="15" x14ac:dyDescent="0.25"/>
  <cols>
    <col min="2" max="2" width="24" style="47" bestFit="1" customWidth="1"/>
    <col min="3" max="3" width="10.42578125" bestFit="1" customWidth="1"/>
    <col min="4" max="4" width="12.7109375" customWidth="1"/>
    <col min="6" max="6" width="15.85546875" customWidth="1"/>
    <col min="8" max="8" width="13.5703125" bestFit="1" customWidth="1"/>
  </cols>
  <sheetData>
    <row r="1" spans="2:2" x14ac:dyDescent="0.25">
      <c r="B1"/>
    </row>
    <row r="2" spans="2:2" x14ac:dyDescent="0.25">
      <c r="B2"/>
    </row>
    <row r="3" spans="2:2" x14ac:dyDescent="0.25">
      <c r="B3"/>
    </row>
    <row r="4" spans="2:2" x14ac:dyDescent="0.25">
      <c r="B4"/>
    </row>
    <row r="5" spans="2:2" x14ac:dyDescent="0.25">
      <c r="B5"/>
    </row>
    <row r="6" spans="2:2" x14ac:dyDescent="0.25">
      <c r="B6"/>
    </row>
    <row r="7" spans="2:2" x14ac:dyDescent="0.25">
      <c r="B7"/>
    </row>
    <row r="8" spans="2:2" x14ac:dyDescent="0.25">
      <c r="B8"/>
    </row>
    <row r="9" spans="2:2" x14ac:dyDescent="0.25">
      <c r="B9"/>
    </row>
    <row r="10" spans="2:2" x14ac:dyDescent="0.25">
      <c r="B10"/>
    </row>
    <row r="11" spans="2:2" x14ac:dyDescent="0.25">
      <c r="B11"/>
    </row>
    <row r="12" spans="2:2" x14ac:dyDescent="0.25">
      <c r="B12"/>
    </row>
    <row r="13" spans="2:2" ht="12" customHeight="1" x14ac:dyDescent="0.25">
      <c r="B13"/>
    </row>
    <row r="14" spans="2:2" x14ac:dyDescent="0.25">
      <c r="B14"/>
    </row>
    <row r="15" spans="2:2" x14ac:dyDescent="0.25">
      <c r="B15"/>
    </row>
    <row r="16" spans="2:2" x14ac:dyDescent="0.25">
      <c r="B16"/>
    </row>
    <row r="17" spans="1:12" x14ac:dyDescent="0.25">
      <c r="B17"/>
    </row>
    <row r="18" spans="1:12" x14ac:dyDescent="0.25">
      <c r="B18"/>
    </row>
    <row r="19" spans="1:12" x14ac:dyDescent="0.25">
      <c r="B19"/>
    </row>
    <row r="20" spans="1:12" x14ac:dyDescent="0.25">
      <c r="B20"/>
    </row>
    <row r="21" spans="1:12" x14ac:dyDescent="0.25">
      <c r="B21"/>
    </row>
    <row r="22" spans="1:12" x14ac:dyDescent="0.25">
      <c r="B22"/>
    </row>
    <row r="23" spans="1:12" x14ac:dyDescent="0.25">
      <c r="B23"/>
    </row>
    <row r="24" spans="1:12" x14ac:dyDescent="0.25">
      <c r="B24"/>
    </row>
    <row r="25" spans="1:12" x14ac:dyDescent="0.25">
      <c r="B25"/>
    </row>
    <row r="26" spans="1:12" s="6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6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6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s="6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s="6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6" customForma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s="6" customForma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1:12" s="6" customFormat="1" x14ac:dyDescent="0.25">
      <c r="A33"/>
      <c r="B33"/>
      <c r="C33"/>
      <c r="D33"/>
      <c r="E33"/>
      <c r="F33"/>
      <c r="G33"/>
      <c r="H33"/>
      <c r="I33"/>
      <c r="J33"/>
      <c r="K33"/>
      <c r="L33"/>
    </row>
    <row r="34" spans="1:12" s="6" customFormat="1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s="6" customFormat="1" x14ac:dyDescent="0.25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5">
      <c r="B36"/>
    </row>
    <row r="37" spans="1:12" x14ac:dyDescent="0.25">
      <c r="B37"/>
    </row>
    <row r="38" spans="1:12" x14ac:dyDescent="0.25">
      <c r="B38"/>
    </row>
    <row r="39" spans="1:12" x14ac:dyDescent="0.25">
      <c r="B39"/>
    </row>
    <row r="40" spans="1:12" x14ac:dyDescent="0.25">
      <c r="B40"/>
    </row>
    <row r="41" spans="1:12" x14ac:dyDescent="0.25">
      <c r="B41"/>
    </row>
    <row r="42" spans="1:12" x14ac:dyDescent="0.25">
      <c r="B42"/>
    </row>
    <row r="43" spans="1:12" x14ac:dyDescent="0.25">
      <c r="B43"/>
    </row>
    <row r="44" spans="1:12" x14ac:dyDescent="0.25">
      <c r="B44"/>
    </row>
    <row r="45" spans="1:12" x14ac:dyDescent="0.25">
      <c r="B45"/>
    </row>
    <row r="46" spans="1:12" x14ac:dyDescent="0.25">
      <c r="B46"/>
    </row>
    <row r="47" spans="1:12" x14ac:dyDescent="0.25">
      <c r="B47"/>
    </row>
    <row r="48" spans="1:12" x14ac:dyDescent="0.25">
      <c r="B48"/>
    </row>
    <row r="49" spans="2:2" x14ac:dyDescent="0.25">
      <c r="B49"/>
    </row>
    <row r="50" spans="2:2" x14ac:dyDescent="0.25">
      <c r="B5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ADBF3-201A-44CF-99BE-1D398674FD4C}">
  <dimension ref="A2:G16"/>
  <sheetViews>
    <sheetView workbookViewId="0">
      <selection activeCell="C23" sqref="C23"/>
    </sheetView>
  </sheetViews>
  <sheetFormatPr defaultRowHeight="15" x14ac:dyDescent="0.25"/>
  <cols>
    <col min="2" max="2" width="11.85546875" bestFit="1" customWidth="1"/>
    <col min="3" max="3" width="42" customWidth="1"/>
    <col min="4" max="4" width="42.5703125" customWidth="1"/>
    <col min="5" max="5" width="42.28515625" customWidth="1"/>
    <col min="6" max="6" width="43.85546875" customWidth="1"/>
    <col min="8" max="8" width="13.5703125" bestFit="1" customWidth="1"/>
  </cols>
  <sheetData>
    <row r="2" spans="1:7" x14ac:dyDescent="0.25">
      <c r="A2" t="s">
        <v>131</v>
      </c>
    </row>
    <row r="4" spans="1:7" x14ac:dyDescent="0.25">
      <c r="A4" s="64" t="s">
        <v>76</v>
      </c>
      <c r="B4" s="65"/>
      <c r="C4" s="15" t="s">
        <v>74</v>
      </c>
      <c r="D4" s="15">
        <v>250</v>
      </c>
      <c r="E4" s="15">
        <v>220</v>
      </c>
      <c r="F4" s="15">
        <v>150</v>
      </c>
    </row>
    <row r="5" spans="1:7" ht="30" x14ac:dyDescent="0.25">
      <c r="A5" s="66"/>
      <c r="B5" s="67" t="s">
        <v>77</v>
      </c>
      <c r="C5" s="16" t="s">
        <v>134</v>
      </c>
      <c r="D5" s="16" t="s">
        <v>133</v>
      </c>
      <c r="E5" s="16" t="s">
        <v>132</v>
      </c>
      <c r="F5" s="16" t="s">
        <v>135</v>
      </c>
    </row>
    <row r="6" spans="1:7" ht="165" customHeight="1" x14ac:dyDescent="0.25">
      <c r="A6" s="66"/>
      <c r="B6" s="68"/>
      <c r="C6" s="18"/>
      <c r="D6" s="18"/>
      <c r="E6" s="18"/>
      <c r="F6" s="18"/>
    </row>
    <row r="7" spans="1:7" ht="77.25" customHeight="1" x14ac:dyDescent="0.25">
      <c r="A7" s="66"/>
      <c r="B7" s="17"/>
      <c r="C7" s="69" t="s">
        <v>137</v>
      </c>
      <c r="D7" s="70"/>
      <c r="E7" s="70"/>
      <c r="F7" s="71"/>
    </row>
    <row r="8" spans="1:7" x14ac:dyDescent="0.25">
      <c r="D8" s="30"/>
      <c r="E8" s="30"/>
    </row>
    <row r="9" spans="1:7" x14ac:dyDescent="0.25">
      <c r="D9" s="31"/>
    </row>
    <row r="10" spans="1:7" x14ac:dyDescent="0.25">
      <c r="C10" s="32"/>
    </row>
    <row r="12" spans="1:7" x14ac:dyDescent="0.25">
      <c r="C12" s="7" t="s">
        <v>143</v>
      </c>
      <c r="D12">
        <v>168</v>
      </c>
      <c r="E12" t="s">
        <v>138</v>
      </c>
    </row>
    <row r="13" spans="1:7" ht="15.75" customHeight="1" x14ac:dyDescent="0.25">
      <c r="C13" s="32" t="s">
        <v>140</v>
      </c>
      <c r="D13">
        <v>16</v>
      </c>
      <c r="E13" t="s">
        <v>138</v>
      </c>
    </row>
    <row r="14" spans="1:7" x14ac:dyDescent="0.25">
      <c r="C14" t="s">
        <v>139</v>
      </c>
      <c r="D14">
        <f>D13-1</f>
        <v>15</v>
      </c>
      <c r="E14" t="s">
        <v>138</v>
      </c>
    </row>
    <row r="15" spans="1:7" x14ac:dyDescent="0.25">
      <c r="C15" t="s">
        <v>144</v>
      </c>
      <c r="D15">
        <f>5/1000000</f>
        <v>5.0000000000000004E-6</v>
      </c>
      <c r="E15" t="s">
        <v>55</v>
      </c>
      <c r="F15">
        <f>D15*1000000</f>
        <v>5</v>
      </c>
      <c r="G15" t="s">
        <v>141</v>
      </c>
    </row>
    <row r="16" spans="1:7" x14ac:dyDescent="0.25">
      <c r="C16" t="s">
        <v>142</v>
      </c>
      <c r="D16">
        <f>(D12-D14)/D15</f>
        <v>30599999.999999996</v>
      </c>
      <c r="E16" t="s">
        <v>145</v>
      </c>
      <c r="F16">
        <f>D16/1000000</f>
        <v>30.599999999999998</v>
      </c>
      <c r="G16" t="s">
        <v>146</v>
      </c>
    </row>
  </sheetData>
  <mergeCells count="4">
    <mergeCell ref="A4:B4"/>
    <mergeCell ref="A5:A7"/>
    <mergeCell ref="B5:B6"/>
    <mergeCell ref="C7:F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2A9-D79F-4116-8675-25E31B2AD18E}">
  <dimension ref="A1:N14"/>
  <sheetViews>
    <sheetView workbookViewId="0">
      <selection activeCell="I23" sqref="I23"/>
    </sheetView>
  </sheetViews>
  <sheetFormatPr defaultRowHeight="15" x14ac:dyDescent="0.25"/>
  <cols>
    <col min="1" max="1" width="12.28515625" customWidth="1"/>
    <col min="2" max="14" width="17.42578125" customWidth="1"/>
  </cols>
  <sheetData>
    <row r="1" spans="1:14" x14ac:dyDescent="0.25">
      <c r="A1" s="77" t="s">
        <v>76</v>
      </c>
      <c r="B1" s="77"/>
      <c r="C1" s="22">
        <v>1</v>
      </c>
      <c r="D1" s="22">
        <v>2</v>
      </c>
      <c r="E1" s="22">
        <v>3</v>
      </c>
      <c r="F1" s="22">
        <v>4</v>
      </c>
      <c r="G1" s="22">
        <v>5</v>
      </c>
      <c r="H1" s="22">
        <v>6</v>
      </c>
      <c r="I1" s="22">
        <v>7</v>
      </c>
      <c r="J1" s="22">
        <v>8</v>
      </c>
      <c r="K1" s="22">
        <v>9</v>
      </c>
      <c r="L1" s="22">
        <v>10</v>
      </c>
      <c r="M1" s="22">
        <v>11</v>
      </c>
      <c r="N1" s="22">
        <v>12</v>
      </c>
    </row>
    <row r="2" spans="1:14" ht="19.5" customHeight="1" x14ac:dyDescent="0.25">
      <c r="A2" s="78" t="s">
        <v>91</v>
      </c>
      <c r="B2" s="21" t="s">
        <v>92</v>
      </c>
      <c r="C2" s="21" t="s">
        <v>2</v>
      </c>
      <c r="D2" s="21" t="s">
        <v>67</v>
      </c>
      <c r="E2" s="21" t="s">
        <v>68</v>
      </c>
      <c r="F2" s="21" t="s">
        <v>11</v>
      </c>
      <c r="G2" s="21" t="s">
        <v>10</v>
      </c>
      <c r="H2" s="21" t="s">
        <v>69</v>
      </c>
      <c r="I2" s="21" t="s">
        <v>70</v>
      </c>
      <c r="J2" s="21" t="s">
        <v>113</v>
      </c>
      <c r="K2" s="21" t="s">
        <v>71</v>
      </c>
      <c r="L2" s="21" t="s">
        <v>72</v>
      </c>
      <c r="M2" s="75" t="s">
        <v>73</v>
      </c>
      <c r="N2" s="75"/>
    </row>
    <row r="3" spans="1:14" ht="19.5" customHeight="1" x14ac:dyDescent="0.25">
      <c r="A3" s="78"/>
      <c r="B3" s="21">
        <v>300</v>
      </c>
      <c r="C3" s="21">
        <v>56.3</v>
      </c>
      <c r="D3" s="21">
        <v>63.6</v>
      </c>
      <c r="E3" s="21">
        <v>74.5</v>
      </c>
      <c r="F3" s="21">
        <v>67.5</v>
      </c>
      <c r="G3" s="21">
        <v>67.099999999999994</v>
      </c>
      <c r="H3" s="21">
        <v>56.5</v>
      </c>
      <c r="I3" s="27">
        <v>68.2</v>
      </c>
      <c r="J3" s="27">
        <v>73.8</v>
      </c>
      <c r="K3" s="21">
        <v>69.900000000000006</v>
      </c>
      <c r="L3" s="21">
        <v>57.2</v>
      </c>
      <c r="M3" s="21">
        <v>51.6</v>
      </c>
      <c r="N3" s="21">
        <v>51.8</v>
      </c>
    </row>
    <row r="4" spans="1:14" ht="19.5" customHeight="1" x14ac:dyDescent="0.25">
      <c r="A4" s="78"/>
      <c r="B4" s="21">
        <v>250</v>
      </c>
      <c r="C4" s="21">
        <v>56.2</v>
      </c>
      <c r="D4" s="21">
        <v>62.4</v>
      </c>
      <c r="E4" s="21">
        <v>71.2</v>
      </c>
      <c r="F4" s="21">
        <v>66.2</v>
      </c>
      <c r="G4" s="21">
        <v>66.599999999999994</v>
      </c>
      <c r="H4" s="21">
        <v>55.9</v>
      </c>
      <c r="I4" s="27">
        <v>66.5</v>
      </c>
      <c r="J4" s="27">
        <v>70.5</v>
      </c>
      <c r="K4" s="21">
        <v>67.400000000000006</v>
      </c>
      <c r="L4" s="21">
        <v>58.4</v>
      </c>
      <c r="M4" s="21">
        <v>51.4</v>
      </c>
      <c r="N4" s="21">
        <v>51.7</v>
      </c>
    </row>
    <row r="5" spans="1:14" ht="19.5" customHeight="1" x14ac:dyDescent="0.25">
      <c r="A5" s="78"/>
      <c r="B5" s="21">
        <v>220</v>
      </c>
      <c r="C5" s="21">
        <v>56.1</v>
      </c>
      <c r="D5" s="21">
        <v>61.7</v>
      </c>
      <c r="E5" s="21">
        <v>69.7</v>
      </c>
      <c r="F5" s="21">
        <v>65.599999999999994</v>
      </c>
      <c r="G5" s="21">
        <v>66.400000000000006</v>
      </c>
      <c r="H5" s="21">
        <v>55.6</v>
      </c>
      <c r="I5" s="27">
        <v>65.400000000000006</v>
      </c>
      <c r="J5" s="27">
        <v>68.8</v>
      </c>
      <c r="K5" s="21">
        <v>66.3</v>
      </c>
      <c r="L5" s="21">
        <v>59</v>
      </c>
      <c r="M5" s="21">
        <v>51.6</v>
      </c>
      <c r="N5" s="21">
        <v>51.4</v>
      </c>
    </row>
    <row r="6" spans="1:14" ht="19.5" customHeight="1" x14ac:dyDescent="0.25">
      <c r="A6" s="78"/>
      <c r="B6" s="21">
        <v>150</v>
      </c>
      <c r="C6" s="21">
        <v>56.4</v>
      </c>
      <c r="D6" s="21">
        <v>61.1</v>
      </c>
      <c r="E6" s="21">
        <v>68.099999999999994</v>
      </c>
      <c r="F6" s="21">
        <v>65.2</v>
      </c>
      <c r="G6" s="21">
        <v>66.2</v>
      </c>
      <c r="H6" s="21">
        <v>55.6</v>
      </c>
      <c r="I6" s="27">
        <v>64.8</v>
      </c>
      <c r="J6" s="27">
        <v>66.900000000000006</v>
      </c>
      <c r="K6" s="21">
        <v>65.2</v>
      </c>
      <c r="L6" s="21">
        <v>62.5</v>
      </c>
      <c r="M6" s="21">
        <v>51.8</v>
      </c>
      <c r="N6" s="21">
        <v>51.6</v>
      </c>
    </row>
    <row r="7" spans="1:14" x14ac:dyDescent="0.25">
      <c r="A7" s="72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4"/>
    </row>
    <row r="8" spans="1:14" ht="23.25" customHeight="1" x14ac:dyDescent="0.25">
      <c r="A8" s="79" t="s">
        <v>91</v>
      </c>
      <c r="B8" s="13" t="s">
        <v>92</v>
      </c>
      <c r="C8" s="13" t="s">
        <v>2</v>
      </c>
      <c r="D8" s="13" t="s">
        <v>67</v>
      </c>
      <c r="E8" s="13" t="s">
        <v>68</v>
      </c>
      <c r="F8" s="13" t="s">
        <v>11</v>
      </c>
      <c r="G8" s="13" t="s">
        <v>10</v>
      </c>
      <c r="H8" s="13" t="s">
        <v>69</v>
      </c>
      <c r="I8" s="13" t="s">
        <v>70</v>
      </c>
      <c r="J8" s="13" t="s">
        <v>114</v>
      </c>
      <c r="K8" s="13" t="s">
        <v>71</v>
      </c>
      <c r="L8" s="13" t="s">
        <v>72</v>
      </c>
      <c r="M8" s="76" t="s">
        <v>73</v>
      </c>
      <c r="N8" s="76"/>
    </row>
    <row r="9" spans="1:14" ht="23.25" customHeight="1" x14ac:dyDescent="0.25">
      <c r="A9" s="79"/>
      <c r="B9" s="13">
        <v>300</v>
      </c>
      <c r="C9" s="13">
        <v>85.4</v>
      </c>
      <c r="D9" s="13">
        <v>92.4</v>
      </c>
      <c r="E9" s="13">
        <v>102.3</v>
      </c>
      <c r="F9" s="13">
        <v>95.8</v>
      </c>
      <c r="G9" s="13">
        <v>94.4</v>
      </c>
      <c r="H9" s="13">
        <v>85</v>
      </c>
      <c r="I9" s="27">
        <v>96.7</v>
      </c>
      <c r="J9" s="27">
        <v>101.8</v>
      </c>
      <c r="K9" s="13">
        <v>96.9</v>
      </c>
      <c r="L9" s="13">
        <v>86.7</v>
      </c>
      <c r="M9" s="13">
        <v>81.2</v>
      </c>
      <c r="N9" s="13">
        <v>82.3</v>
      </c>
    </row>
    <row r="10" spans="1:14" ht="23.25" customHeight="1" x14ac:dyDescent="0.25">
      <c r="A10" s="79"/>
      <c r="B10" s="13">
        <v>250</v>
      </c>
      <c r="C10" s="13">
        <v>84.8</v>
      </c>
      <c r="D10" s="13">
        <v>90.4</v>
      </c>
      <c r="E10" s="13">
        <v>99</v>
      </c>
      <c r="F10" s="13">
        <v>94.6</v>
      </c>
      <c r="G10" s="13">
        <v>93.9</v>
      </c>
      <c r="H10" s="13">
        <v>84.4</v>
      </c>
      <c r="I10" s="27">
        <v>94.6</v>
      </c>
      <c r="J10" s="27">
        <v>98.4</v>
      </c>
      <c r="K10" s="13">
        <v>94.5</v>
      </c>
      <c r="L10" s="13">
        <v>87.4</v>
      </c>
      <c r="M10" s="13">
        <v>81.400000000000006</v>
      </c>
      <c r="N10" s="13">
        <v>81.8</v>
      </c>
    </row>
    <row r="11" spans="1:14" ht="23.25" customHeight="1" x14ac:dyDescent="0.25">
      <c r="A11" s="79"/>
      <c r="B11" s="13">
        <v>220</v>
      </c>
      <c r="C11" s="13">
        <v>84.8</v>
      </c>
      <c r="D11" s="13">
        <v>89.9</v>
      </c>
      <c r="E11" s="13">
        <v>97.7</v>
      </c>
      <c r="F11" s="13">
        <v>94.1</v>
      </c>
      <c r="G11" s="13">
        <v>93.9</v>
      </c>
      <c r="H11" s="13">
        <v>84.5</v>
      </c>
      <c r="I11" s="27">
        <v>93.8</v>
      </c>
      <c r="J11" s="27">
        <v>96.69</v>
      </c>
      <c r="K11" s="13">
        <v>93.4</v>
      </c>
      <c r="L11" s="13">
        <v>88.2</v>
      </c>
      <c r="M11" s="13">
        <v>81.2</v>
      </c>
      <c r="N11" s="13">
        <v>82.2</v>
      </c>
    </row>
    <row r="12" spans="1:14" ht="23.25" customHeight="1" x14ac:dyDescent="0.25">
      <c r="A12" s="79"/>
      <c r="B12" s="13">
        <v>150</v>
      </c>
      <c r="C12" s="13">
        <v>85.4</v>
      </c>
      <c r="D12" s="13">
        <v>89.4</v>
      </c>
      <c r="E12" s="13">
        <v>95.7</v>
      </c>
      <c r="F12" s="13">
        <v>93.2</v>
      </c>
      <c r="G12" s="13">
        <v>93.7</v>
      </c>
      <c r="H12" s="13">
        <v>84.5</v>
      </c>
      <c r="I12" s="27">
        <v>92.7</v>
      </c>
      <c r="J12" s="27">
        <v>94.6</v>
      </c>
      <c r="K12" s="13">
        <v>92.1</v>
      </c>
      <c r="L12" s="13">
        <v>91.5</v>
      </c>
      <c r="M12" s="13">
        <v>82.2</v>
      </c>
      <c r="N12" s="13">
        <v>81.900000000000006</v>
      </c>
    </row>
    <row r="14" spans="1:14" ht="41.25" customHeight="1" x14ac:dyDescent="0.25">
      <c r="A14" s="54" t="s">
        <v>115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</row>
  </sheetData>
  <mergeCells count="7">
    <mergeCell ref="A14:N14"/>
    <mergeCell ref="A7:N7"/>
    <mergeCell ref="M2:N2"/>
    <mergeCell ref="M8:N8"/>
    <mergeCell ref="A1:B1"/>
    <mergeCell ref="A2:A6"/>
    <mergeCell ref="A8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7B67-0433-4ABE-9466-561D6E8F812B}">
  <dimension ref="A1:F22"/>
  <sheetViews>
    <sheetView workbookViewId="0">
      <selection activeCell="F6" sqref="F6"/>
    </sheetView>
  </sheetViews>
  <sheetFormatPr defaultRowHeight="15" x14ac:dyDescent="0.25"/>
  <cols>
    <col min="1" max="1" width="12.28515625" customWidth="1"/>
    <col min="2" max="2" width="14" customWidth="1"/>
    <col min="3" max="3" width="42" customWidth="1"/>
    <col min="4" max="4" width="42.7109375" customWidth="1"/>
    <col min="5" max="5" width="43" customWidth="1"/>
    <col min="6" max="6" width="42.140625" customWidth="1"/>
  </cols>
  <sheetData>
    <row r="1" spans="1:6" x14ac:dyDescent="0.25">
      <c r="A1" s="64" t="s">
        <v>76</v>
      </c>
      <c r="B1" s="65"/>
      <c r="C1" s="15" t="s">
        <v>74</v>
      </c>
      <c r="D1" s="15">
        <v>250</v>
      </c>
      <c r="E1" s="15">
        <v>220</v>
      </c>
      <c r="F1" s="15">
        <v>250</v>
      </c>
    </row>
    <row r="2" spans="1:6" ht="50.25" customHeight="1" x14ac:dyDescent="0.25">
      <c r="A2" s="66" t="s">
        <v>87</v>
      </c>
      <c r="B2" s="67" t="s">
        <v>77</v>
      </c>
      <c r="C2" s="16" t="s">
        <v>117</v>
      </c>
      <c r="D2" s="16" t="s">
        <v>118</v>
      </c>
      <c r="E2" s="16" t="s">
        <v>116</v>
      </c>
      <c r="F2" s="16" t="s">
        <v>119</v>
      </c>
    </row>
    <row r="3" spans="1:6" ht="165" customHeight="1" x14ac:dyDescent="0.25">
      <c r="A3" s="66"/>
      <c r="B3" s="68"/>
      <c r="C3" s="18"/>
      <c r="D3" s="18"/>
      <c r="E3" s="18"/>
      <c r="F3" s="18"/>
    </row>
    <row r="4" spans="1:6" ht="172.5" customHeight="1" x14ac:dyDescent="0.25">
      <c r="A4" s="66"/>
      <c r="B4" s="17"/>
      <c r="C4" s="18"/>
      <c r="D4" s="18"/>
      <c r="E4" s="18"/>
      <c r="F4" s="18"/>
    </row>
    <row r="5" spans="1:6" x14ac:dyDescent="0.25">
      <c r="A5" s="64" t="s">
        <v>76</v>
      </c>
      <c r="B5" s="65"/>
      <c r="C5" s="15" t="s">
        <v>79</v>
      </c>
      <c r="D5" s="15">
        <v>250</v>
      </c>
      <c r="E5" s="15">
        <v>220</v>
      </c>
      <c r="F5" s="15">
        <v>250</v>
      </c>
    </row>
    <row r="6" spans="1:6" ht="30" x14ac:dyDescent="0.25">
      <c r="A6" s="66" t="s">
        <v>80</v>
      </c>
      <c r="B6" s="67" t="s">
        <v>77</v>
      </c>
      <c r="C6" s="16" t="s">
        <v>93</v>
      </c>
      <c r="D6" s="16" t="s">
        <v>88</v>
      </c>
      <c r="E6" s="16" t="s">
        <v>83</v>
      </c>
      <c r="F6" s="16" t="s">
        <v>82</v>
      </c>
    </row>
    <row r="7" spans="1:6" ht="174" customHeight="1" x14ac:dyDescent="0.25">
      <c r="A7" s="66"/>
      <c r="B7" s="68"/>
      <c r="C7" s="18"/>
      <c r="D7" s="18"/>
      <c r="E7" s="18"/>
      <c r="F7" s="18"/>
    </row>
    <row r="8" spans="1:6" ht="30" x14ac:dyDescent="0.25">
      <c r="A8" s="66"/>
      <c r="B8" s="67" t="s">
        <v>78</v>
      </c>
      <c r="C8" s="16" t="s">
        <v>86</v>
      </c>
      <c r="D8" s="16" t="s">
        <v>85</v>
      </c>
      <c r="E8" s="16" t="s">
        <v>84</v>
      </c>
      <c r="F8" s="16" t="s">
        <v>81</v>
      </c>
    </row>
    <row r="9" spans="1:6" ht="165" customHeight="1" x14ac:dyDescent="0.25">
      <c r="A9" s="66"/>
      <c r="B9" s="68"/>
      <c r="C9" s="18"/>
      <c r="D9" s="18"/>
      <c r="E9" s="18"/>
      <c r="F9" s="18"/>
    </row>
    <row r="10" spans="1:6" x14ac:dyDescent="0.25">
      <c r="A10" s="82" t="s">
        <v>76</v>
      </c>
      <c r="B10" s="83"/>
      <c r="C10" s="13" t="s">
        <v>74</v>
      </c>
      <c r="D10" s="13">
        <v>250</v>
      </c>
      <c r="E10" s="13">
        <v>220</v>
      </c>
      <c r="F10" s="13">
        <v>250</v>
      </c>
    </row>
    <row r="11" spans="1:6" ht="45" x14ac:dyDescent="0.25">
      <c r="A11" s="79" t="s">
        <v>89</v>
      </c>
      <c r="B11" s="80" t="s">
        <v>77</v>
      </c>
      <c r="C11" s="19" t="s">
        <v>109</v>
      </c>
      <c r="D11" s="19" t="s">
        <v>108</v>
      </c>
      <c r="E11" s="19" t="s">
        <v>107</v>
      </c>
      <c r="F11" s="19" t="s">
        <v>106</v>
      </c>
    </row>
    <row r="12" spans="1:6" ht="170.25" customHeight="1" x14ac:dyDescent="0.25">
      <c r="A12" s="79"/>
      <c r="B12" s="81"/>
      <c r="C12" s="20"/>
      <c r="D12" s="20"/>
      <c r="E12" s="20"/>
      <c r="F12" s="20"/>
    </row>
    <row r="13" spans="1:6" ht="30" x14ac:dyDescent="0.25">
      <c r="A13" s="79"/>
      <c r="B13" s="80" t="s">
        <v>78</v>
      </c>
      <c r="C13" s="19" t="s">
        <v>110</v>
      </c>
      <c r="D13" s="19" t="s">
        <v>111</v>
      </c>
      <c r="E13" s="19" t="s">
        <v>75</v>
      </c>
      <c r="F13" s="19" t="s">
        <v>112</v>
      </c>
    </row>
    <row r="14" spans="1:6" ht="166.5" customHeight="1" x14ac:dyDescent="0.25">
      <c r="A14" s="79"/>
      <c r="B14" s="81"/>
      <c r="C14" s="20"/>
      <c r="D14" s="20"/>
      <c r="E14" s="20"/>
      <c r="F14" s="20"/>
    </row>
    <row r="15" spans="1:6" ht="25.5" customHeight="1" x14ac:dyDescent="0.25">
      <c r="A15" s="25"/>
      <c r="B15" s="26"/>
      <c r="C15" s="19" t="s">
        <v>94</v>
      </c>
      <c r="D15" s="19" t="s">
        <v>95</v>
      </c>
      <c r="E15" s="19" t="s">
        <v>96</v>
      </c>
      <c r="F15" s="19" t="s">
        <v>97</v>
      </c>
    </row>
    <row r="16" spans="1:6" ht="166.5" customHeight="1" x14ac:dyDescent="0.25">
      <c r="A16" s="25"/>
      <c r="B16" s="26"/>
      <c r="C16" s="20"/>
      <c r="D16" s="20"/>
      <c r="E16" s="20"/>
      <c r="F16" s="20"/>
    </row>
    <row r="17" spans="1:6" x14ac:dyDescent="0.25">
      <c r="A17" s="82" t="s">
        <v>76</v>
      </c>
      <c r="B17" s="83"/>
      <c r="C17" s="13" t="s">
        <v>79</v>
      </c>
      <c r="D17" s="13">
        <v>250</v>
      </c>
      <c r="E17" s="13">
        <v>220</v>
      </c>
      <c r="F17" s="13">
        <v>250</v>
      </c>
    </row>
    <row r="18" spans="1:6" ht="30" x14ac:dyDescent="0.25">
      <c r="A18" s="79" t="s">
        <v>90</v>
      </c>
      <c r="B18" s="80" t="s">
        <v>77</v>
      </c>
      <c r="C18" s="19" t="s">
        <v>101</v>
      </c>
      <c r="D18" s="19" t="s">
        <v>100</v>
      </c>
      <c r="E18" s="19" t="s">
        <v>99</v>
      </c>
      <c r="F18" s="19" t="s">
        <v>98</v>
      </c>
    </row>
    <row r="19" spans="1:6" ht="164.25" customHeight="1" x14ac:dyDescent="0.25">
      <c r="A19" s="79"/>
      <c r="B19" s="81"/>
      <c r="C19" s="20"/>
      <c r="D19" s="20"/>
      <c r="E19" s="20"/>
      <c r="F19" s="20"/>
    </row>
    <row r="20" spans="1:6" ht="30" x14ac:dyDescent="0.25">
      <c r="A20" s="79"/>
      <c r="B20" s="80" t="s">
        <v>78</v>
      </c>
      <c r="C20" s="19" t="s">
        <v>102</v>
      </c>
      <c r="D20" s="19" t="s">
        <v>103</v>
      </c>
      <c r="E20" s="19" t="s">
        <v>104</v>
      </c>
      <c r="F20" s="19" t="s">
        <v>105</v>
      </c>
    </row>
    <row r="21" spans="1:6" ht="171.75" customHeight="1" x14ac:dyDescent="0.25">
      <c r="A21" s="79"/>
      <c r="B21" s="81"/>
      <c r="C21" s="20"/>
      <c r="D21" s="20"/>
      <c r="E21" s="20"/>
      <c r="F21" s="20"/>
    </row>
    <row r="22" spans="1:6" ht="177.75" customHeight="1" x14ac:dyDescent="0.25"/>
  </sheetData>
  <mergeCells count="15">
    <mergeCell ref="A1:B1"/>
    <mergeCell ref="A5:B5"/>
    <mergeCell ref="A6:A9"/>
    <mergeCell ref="B6:B7"/>
    <mergeCell ref="B8:B9"/>
    <mergeCell ref="A18:A21"/>
    <mergeCell ref="B18:B19"/>
    <mergeCell ref="B20:B21"/>
    <mergeCell ref="A2:A4"/>
    <mergeCell ref="B2:B3"/>
    <mergeCell ref="A10:B10"/>
    <mergeCell ref="A11:A14"/>
    <mergeCell ref="B11:B12"/>
    <mergeCell ref="B13:B14"/>
    <mergeCell ref="A17:B1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Tụ hóa đầu vào</vt:lpstr>
      <vt:lpstr>Snubber</vt:lpstr>
      <vt:lpstr>Biến áp</vt:lpstr>
      <vt:lpstr>Cuộn biến áp</vt:lpstr>
      <vt:lpstr>Diode xả</vt:lpstr>
      <vt:lpstr>Trở khởi động</vt:lpstr>
      <vt:lpstr>Nhiệt độ</vt:lpstr>
      <vt:lpstr>Dạng sóng làm việc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PC4</dc:creator>
  <cp:lastModifiedBy>PC4</cp:lastModifiedBy>
  <dcterms:created xsi:type="dcterms:W3CDTF">2015-06-05T18:17:20Z</dcterms:created>
  <dcterms:modified xsi:type="dcterms:W3CDTF">2024-05-16T02:41:20Z</dcterms:modified>
</cp:coreProperties>
</file>