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exandra\covid_vaccine_allocation\data\"/>
    </mc:Choice>
  </mc:AlternateContent>
  <xr:revisionPtr revIDLastSave="0" documentId="13_ncr:1_{307939B8-4239-4F41-AE3E-DE406854B3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come_group_summary_cov1" sheetId="2" r:id="rId1"/>
    <sheet name="income_group_summary_co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2" l="1"/>
  <c r="F52" i="2"/>
  <c r="O5" i="2"/>
  <c r="O4" i="2"/>
  <c r="F54" i="2"/>
  <c r="F51" i="2"/>
  <c r="I30" i="2"/>
  <c r="I29" i="2"/>
  <c r="I28" i="2"/>
  <c r="I27" i="2"/>
  <c r="E28" i="2"/>
  <c r="E29" i="2"/>
  <c r="E30" i="2"/>
  <c r="E27" i="2"/>
  <c r="C30" i="2" l="1"/>
  <c r="C29" i="2"/>
  <c r="C28" i="2"/>
  <c r="C27" i="2"/>
  <c r="E35" i="2" l="1"/>
  <c r="F35" i="2" s="1"/>
  <c r="I35" i="2" s="1"/>
  <c r="K4" i="2"/>
  <c r="E52" i="2" s="1"/>
  <c r="K5" i="2"/>
  <c r="L5" i="2" s="1"/>
  <c r="K6" i="2"/>
  <c r="E54" i="2" s="1"/>
  <c r="K3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D19" i="2" l="1"/>
  <c r="D27" i="2" s="1"/>
  <c r="G27" i="2" s="1"/>
  <c r="K27" i="2" s="1"/>
  <c r="M5" i="2"/>
  <c r="D21" i="2"/>
  <c r="D29" i="2" s="1"/>
  <c r="E14" i="2"/>
  <c r="D20" i="2"/>
  <c r="D28" i="2" s="1"/>
  <c r="D22" i="2"/>
  <c r="D30" i="2" s="1"/>
  <c r="E13" i="2"/>
  <c r="E12" i="2"/>
  <c r="E11" i="2"/>
  <c r="E19" i="2" s="1"/>
  <c r="E51" i="2"/>
  <c r="E53" i="2"/>
  <c r="L3" i="2"/>
  <c r="M3" i="2" s="1"/>
  <c r="L4" i="2"/>
  <c r="M4" i="2" s="1"/>
  <c r="L6" i="2"/>
  <c r="M6" i="2" s="1"/>
  <c r="E43" i="1"/>
  <c r="H6" i="1"/>
  <c r="F5" i="1"/>
  <c r="F4" i="1"/>
  <c r="F3" i="1"/>
  <c r="K6" i="1"/>
  <c r="E54" i="1" s="1"/>
  <c r="K5" i="1"/>
  <c r="D45" i="1" s="1"/>
  <c r="K4" i="1"/>
  <c r="D44" i="1" s="1"/>
  <c r="K3" i="1"/>
  <c r="D59" i="1" s="1"/>
  <c r="G30" i="2" l="1"/>
  <c r="G28" i="2"/>
  <c r="G29" i="2"/>
  <c r="D61" i="1"/>
  <c r="E53" i="1"/>
  <c r="D60" i="1"/>
  <c r="D13" i="1"/>
  <c r="D52" i="1"/>
  <c r="D12" i="1"/>
  <c r="D19" i="1"/>
  <c r="D43" i="1"/>
  <c r="D51" i="1"/>
  <c r="D22" i="1"/>
  <c r="D46" i="1"/>
  <c r="D53" i="1"/>
  <c r="D21" i="1"/>
  <c r="D20" i="1"/>
  <c r="D54" i="1"/>
  <c r="D11" i="1"/>
  <c r="D14" i="1"/>
  <c r="D62" i="1"/>
  <c r="K29" i="2" l="1"/>
  <c r="K28" i="2"/>
  <c r="K30" i="2"/>
  <c r="B16" i="1"/>
  <c r="E19" i="1" s="1"/>
  <c r="B8" i="1"/>
  <c r="E11" i="1" s="1"/>
  <c r="G38" i="2"/>
  <c r="H38" i="2" s="1"/>
  <c r="G37" i="2"/>
  <c r="H37" i="2" s="1"/>
  <c r="G36" i="2"/>
  <c r="H36" i="2" s="1"/>
  <c r="I6" i="1"/>
  <c r="C22" i="1"/>
  <c r="C34" i="1" s="1"/>
  <c r="G6" i="1"/>
  <c r="C26" i="1" s="1"/>
  <c r="C38" i="1" s="1"/>
  <c r="F6" i="1"/>
  <c r="C62" i="1" s="1"/>
  <c r="I5" i="1"/>
  <c r="H5" i="1"/>
  <c r="C21" i="1" s="1"/>
  <c r="C33" i="1" s="1"/>
  <c r="G5" i="1"/>
  <c r="C25" i="1" s="1"/>
  <c r="C37" i="1" s="1"/>
  <c r="I4" i="1"/>
  <c r="H4" i="1"/>
  <c r="C20" i="1" s="1"/>
  <c r="C32" i="1" s="1"/>
  <c r="G4" i="1"/>
  <c r="C24" i="1" s="1"/>
  <c r="C36" i="1" s="1"/>
  <c r="I3" i="1"/>
  <c r="H3" i="1"/>
  <c r="C19" i="1" s="1"/>
  <c r="C31" i="1" s="1"/>
  <c r="G3" i="1"/>
  <c r="C23" i="1" s="1"/>
  <c r="C35" i="1" s="1"/>
  <c r="B16" i="2"/>
  <c r="F27" i="2" s="1"/>
  <c r="E33" i="1" l="1"/>
  <c r="F33" i="1" s="1"/>
  <c r="G33" i="1" s="1"/>
  <c r="D33" i="1"/>
  <c r="I33" i="1" s="1"/>
  <c r="E37" i="1" s="1"/>
  <c r="F37" i="1" s="1"/>
  <c r="G37" i="1" s="1"/>
  <c r="D31" i="1"/>
  <c r="I31" i="1" s="1"/>
  <c r="E31" i="1"/>
  <c r="F31" i="1" s="1"/>
  <c r="G31" i="1" s="1"/>
  <c r="D34" i="1"/>
  <c r="I34" i="1" s="1"/>
  <c r="E38" i="1" s="1"/>
  <c r="F38" i="1" s="1"/>
  <c r="G38" i="1" s="1"/>
  <c r="E34" i="1"/>
  <c r="F34" i="1" s="1"/>
  <c r="G34" i="1" s="1"/>
  <c r="D32" i="1"/>
  <c r="I32" i="1" s="1"/>
  <c r="E32" i="1"/>
  <c r="F32" i="1" s="1"/>
  <c r="G32" i="1" s="1"/>
  <c r="F28" i="2"/>
  <c r="F30" i="2"/>
  <c r="F29" i="2"/>
  <c r="H27" i="2"/>
  <c r="H28" i="2"/>
  <c r="C60" i="1"/>
  <c r="F19" i="1"/>
  <c r="E21" i="1"/>
  <c r="E20" i="1"/>
  <c r="F20" i="1" s="1"/>
  <c r="C13" i="1"/>
  <c r="C45" i="1" s="1"/>
  <c r="C11" i="1"/>
  <c r="C43" i="1" s="1"/>
  <c r="O4" i="1"/>
  <c r="E60" i="1" s="1"/>
  <c r="C12" i="1"/>
  <c r="C44" i="1" s="1"/>
  <c r="E22" i="1"/>
  <c r="F22" i="1" s="1"/>
  <c r="C61" i="1"/>
  <c r="C14" i="1"/>
  <c r="L3" i="1"/>
  <c r="M3" i="1" s="1"/>
  <c r="E13" i="1"/>
  <c r="C59" i="1"/>
  <c r="E59" i="1" s="1"/>
  <c r="F59" i="1" s="1"/>
  <c r="G59" i="1" s="1"/>
  <c r="O5" i="1"/>
  <c r="E12" i="1"/>
  <c r="E14" i="1"/>
  <c r="L6" i="1"/>
  <c r="M6" i="1" s="1"/>
  <c r="L4" i="1"/>
  <c r="M4" i="1" s="1"/>
  <c r="L5" i="1"/>
  <c r="M5" i="1" s="1"/>
  <c r="B8" i="2"/>
  <c r="E38" i="2"/>
  <c r="E37" i="2"/>
  <c r="E36" i="2"/>
  <c r="E35" i="1" l="1"/>
  <c r="F35" i="1" s="1"/>
  <c r="G35" i="1" s="1"/>
  <c r="E36" i="1"/>
  <c r="F36" i="1" s="1"/>
  <c r="G36" i="1" s="1"/>
  <c r="E25" i="1"/>
  <c r="F25" i="1" s="1"/>
  <c r="H29" i="2"/>
  <c r="H30" i="2"/>
  <c r="I54" i="2"/>
  <c r="I51" i="2"/>
  <c r="F60" i="1"/>
  <c r="G60" i="1" s="1"/>
  <c r="C51" i="1"/>
  <c r="F51" i="1" s="1"/>
  <c r="G51" i="1" s="1"/>
  <c r="F43" i="1"/>
  <c r="G43" i="1" s="1"/>
  <c r="F45" i="1"/>
  <c r="G45" i="1" s="1"/>
  <c r="C53" i="1"/>
  <c r="F53" i="1" s="1"/>
  <c r="G53" i="1" s="1"/>
  <c r="F44" i="1"/>
  <c r="G44" i="1" s="1"/>
  <c r="C52" i="1"/>
  <c r="F52" i="1" s="1"/>
  <c r="G52" i="1" s="1"/>
  <c r="E26" i="1"/>
  <c r="F26" i="1" s="1"/>
  <c r="G26" i="1" s="1"/>
  <c r="E24" i="1"/>
  <c r="F24" i="1" s="1"/>
  <c r="G24" i="1" s="1"/>
  <c r="F21" i="1"/>
  <c r="G21" i="1" s="1"/>
  <c r="G19" i="1"/>
  <c r="F14" i="1"/>
  <c r="G14" i="1" s="1"/>
  <c r="F13" i="1"/>
  <c r="G13" i="1" s="1"/>
  <c r="G25" i="1"/>
  <c r="E61" i="1"/>
  <c r="F61" i="1" s="1"/>
  <c r="G61" i="1" s="1"/>
  <c r="F12" i="1"/>
  <c r="G12" i="1" s="1"/>
  <c r="C46" i="1"/>
  <c r="E62" i="1"/>
  <c r="F62" i="1" s="1"/>
  <c r="G62" i="1" s="1"/>
  <c r="G20" i="1"/>
  <c r="G22" i="1"/>
  <c r="G19" i="2"/>
  <c r="G22" i="2"/>
  <c r="G20" i="2"/>
  <c r="G21" i="2"/>
  <c r="D54" i="2"/>
  <c r="D11" i="2"/>
  <c r="G11" i="2" s="1"/>
  <c r="I52" i="2"/>
  <c r="D13" i="2"/>
  <c r="G13" i="2" s="1"/>
  <c r="D51" i="2"/>
  <c r="G51" i="2" s="1"/>
  <c r="D52" i="2"/>
  <c r="G52" i="2" s="1"/>
  <c r="D53" i="2"/>
  <c r="I53" i="2"/>
  <c r="D35" i="2"/>
  <c r="D14" i="2"/>
  <c r="G14" i="2" s="1"/>
  <c r="D12" i="2"/>
  <c r="G12" i="2" s="1"/>
  <c r="G53" i="2" l="1"/>
  <c r="D45" i="2"/>
  <c r="G45" i="2" s="1"/>
  <c r="G54" i="2"/>
  <c r="H54" i="2" s="1"/>
  <c r="D46" i="2"/>
  <c r="G46" i="2" s="1"/>
  <c r="G35" i="2"/>
  <c r="H35" i="2" s="1"/>
  <c r="F46" i="1"/>
  <c r="G46" i="1" s="1"/>
  <c r="C54" i="1"/>
  <c r="F54" i="1" s="1"/>
  <c r="G54" i="1" s="1"/>
  <c r="E23" i="1"/>
  <c r="F23" i="1" s="1"/>
  <c r="G23" i="1" s="1"/>
  <c r="F11" i="1"/>
  <c r="G11" i="1" s="1"/>
  <c r="H51" i="2"/>
  <c r="H53" i="2"/>
  <c r="H52" i="2"/>
  <c r="F14" i="2" l="1"/>
  <c r="E22" i="2"/>
  <c r="F11" i="2"/>
  <c r="F19" i="2"/>
  <c r="F13" i="2"/>
  <c r="E21" i="2"/>
  <c r="F12" i="2"/>
  <c r="E20" i="2"/>
  <c r="F20" i="2" s="1"/>
  <c r="I20" i="2" s="1"/>
  <c r="K20" i="2" s="1"/>
  <c r="I19" i="2" l="1"/>
  <c r="K19" i="2" s="1"/>
  <c r="F21" i="2"/>
  <c r="I21" i="2" s="1"/>
  <c r="K21" i="2" s="1"/>
  <c r="E45" i="2"/>
  <c r="F45" i="2" s="1"/>
  <c r="F22" i="2"/>
  <c r="I22" i="2" s="1"/>
  <c r="K22" i="2" s="1"/>
  <c r="E46" i="2"/>
  <c r="F46" i="2" s="1"/>
  <c r="H13" i="2"/>
  <c r="I13" i="2"/>
  <c r="H19" i="2"/>
  <c r="H11" i="2"/>
  <c r="I11" i="2"/>
  <c r="H12" i="2"/>
  <c r="I12" i="2"/>
  <c r="H14" i="2"/>
  <c r="I14" i="2"/>
  <c r="H20" i="2"/>
  <c r="H22" i="2" l="1"/>
  <c r="H21" i="2"/>
  <c r="I45" i="2"/>
  <c r="H45" i="2"/>
  <c r="I46" i="2"/>
  <c r="H46" i="2"/>
</calcChain>
</file>

<file path=xl/sharedStrings.xml><?xml version="1.0" encoding="utf-8"?>
<sst xmlns="http://schemas.openxmlformats.org/spreadsheetml/2006/main" count="259" uniqueCount="49">
  <si>
    <t>World Bank Income Group</t>
  </si>
  <si>
    <t>Population (billion)</t>
  </si>
  <si>
    <t>15-64 (%)</t>
  </si>
  <si>
    <t>65+ (%)</t>
  </si>
  <si>
    <t>HIC</t>
  </si>
  <si>
    <t>UMIC</t>
  </si>
  <si>
    <t>LMIC</t>
  </si>
  <si>
    <t>LIC</t>
  </si>
  <si>
    <t>15-64 (pop)</t>
  </si>
  <si>
    <t>65+ (pop)</t>
  </si>
  <si>
    <t>Constraint (billion)</t>
  </si>
  <si>
    <t>Strategy 1</t>
  </si>
  <si>
    <t>all</t>
  </si>
  <si>
    <t>income_group</t>
  </si>
  <si>
    <t>age_target</t>
  </si>
  <si>
    <t>coverage</t>
  </si>
  <si>
    <t>none</t>
  </si>
  <si>
    <t>Strategy 2</t>
  </si>
  <si>
    <t>All countries receive doses in proportion to population - 2 dose schedule</t>
  </si>
  <si>
    <t>High income first - 1b dose constraint ie 2 dose schedule</t>
  </si>
  <si>
    <t>All countries receive doses in proportion to population, plus additional 1.15 doses to HIC and 1.1 doses to MIC - 2 dose schedule</t>
  </si>
  <si>
    <t>weighted doses of 1.1 b (less 15%) doses acros MIC</t>
  </si>
  <si>
    <t>Strategy 3</t>
  </si>
  <si>
    <t>Strategy 4</t>
  </si>
  <si>
    <t>Strategy 5</t>
  </si>
  <si>
    <t>total population proportion</t>
  </si>
  <si>
    <t>population_prop_of_total</t>
  </si>
  <si>
    <t>doses allocated</t>
  </si>
  <si>
    <t>doses_allocated</t>
  </si>
  <si>
    <t>This is for the non-optimised runs, where we assume that we vaccinate a fraction of countries at full coverage</t>
  </si>
  <si>
    <t>This is for the non-optimised runs, where we assume that we vaccinate all countries at fractional coverage</t>
  </si>
  <si>
    <t>proportion of 0.85b doses</t>
  </si>
  <si>
    <t>old</t>
  </si>
  <si>
    <t>population (b)</t>
  </si>
  <si>
    <t>doses needed</t>
  </si>
  <si>
    <t>check if excess</t>
  </si>
  <si>
    <t>middle</t>
  </si>
  <si>
    <t>All countries receive doses in proportion to population - 2 dose schedule - allocated to elderly first, then middle</t>
  </si>
  <si>
    <t>doses_available</t>
  </si>
  <si>
    <t>Low and lower-middle income first - 1b dose constraint ie 2 dose schedule</t>
  </si>
  <si>
    <t>0-14 (%)</t>
  </si>
  <si>
    <t>0-14 (pop)</t>
  </si>
  <si>
    <t>Strategy 6</t>
  </si>
  <si>
    <t>All countries receive doses in proportion to number of people aged 65+ in population, allocated to elderly first, then middle</t>
  </si>
  <si>
    <t>Strategy5</t>
  </si>
  <si>
    <t>old_middle</t>
  </si>
  <si>
    <t>weighted doses of 1.1 b (less 15%, divided by 2) doses acros MIC</t>
  </si>
  <si>
    <t>All countries receive doses in proportion to population - 2 dose schedule - allocated to elderly and then middle</t>
  </si>
  <si>
    <t>All countries receive doses in proportion to number of people aged 65+ in population - allocated to elderly and then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</si>
</sst>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0" borderId="0" xfId="0" applyFont="1"/>
    <xf numFmtId="43" fontId="0" fillId="0" borderId="0" xfId="42" applyFont="1"/>
    <xf numFmtId="0" fontId="16" fillId="34" borderId="0" xfId="0" applyFont="1" applyFill="1"/>
    <xf numFmtId="43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42" applyNumberFormat="1" applyFont="1"/>
    <xf numFmtId="166" fontId="0" fillId="35" borderId="0" xfId="42" applyNumberFormat="1" applyFont="1" applyFill="1"/>
    <xf numFmtId="1" fontId="0" fillId="0" borderId="0" xfId="0" applyNumberFormat="1" applyFill="1"/>
    <xf numFmtId="165" fontId="0" fillId="35" borderId="0" xfId="0" applyNumberFormat="1" applyFill="1"/>
    <xf numFmtId="0" fontId="0" fillId="0" borderId="0" xfId="0" applyFill="1"/>
    <xf numFmtId="166" fontId="0" fillId="0" borderId="0" xfId="0" applyNumberFormat="1"/>
    <xf numFmtId="0" fontId="19" fillId="0" borderId="0" xfId="0" applyFont="1" applyAlignment="1">
      <alignment horizontal="left"/>
    </xf>
    <xf numFmtId="0" fontId="16" fillId="0" borderId="0" xfId="0" applyFont="1" applyFill="1"/>
    <xf numFmtId="0" fontId="0" fillId="0" borderId="0" xfId="0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2C4C-BC5D-408C-B7F4-CF07B36A42B2}">
  <dimension ref="A1:O54"/>
  <sheetViews>
    <sheetView tabSelected="1" workbookViewId="0">
      <selection activeCell="A25" sqref="A25"/>
    </sheetView>
  </sheetViews>
  <sheetFormatPr defaultRowHeight="15" x14ac:dyDescent="0.25"/>
  <cols>
    <col min="1" max="1" width="24.42578125" bestFit="1" customWidth="1"/>
    <col min="2" max="2" width="18.5703125" bestFit="1" customWidth="1"/>
    <col min="3" max="3" width="9" bestFit="1" customWidth="1"/>
    <col min="4" max="4" width="13.85546875" bestFit="1" customWidth="1"/>
    <col min="5" max="5" width="24.28515625" bestFit="1" customWidth="1"/>
    <col min="6" max="6" width="15.28515625" bestFit="1" customWidth="1"/>
    <col min="7" max="7" width="16.85546875" bestFit="1" customWidth="1"/>
    <col min="8" max="8" width="12" bestFit="1" customWidth="1"/>
    <col min="9" max="9" width="18" customWidth="1"/>
    <col min="10" max="10" width="1.5703125" style="2" customWidth="1"/>
    <col min="11" max="11" width="25.85546875" bestFit="1" customWidth="1"/>
    <col min="12" max="12" width="23" bestFit="1" customWidth="1"/>
    <col min="14" max="14" width="1.5703125" style="2" customWidth="1"/>
    <col min="15" max="15" width="46.85546875" bestFit="1" customWidth="1"/>
  </cols>
  <sheetData>
    <row r="1" spans="1:15" x14ac:dyDescent="0.25">
      <c r="A1" s="17" t="s">
        <v>29</v>
      </c>
      <c r="B1" s="17"/>
      <c r="C1" s="17"/>
      <c r="D1" s="17"/>
      <c r="E1" s="17"/>
      <c r="F1" s="17"/>
      <c r="G1" s="17"/>
      <c r="H1" s="17"/>
      <c r="I1" s="17"/>
    </row>
    <row r="2" spans="1:15" x14ac:dyDescent="0.25">
      <c r="A2" t="s">
        <v>0</v>
      </c>
      <c r="B2" t="s">
        <v>1</v>
      </c>
      <c r="C2" t="s">
        <v>40</v>
      </c>
      <c r="D2" t="s">
        <v>2</v>
      </c>
      <c r="E2" t="s">
        <v>3</v>
      </c>
      <c r="F2" t="s">
        <v>41</v>
      </c>
      <c r="G2" t="s">
        <v>8</v>
      </c>
      <c r="H2" t="s">
        <v>9</v>
      </c>
      <c r="I2" t="s">
        <v>10</v>
      </c>
      <c r="K2" t="s">
        <v>25</v>
      </c>
      <c r="L2" t="s">
        <v>31</v>
      </c>
      <c r="M2" t="s">
        <v>15</v>
      </c>
      <c r="O2" s="19" t="s">
        <v>46</v>
      </c>
    </row>
    <row r="3" spans="1:15" x14ac:dyDescent="0.25">
      <c r="A3" t="s">
        <v>4</v>
      </c>
      <c r="B3">
        <v>1.2122617959999999</v>
      </c>
      <c r="C3">
        <v>14.400000000000006</v>
      </c>
      <c r="D3">
        <v>64.3</v>
      </c>
      <c r="E3">
        <v>21.3</v>
      </c>
      <c r="F3" s="5">
        <f>$B3*C3/100</f>
        <v>0.17456569862400007</v>
      </c>
      <c r="G3" s="5">
        <f t="shared" ref="F3:H6" si="0">$B3*D3/100</f>
        <v>0.77948433482799995</v>
      </c>
      <c r="H3" s="5">
        <f t="shared" si="0"/>
        <v>0.25821176254799999</v>
      </c>
      <c r="I3" s="1">
        <f>2*0.85/2</f>
        <v>0.85</v>
      </c>
      <c r="J3" s="3"/>
      <c r="K3">
        <f>B3/SUM($B$3:$B$6)</f>
        <v>0.15853925129438018</v>
      </c>
      <c r="L3">
        <f>K3*I3</f>
        <v>0.13475836360022314</v>
      </c>
      <c r="M3">
        <f>L3/SUM(F3:H3)</f>
        <v>0.11116275712463609</v>
      </c>
      <c r="O3" s="19"/>
    </row>
    <row r="4" spans="1:15" x14ac:dyDescent="0.25">
      <c r="A4" t="s">
        <v>5</v>
      </c>
      <c r="B4">
        <v>2.8558627890000001</v>
      </c>
      <c r="C4">
        <v>23.799999999999997</v>
      </c>
      <c r="D4">
        <v>66.400000000000006</v>
      </c>
      <c r="E4">
        <v>9.8000000000000007</v>
      </c>
      <c r="F4" s="5">
        <f>$B4*C4/100</f>
        <v>0.67969534378199992</v>
      </c>
      <c r="G4" s="5">
        <f t="shared" si="0"/>
        <v>1.8962928918960003</v>
      </c>
      <c r="H4" s="5">
        <f t="shared" si="0"/>
        <v>0.27987455332200001</v>
      </c>
      <c r="I4" s="1">
        <f t="shared" ref="I4:I6" si="1">2*0.85/2</f>
        <v>0.85</v>
      </c>
      <c r="J4" s="3"/>
      <c r="K4">
        <f t="shared" ref="K4:K6" si="2">B4/SUM($B$3:$B$6)</f>
        <v>0.37348891952340341</v>
      </c>
      <c r="L4">
        <f>K4*I4</f>
        <v>0.31746558159489291</v>
      </c>
      <c r="M4">
        <f>L4/SUM(F4:H4)</f>
        <v>0.11116275712463609</v>
      </c>
      <c r="O4">
        <f>1.1*SUM(F4:H4)/SUM(F4:H5)*0.85/2</f>
        <v>0.23142026542240715</v>
      </c>
    </row>
    <row r="5" spans="1:15" x14ac:dyDescent="0.25">
      <c r="A5" t="s">
        <v>6</v>
      </c>
      <c r="B5">
        <v>2.9133633909999999</v>
      </c>
      <c r="C5">
        <v>29.5</v>
      </c>
      <c r="D5">
        <v>64.8</v>
      </c>
      <c r="E5">
        <v>5.7</v>
      </c>
      <c r="F5" s="5">
        <f>$B5*C5/100</f>
        <v>0.85944220034499996</v>
      </c>
      <c r="G5" s="5">
        <f t="shared" si="0"/>
        <v>1.8878594773679997</v>
      </c>
      <c r="H5" s="5">
        <f t="shared" si="0"/>
        <v>0.16606171328700001</v>
      </c>
      <c r="I5" s="1">
        <f t="shared" si="1"/>
        <v>0.85</v>
      </c>
      <c r="J5" s="3"/>
      <c r="K5">
        <f t="shared" si="2"/>
        <v>0.38100883182298734</v>
      </c>
      <c r="L5">
        <f>K5*I5</f>
        <v>0.32385750704953925</v>
      </c>
      <c r="M5">
        <f>L5/SUM(F5:H5)</f>
        <v>0.11116275712463611</v>
      </c>
      <c r="O5">
        <f>1.1*SUM(F5:H5)/SUM(F4:H5)*0.85/2</f>
        <v>0.23607973457759288</v>
      </c>
    </row>
    <row r="6" spans="1:15" x14ac:dyDescent="0.25">
      <c r="A6" t="s">
        <v>7</v>
      </c>
      <c r="B6">
        <v>0.66495784800000002</v>
      </c>
      <c r="C6">
        <v>40.1</v>
      </c>
      <c r="D6">
        <v>56.8</v>
      </c>
      <c r="E6">
        <v>3.1</v>
      </c>
      <c r="F6" s="5">
        <f t="shared" si="0"/>
        <v>0.26664809704800002</v>
      </c>
      <c r="G6" s="5">
        <f t="shared" si="0"/>
        <v>0.377696057664</v>
      </c>
      <c r="H6" s="5">
        <f>$B6*E6/100</f>
        <v>2.0613693288000001E-2</v>
      </c>
      <c r="I6" s="1">
        <f t="shared" si="1"/>
        <v>0.85</v>
      </c>
      <c r="J6" s="3"/>
      <c r="K6">
        <f t="shared" si="2"/>
        <v>8.6962997359229049E-2</v>
      </c>
      <c r="L6">
        <f>K6*I6</f>
        <v>7.3918547755344691E-2</v>
      </c>
      <c r="M6">
        <f>L6/SUM(F6:H6)</f>
        <v>0.11116275712463609</v>
      </c>
    </row>
    <row r="7" spans="1:15" x14ac:dyDescent="0.25">
      <c r="F7" s="5"/>
      <c r="G7" s="5"/>
      <c r="H7" s="5"/>
      <c r="I7" s="1"/>
      <c r="J7" s="3"/>
    </row>
    <row r="8" spans="1:15" x14ac:dyDescent="0.25">
      <c r="A8" s="6" t="s">
        <v>11</v>
      </c>
      <c r="B8">
        <f>2*0.85/2</f>
        <v>0.85</v>
      </c>
    </row>
    <row r="9" spans="1:15" x14ac:dyDescent="0.25">
      <c r="A9" s="4" t="s">
        <v>18</v>
      </c>
    </row>
    <row r="10" spans="1:15" x14ac:dyDescent="0.25">
      <c r="A10" t="s">
        <v>13</v>
      </c>
      <c r="B10" t="s">
        <v>14</v>
      </c>
      <c r="C10" t="s">
        <v>15</v>
      </c>
      <c r="D10" t="s">
        <v>33</v>
      </c>
      <c r="E10" t="s">
        <v>26</v>
      </c>
      <c r="F10" t="s">
        <v>38</v>
      </c>
      <c r="G10" t="s">
        <v>34</v>
      </c>
      <c r="H10" t="s">
        <v>35</v>
      </c>
      <c r="I10" t="s">
        <v>27</v>
      </c>
      <c r="K10" t="s">
        <v>15</v>
      </c>
    </row>
    <row r="11" spans="1:15" x14ac:dyDescent="0.25">
      <c r="A11" t="s">
        <v>4</v>
      </c>
      <c r="B11" t="s">
        <v>12</v>
      </c>
      <c r="C11">
        <v>0.8</v>
      </c>
      <c r="D11" s="9">
        <f>SUM(F3:H3)</f>
        <v>1.2122617959999999</v>
      </c>
      <c r="E11" s="8">
        <f>K3</f>
        <v>0.15853925129438018</v>
      </c>
      <c r="F11" s="12">
        <f>E11*$B$8*1000000000</f>
        <v>134758363.60022315</v>
      </c>
      <c r="G11">
        <f>C11*D11*1000000000</f>
        <v>969809436.79999995</v>
      </c>
      <c r="H11" t="str">
        <f>IF(G11&gt;F11,"N", "Y")</f>
        <v>N</v>
      </c>
      <c r="I11" s="16">
        <f>F11</f>
        <v>134758363.60022315</v>
      </c>
      <c r="K11">
        <v>0.8</v>
      </c>
    </row>
    <row r="12" spans="1:15" x14ac:dyDescent="0.25">
      <c r="A12" t="s">
        <v>5</v>
      </c>
      <c r="B12" t="s">
        <v>12</v>
      </c>
      <c r="C12">
        <v>0.8</v>
      </c>
      <c r="D12" s="9">
        <f>SUM(F4:H4)</f>
        <v>2.8558627890000006</v>
      </c>
      <c r="E12" s="8">
        <f t="shared" ref="E12:E14" si="3">K4</f>
        <v>0.37348891952340341</v>
      </c>
      <c r="F12" s="12">
        <f>E12*$B$8*1000000000</f>
        <v>317465581.59489292</v>
      </c>
      <c r="G12">
        <f>C12*D12*1000000000</f>
        <v>2284690231.2000003</v>
      </c>
      <c r="H12" t="str">
        <f>IF(G12&gt;F12,"N", "Y")</f>
        <v>N</v>
      </c>
      <c r="I12" s="16">
        <f t="shared" ref="I12:I14" si="4">F12</f>
        <v>317465581.59489292</v>
      </c>
      <c r="K12">
        <v>0.8</v>
      </c>
    </row>
    <row r="13" spans="1:15" x14ac:dyDescent="0.25">
      <c r="A13" t="s">
        <v>6</v>
      </c>
      <c r="B13" t="s">
        <v>12</v>
      </c>
      <c r="C13">
        <v>0.8</v>
      </c>
      <c r="D13" s="9">
        <f>SUM(F5:H5)</f>
        <v>2.9133633909999999</v>
      </c>
      <c r="E13" s="8">
        <f t="shared" si="3"/>
        <v>0.38100883182298734</v>
      </c>
      <c r="F13" s="12">
        <f>E13*$B$8*1000000000</f>
        <v>323857507.04953927</v>
      </c>
      <c r="G13">
        <f>C13*D13*1000000000</f>
        <v>2330690712.8000002</v>
      </c>
      <c r="H13" t="str">
        <f>IF(G13&gt;F13,"N", "Y")</f>
        <v>N</v>
      </c>
      <c r="I13" s="16">
        <f t="shared" si="4"/>
        <v>323857507.04953927</v>
      </c>
      <c r="K13">
        <v>0.8</v>
      </c>
    </row>
    <row r="14" spans="1:15" x14ac:dyDescent="0.25">
      <c r="A14" t="s">
        <v>7</v>
      </c>
      <c r="B14" t="s">
        <v>12</v>
      </c>
      <c r="C14">
        <v>0.8</v>
      </c>
      <c r="D14" s="9">
        <f>SUM(F6:H6)</f>
        <v>0.66495784800000002</v>
      </c>
      <c r="E14" s="8">
        <f t="shared" si="3"/>
        <v>8.6962997359229049E-2</v>
      </c>
      <c r="F14" s="12">
        <f>E14*$B$8*1000000000</f>
        <v>73918547.755344689</v>
      </c>
      <c r="G14">
        <f>C14*D14*1000000000</f>
        <v>531966278.39999998</v>
      </c>
      <c r="H14" t="str">
        <f>IF(G14&gt;F14,"N", "Y")</f>
        <v>N</v>
      </c>
      <c r="I14" s="16">
        <f t="shared" si="4"/>
        <v>73918547.755344689</v>
      </c>
      <c r="K14">
        <v>0.8</v>
      </c>
    </row>
    <row r="16" spans="1:15" x14ac:dyDescent="0.25">
      <c r="A16" s="6" t="s">
        <v>17</v>
      </c>
      <c r="B16">
        <f>2*0.85/2</f>
        <v>0.85</v>
      </c>
    </row>
    <row r="17" spans="1:12" x14ac:dyDescent="0.25">
      <c r="A17" s="4" t="s">
        <v>47</v>
      </c>
    </row>
    <row r="18" spans="1:12" x14ac:dyDescent="0.25">
      <c r="A18" t="s">
        <v>13</v>
      </c>
      <c r="B18" t="s">
        <v>14</v>
      </c>
      <c r="C18" t="s">
        <v>15</v>
      </c>
      <c r="D18" t="s">
        <v>33</v>
      </c>
      <c r="E18" t="s">
        <v>26</v>
      </c>
      <c r="F18" t="s">
        <v>38</v>
      </c>
      <c r="G18" t="s">
        <v>34</v>
      </c>
      <c r="H18" t="s">
        <v>35</v>
      </c>
      <c r="I18" t="s">
        <v>27</v>
      </c>
      <c r="K18" s="9"/>
    </row>
    <row r="19" spans="1:12" x14ac:dyDescent="0.25">
      <c r="A19" t="s">
        <v>4</v>
      </c>
      <c r="B19" t="s">
        <v>45</v>
      </c>
      <c r="C19">
        <v>0.8</v>
      </c>
      <c r="D19" s="7">
        <f>G3+H3</f>
        <v>1.0376960973759999</v>
      </c>
      <c r="E19" s="8">
        <f>E11</f>
        <v>0.15853925129438018</v>
      </c>
      <c r="F19" s="12">
        <f>E19*$B$16*1000000000</f>
        <v>134758363.60022315</v>
      </c>
      <c r="G19" s="11">
        <f>C19*D19*1000000000</f>
        <v>830156877.90079999</v>
      </c>
      <c r="H19" t="str">
        <f>IF(G19&gt;F19,"N", "Y")</f>
        <v>N</v>
      </c>
      <c r="I19" s="16">
        <f>F19</f>
        <v>134758363.60022315</v>
      </c>
      <c r="K19" s="9">
        <f>I19/G19*0.8</f>
        <v>0.12986303402410759</v>
      </c>
      <c r="L19" s="7"/>
    </row>
    <row r="20" spans="1:12" x14ac:dyDescent="0.25">
      <c r="A20" t="s">
        <v>5</v>
      </c>
      <c r="B20" t="s">
        <v>45</v>
      </c>
      <c r="C20">
        <v>0.8</v>
      </c>
      <c r="D20" s="7">
        <f t="shared" ref="D20:D22" si="5">G4+H4</f>
        <v>2.1761674452180002</v>
      </c>
      <c r="E20" s="8">
        <f>E12</f>
        <v>0.37348891952340341</v>
      </c>
      <c r="F20" s="12">
        <f>E20*$B$16*1000000000</f>
        <v>317465581.59489292</v>
      </c>
      <c r="G20" s="11">
        <f>C20*D20*1000000000</f>
        <v>1740933956.1744001</v>
      </c>
      <c r="H20" t="str">
        <f>IF(G20&gt;F20,"N", "Y")</f>
        <v>N</v>
      </c>
      <c r="I20" s="16">
        <f t="shared" ref="I20:I22" si="6">F20</f>
        <v>317465581.59489292</v>
      </c>
      <c r="K20" s="9">
        <f>I20/G20*0.8</f>
        <v>0.14588288336566421</v>
      </c>
      <c r="L20" s="7"/>
    </row>
    <row r="21" spans="1:12" x14ac:dyDescent="0.25">
      <c r="A21" t="s">
        <v>6</v>
      </c>
      <c r="B21" t="s">
        <v>45</v>
      </c>
      <c r="C21">
        <v>0.8</v>
      </c>
      <c r="D21" s="7">
        <f t="shared" si="5"/>
        <v>2.0539211906549997</v>
      </c>
      <c r="E21" s="8">
        <f>E13</f>
        <v>0.38100883182298734</v>
      </c>
      <c r="F21" s="12">
        <f>E21*$B$16*1000000000</f>
        <v>323857507.04953927</v>
      </c>
      <c r="G21" s="11">
        <f>C21*D21*1000000000</f>
        <v>1643136952.5239999</v>
      </c>
      <c r="H21" t="str">
        <f>IF(G21&gt;F21,"N", "Y")</f>
        <v>N</v>
      </c>
      <c r="I21" s="16">
        <f t="shared" si="6"/>
        <v>323857507.04953927</v>
      </c>
      <c r="K21" s="9">
        <f>I21/G21*0.8</f>
        <v>0.15767766968033492</v>
      </c>
      <c r="L21" s="7"/>
    </row>
    <row r="22" spans="1:12" x14ac:dyDescent="0.25">
      <c r="A22" t="s">
        <v>7</v>
      </c>
      <c r="B22" t="s">
        <v>45</v>
      </c>
      <c r="C22">
        <v>0.8</v>
      </c>
      <c r="D22" s="7">
        <f t="shared" si="5"/>
        <v>0.398309750952</v>
      </c>
      <c r="E22" s="8">
        <f>E14</f>
        <v>8.6962997359229049E-2</v>
      </c>
      <c r="F22" s="12">
        <f>E22*$B$16*1000000000</f>
        <v>73918547.755344689</v>
      </c>
      <c r="G22" s="11">
        <f>C22*D22*1000000000</f>
        <v>318647800.76160002</v>
      </c>
      <c r="H22" t="str">
        <f>IF(G22&gt;F22,"N", "Y")</f>
        <v>N</v>
      </c>
      <c r="I22" s="16">
        <f t="shared" si="6"/>
        <v>73918547.755344689</v>
      </c>
      <c r="K22" s="9">
        <f>I22/G22*0.8</f>
        <v>0.1855805628124142</v>
      </c>
      <c r="L22" s="7"/>
    </row>
    <row r="24" spans="1:12" x14ac:dyDescent="0.25">
      <c r="A24" s="6" t="s">
        <v>22</v>
      </c>
      <c r="B24">
        <v>0.85</v>
      </c>
    </row>
    <row r="25" spans="1:12" x14ac:dyDescent="0.25">
      <c r="A25" s="4" t="s">
        <v>48</v>
      </c>
    </row>
    <row r="26" spans="1:12" x14ac:dyDescent="0.25">
      <c r="A26" t="s">
        <v>13</v>
      </c>
      <c r="B26" t="s">
        <v>14</v>
      </c>
      <c r="C26">
        <v>0.8</v>
      </c>
      <c r="D26" t="s">
        <v>33</v>
      </c>
      <c r="E26" t="s">
        <v>26</v>
      </c>
      <c r="F26" t="s">
        <v>38</v>
      </c>
      <c r="G26" t="s">
        <v>34</v>
      </c>
      <c r="H26" t="s">
        <v>35</v>
      </c>
    </row>
    <row r="27" spans="1:12" x14ac:dyDescent="0.25">
      <c r="A27" t="s">
        <v>4</v>
      </c>
      <c r="B27" t="s">
        <v>45</v>
      </c>
      <c r="C27" s="7">
        <f>C19</f>
        <v>0.8</v>
      </c>
      <c r="D27" s="7">
        <f>D19</f>
        <v>1.0376960973759999</v>
      </c>
      <c r="E27" s="8">
        <f>H3/SUM($H$3:$H$6)</f>
        <v>0.35627124688223982</v>
      </c>
      <c r="F27" s="12">
        <f>E27*$B$16*1000000000</f>
        <v>302830559.84990388</v>
      </c>
      <c r="G27" s="11">
        <f>C27*D27*1000000000</f>
        <v>830156877.90079999</v>
      </c>
      <c r="H27" t="str">
        <f>IF(G27&gt;F27,"N", "Y")</f>
        <v>N</v>
      </c>
      <c r="I27" s="16">
        <f t="shared" ref="I27:I30" si="7">F27</f>
        <v>302830559.84990388</v>
      </c>
      <c r="K27" s="9">
        <f>I27/G27*0.8</f>
        <v>0.29182971836905341</v>
      </c>
    </row>
    <row r="28" spans="1:12" x14ac:dyDescent="0.25">
      <c r="A28" t="s">
        <v>5</v>
      </c>
      <c r="B28" t="s">
        <v>45</v>
      </c>
      <c r="C28" s="7">
        <f>C20</f>
        <v>0.8</v>
      </c>
      <c r="D28" s="7">
        <f>D20</f>
        <v>2.1761674452180002</v>
      </c>
      <c r="E28" s="8">
        <f t="shared" ref="E28:E30" si="8">H4/SUM($H$3:$H$6)</f>
        <v>0.38616078175022389</v>
      </c>
      <c r="F28" s="12">
        <f>E28*$B$16*1000000000</f>
        <v>328236664.48769027</v>
      </c>
      <c r="G28" s="11">
        <f>C28*D28*1000000000</f>
        <v>1740933956.1744001</v>
      </c>
      <c r="H28" t="str">
        <f>IF(G28&gt;F28,"N", "Y")</f>
        <v>N</v>
      </c>
      <c r="I28" s="16">
        <f t="shared" si="7"/>
        <v>328236664.48769027</v>
      </c>
      <c r="K28" s="9">
        <f t="shared" ref="K28:K30" si="9">I28/G28*0.8</f>
        <v>0.15083244867437523</v>
      </c>
    </row>
    <row r="29" spans="1:12" x14ac:dyDescent="0.25">
      <c r="A29" t="s">
        <v>6</v>
      </c>
      <c r="B29" t="s">
        <v>45</v>
      </c>
      <c r="C29" s="7">
        <f>C21</f>
        <v>0.8</v>
      </c>
      <c r="D29" s="7">
        <f>D21</f>
        <v>2.0539211906549997</v>
      </c>
      <c r="E29" s="8">
        <f t="shared" si="8"/>
        <v>0.22912594325040658</v>
      </c>
      <c r="F29" s="12">
        <f>E29*$B$16*1000000000</f>
        <v>194757051.76284558</v>
      </c>
      <c r="G29" s="11">
        <f>C29*D29*1000000000</f>
        <v>1643136952.5239999</v>
      </c>
      <c r="H29" t="str">
        <f>IF(G29&gt;F29,"N", "Y")</f>
        <v>N</v>
      </c>
      <c r="I29" s="16">
        <f t="shared" si="7"/>
        <v>194757051.76284558</v>
      </c>
      <c r="K29" s="9">
        <f t="shared" si="9"/>
        <v>9.4822066517915971E-2</v>
      </c>
    </row>
    <row r="30" spans="1:12" x14ac:dyDescent="0.25">
      <c r="A30" t="s">
        <v>7</v>
      </c>
      <c r="B30" t="s">
        <v>45</v>
      </c>
      <c r="C30" s="7">
        <f>C22</f>
        <v>0.8</v>
      </c>
      <c r="D30" s="7">
        <f>D22</f>
        <v>0.398309750952</v>
      </c>
      <c r="E30" s="8">
        <f t="shared" si="8"/>
        <v>2.8442028117129644E-2</v>
      </c>
      <c r="F30" s="12">
        <f>E30*$B$16*1000000000</f>
        <v>24175723.899560198</v>
      </c>
      <c r="G30" s="11">
        <f>C30*D30*1000000000</f>
        <v>318647800.76160002</v>
      </c>
      <c r="H30" t="str">
        <f>IF(G30&gt;F30,"N", "Y")</f>
        <v>N</v>
      </c>
      <c r="I30" s="16">
        <f t="shared" si="7"/>
        <v>24175723.899560198</v>
      </c>
      <c r="K30" s="9">
        <f t="shared" si="9"/>
        <v>6.0695787240402248E-2</v>
      </c>
    </row>
    <row r="31" spans="1:12" x14ac:dyDescent="0.25">
      <c r="A31" s="18"/>
    </row>
    <row r="32" spans="1:12" x14ac:dyDescent="0.25">
      <c r="A32" s="6" t="s">
        <v>23</v>
      </c>
      <c r="B32">
        <v>0.85</v>
      </c>
    </row>
    <row r="33" spans="1:9" x14ac:dyDescent="0.25">
      <c r="A33" s="4" t="s">
        <v>19</v>
      </c>
    </row>
    <row r="34" spans="1:9" x14ac:dyDescent="0.25">
      <c r="A34" t="s">
        <v>13</v>
      </c>
      <c r="B34" t="s">
        <v>14</v>
      </c>
      <c r="C34" t="s">
        <v>15</v>
      </c>
      <c r="D34" t="s">
        <v>33</v>
      </c>
      <c r="E34" t="s">
        <v>28</v>
      </c>
      <c r="F34" t="s">
        <v>38</v>
      </c>
      <c r="G34" t="s">
        <v>34</v>
      </c>
      <c r="H34" t="s">
        <v>35</v>
      </c>
    </row>
    <row r="35" spans="1:9" x14ac:dyDescent="0.25">
      <c r="A35" t="s">
        <v>4</v>
      </c>
      <c r="B35" t="s">
        <v>12</v>
      </c>
      <c r="C35">
        <v>0.8</v>
      </c>
      <c r="D35" s="7">
        <f>SUM(F3:H3)</f>
        <v>1.2122617959999999</v>
      </c>
      <c r="E35">
        <f>B32</f>
        <v>0.85</v>
      </c>
      <c r="F35" s="12">
        <f>E35*1000000000</f>
        <v>850000000</v>
      </c>
      <c r="G35" s="7">
        <f>C35*D35*1000000000</f>
        <v>969809436.79999995</v>
      </c>
      <c r="H35" t="str">
        <f>IF(G35&gt;F35,"N", "Y")</f>
        <v>N</v>
      </c>
      <c r="I35" s="11">
        <f>F35</f>
        <v>850000000</v>
      </c>
    </row>
    <row r="36" spans="1:9" x14ac:dyDescent="0.25">
      <c r="A36" t="s">
        <v>5</v>
      </c>
      <c r="B36" t="s">
        <v>16</v>
      </c>
      <c r="C36">
        <v>1</v>
      </c>
      <c r="D36">
        <v>0</v>
      </c>
      <c r="E36">
        <f>C36*D36</f>
        <v>0</v>
      </c>
      <c r="F36" s="12">
        <v>0</v>
      </c>
      <c r="G36">
        <f>C36*D36*1000000000</f>
        <v>0</v>
      </c>
      <c r="H36" t="str">
        <f>IF(G36&gt;F36,"N", "Y")</f>
        <v>Y</v>
      </c>
      <c r="I36" s="11">
        <v>0</v>
      </c>
    </row>
    <row r="37" spans="1:9" x14ac:dyDescent="0.25">
      <c r="A37" t="s">
        <v>6</v>
      </c>
      <c r="B37" t="s">
        <v>16</v>
      </c>
      <c r="C37">
        <v>1</v>
      </c>
      <c r="D37">
        <v>0</v>
      </c>
      <c r="E37">
        <f>C37*D37</f>
        <v>0</v>
      </c>
      <c r="F37" s="12">
        <v>0</v>
      </c>
      <c r="G37">
        <f>C37*D37*1000000000</f>
        <v>0</v>
      </c>
      <c r="H37" t="str">
        <f>IF(G37&gt;F37,"N", "Y")</f>
        <v>Y</v>
      </c>
      <c r="I37" s="11">
        <v>0</v>
      </c>
    </row>
    <row r="38" spans="1:9" x14ac:dyDescent="0.25">
      <c r="A38" t="s">
        <v>7</v>
      </c>
      <c r="B38" t="s">
        <v>16</v>
      </c>
      <c r="C38">
        <v>1</v>
      </c>
      <c r="D38">
        <v>0</v>
      </c>
      <c r="E38">
        <f>C38*D38</f>
        <v>0</v>
      </c>
      <c r="F38" s="12">
        <v>0</v>
      </c>
      <c r="G38">
        <f>C38*D38*1000000000</f>
        <v>0</v>
      </c>
      <c r="H38" t="str">
        <f>IF(G38&gt;F38,"N", "Y")</f>
        <v>Y</v>
      </c>
      <c r="I38" s="11">
        <v>0</v>
      </c>
    </row>
    <row r="39" spans="1:9" x14ac:dyDescent="0.25">
      <c r="F39" s="11"/>
    </row>
    <row r="40" spans="1:9" x14ac:dyDescent="0.25">
      <c r="A40" s="6" t="s">
        <v>44</v>
      </c>
      <c r="B40">
        <v>0.85</v>
      </c>
      <c r="F40" s="11"/>
    </row>
    <row r="41" spans="1:9" x14ac:dyDescent="0.25">
      <c r="A41" s="4" t="s">
        <v>39</v>
      </c>
      <c r="F41" s="11"/>
    </row>
    <row r="42" spans="1:9" x14ac:dyDescent="0.25">
      <c r="A42" t="s">
        <v>13</v>
      </c>
      <c r="B42" t="s">
        <v>14</v>
      </c>
      <c r="C42" t="s">
        <v>15</v>
      </c>
      <c r="F42" s="12"/>
    </row>
    <row r="43" spans="1:9" x14ac:dyDescent="0.25">
      <c r="A43" t="s">
        <v>4</v>
      </c>
      <c r="B43" t="s">
        <v>16</v>
      </c>
      <c r="F43" s="12"/>
    </row>
    <row r="44" spans="1:9" x14ac:dyDescent="0.25">
      <c r="A44" t="s">
        <v>5</v>
      </c>
      <c r="B44" t="s">
        <v>16</v>
      </c>
      <c r="F44" s="12"/>
    </row>
    <row r="45" spans="1:9" x14ac:dyDescent="0.25">
      <c r="A45" t="s">
        <v>6</v>
      </c>
      <c r="B45" t="s">
        <v>12</v>
      </c>
      <c r="C45">
        <v>0.8</v>
      </c>
      <c r="D45" s="7">
        <f>D53</f>
        <v>2.9133633909999999</v>
      </c>
      <c r="E45">
        <f>E21/($E$21+$E$22)</f>
        <v>0.81417044373974945</v>
      </c>
      <c r="F45" s="12">
        <f>E45*$B$40*1000000000</f>
        <v>692044877.17878699</v>
      </c>
      <c r="G45" s="7">
        <f>C45*D45*1000000000</f>
        <v>2330690712.8000002</v>
      </c>
      <c r="H45" t="str">
        <f>IF(G45&gt;F45,"N", "Y")</f>
        <v>N</v>
      </c>
      <c r="I45" s="11">
        <f>F45</f>
        <v>692044877.17878699</v>
      </c>
    </row>
    <row r="46" spans="1:9" x14ac:dyDescent="0.25">
      <c r="A46" t="s">
        <v>7</v>
      </c>
      <c r="B46" t="s">
        <v>12</v>
      </c>
      <c r="C46">
        <v>0.8</v>
      </c>
      <c r="D46" s="7">
        <f>D54</f>
        <v>0.66495784800000002</v>
      </c>
      <c r="E46">
        <f>E22/($E$21+$E$22)</f>
        <v>0.18582955626025058</v>
      </c>
      <c r="F46" s="12">
        <f>E46*$B$40*1000000000</f>
        <v>157955122.82121298</v>
      </c>
      <c r="G46" s="7">
        <f>C46*D46*1000000000</f>
        <v>531966278.39999998</v>
      </c>
      <c r="H46" t="str">
        <f>IF(G46&gt;F46,"N", "Y")</f>
        <v>N</v>
      </c>
      <c r="I46" s="11">
        <f>F46</f>
        <v>157955122.82121298</v>
      </c>
    </row>
    <row r="47" spans="1:9" x14ac:dyDescent="0.25">
      <c r="F47" s="11"/>
    </row>
    <row r="48" spans="1:9" x14ac:dyDescent="0.25">
      <c r="A48" s="6" t="s">
        <v>42</v>
      </c>
      <c r="B48">
        <v>0.85</v>
      </c>
      <c r="F48" s="11"/>
    </row>
    <row r="49" spans="1:9" x14ac:dyDescent="0.25">
      <c r="A49" s="4" t="s">
        <v>20</v>
      </c>
      <c r="F49" s="11"/>
    </row>
    <row r="50" spans="1:9" x14ac:dyDescent="0.25">
      <c r="A50" t="s">
        <v>13</v>
      </c>
      <c r="B50" t="s">
        <v>14</v>
      </c>
      <c r="C50" t="s">
        <v>15</v>
      </c>
      <c r="D50" t="s">
        <v>33</v>
      </c>
      <c r="E50" t="s">
        <v>26</v>
      </c>
      <c r="F50" s="11" t="s">
        <v>38</v>
      </c>
      <c r="G50" t="s">
        <v>34</v>
      </c>
      <c r="H50" t="s">
        <v>35</v>
      </c>
    </row>
    <row r="51" spans="1:9" x14ac:dyDescent="0.25">
      <c r="A51" t="s">
        <v>4</v>
      </c>
      <c r="B51" t="s">
        <v>12</v>
      </c>
      <c r="C51">
        <v>0.8</v>
      </c>
      <c r="D51" s="7">
        <f>SUM(F3:H3)</f>
        <v>1.2122617959999999</v>
      </c>
      <c r="E51" s="8">
        <f>K3</f>
        <v>0.15853925129438018</v>
      </c>
      <c r="F51" s="12">
        <f>E51*$B$48*1000000000+1150000000*0.85/2</f>
        <v>623508363.60022318</v>
      </c>
      <c r="G51">
        <f>C51*D51*1000000000</f>
        <v>969809436.79999995</v>
      </c>
      <c r="H51" t="str">
        <f>IF(G51&gt;F51,"N", "Y")</f>
        <v>N</v>
      </c>
      <c r="I51" s="11">
        <f>F51</f>
        <v>623508363.60022318</v>
      </c>
    </row>
    <row r="52" spans="1:9" x14ac:dyDescent="0.25">
      <c r="A52" t="s">
        <v>5</v>
      </c>
      <c r="B52" t="s">
        <v>12</v>
      </c>
      <c r="C52">
        <v>0.8</v>
      </c>
      <c r="D52" s="7">
        <f>SUM(F4:H4)</f>
        <v>2.8558627890000006</v>
      </c>
      <c r="E52" s="8">
        <f>K4</f>
        <v>0.37348891952340341</v>
      </c>
      <c r="F52" s="12">
        <f>E52*$B$48*1000000000+O4*1000000000</f>
        <v>548885847.01730013</v>
      </c>
      <c r="G52">
        <f>C52*D52*1000000000</f>
        <v>2284690231.2000003</v>
      </c>
      <c r="H52" t="str">
        <f>IF(G52&gt;F52,"N", "Y")</f>
        <v>N</v>
      </c>
      <c r="I52" s="11">
        <f t="shared" ref="I52:I54" si="10">F52</f>
        <v>548885847.01730013</v>
      </c>
    </row>
    <row r="53" spans="1:9" x14ac:dyDescent="0.25">
      <c r="A53" t="s">
        <v>6</v>
      </c>
      <c r="B53" t="s">
        <v>12</v>
      </c>
      <c r="C53">
        <v>0.8</v>
      </c>
      <c r="D53" s="7">
        <f>SUM(F5:H5)</f>
        <v>2.9133633909999999</v>
      </c>
      <c r="E53" s="8">
        <f>K5</f>
        <v>0.38100883182298734</v>
      </c>
      <c r="F53" s="12">
        <f>E53*$B$48*1000000000+O5*1000000000</f>
        <v>559937241.62713218</v>
      </c>
      <c r="G53">
        <f>C53*D53*1000000000</f>
        <v>2330690712.8000002</v>
      </c>
      <c r="H53" t="str">
        <f>IF(G53&gt;F53,"N", "Y")</f>
        <v>N</v>
      </c>
      <c r="I53" s="11">
        <f t="shared" si="10"/>
        <v>559937241.62713218</v>
      </c>
    </row>
    <row r="54" spans="1:9" x14ac:dyDescent="0.25">
      <c r="A54" t="s">
        <v>7</v>
      </c>
      <c r="B54" t="s">
        <v>12</v>
      </c>
      <c r="C54">
        <v>0.8</v>
      </c>
      <c r="D54" s="7">
        <f>SUM(F6:H6)</f>
        <v>0.66495784800000002</v>
      </c>
      <c r="E54" s="8">
        <f>K6</f>
        <v>8.6962997359229049E-2</v>
      </c>
      <c r="F54" s="12">
        <f>E54*$B$48*1000000000</f>
        <v>73918547.755344689</v>
      </c>
      <c r="G54">
        <f>C54*D54*1000000000</f>
        <v>531966278.39999998</v>
      </c>
      <c r="H54" t="str">
        <f>IF(G54&gt;F54,"N", "Y")</f>
        <v>N</v>
      </c>
      <c r="I54" s="11">
        <f t="shared" si="10"/>
        <v>73918547.755344689</v>
      </c>
    </row>
  </sheetData>
  <mergeCells count="2">
    <mergeCell ref="A1:I1"/>
    <mergeCell ref="O2:O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opLeftCell="A28" workbookViewId="0">
      <selection activeCell="H39" sqref="H39"/>
    </sheetView>
  </sheetViews>
  <sheetFormatPr defaultRowHeight="15" x14ac:dyDescent="0.25"/>
  <cols>
    <col min="1" max="1" width="24.42578125" bestFit="1" customWidth="1"/>
    <col min="2" max="2" width="18.5703125" bestFit="1" customWidth="1"/>
    <col min="3" max="3" width="13.85546875" bestFit="1" customWidth="1"/>
    <col min="4" max="4" width="24.28515625" bestFit="1" customWidth="1"/>
    <col min="5" max="5" width="23.7109375" customWidth="1"/>
    <col min="6" max="6" width="23.7109375" bestFit="1" customWidth="1"/>
    <col min="7" max="8" width="12" bestFit="1" customWidth="1"/>
    <col min="9" max="9" width="18" customWidth="1"/>
    <col min="10" max="10" width="1.5703125" style="2" customWidth="1"/>
    <col min="11" max="11" width="25.85546875" bestFit="1" customWidth="1"/>
    <col min="12" max="12" width="23" bestFit="1" customWidth="1"/>
    <col min="14" max="14" width="1.5703125" style="2" customWidth="1"/>
    <col min="15" max="15" width="46.85546875" bestFit="1" customWidth="1"/>
  </cols>
  <sheetData>
    <row r="1" spans="1:15" x14ac:dyDescent="0.25">
      <c r="A1" s="17" t="s">
        <v>30</v>
      </c>
      <c r="B1" s="17"/>
      <c r="C1" s="17"/>
      <c r="D1" s="17"/>
      <c r="E1" s="17"/>
      <c r="F1" s="17"/>
      <c r="G1" s="17"/>
      <c r="H1" s="17"/>
      <c r="I1" s="17"/>
    </row>
    <row r="2" spans="1:15" x14ac:dyDescent="0.25">
      <c r="A2" t="s">
        <v>0</v>
      </c>
      <c r="B2" t="s">
        <v>1</v>
      </c>
      <c r="C2" t="s">
        <v>40</v>
      </c>
      <c r="D2" t="s">
        <v>2</v>
      </c>
      <c r="E2" t="s">
        <v>3</v>
      </c>
      <c r="F2" t="s">
        <v>41</v>
      </c>
      <c r="G2" t="s">
        <v>8</v>
      </c>
      <c r="H2" t="s">
        <v>9</v>
      </c>
      <c r="I2" t="s">
        <v>10</v>
      </c>
      <c r="K2" t="s">
        <v>25</v>
      </c>
      <c r="L2" t="s">
        <v>31</v>
      </c>
      <c r="M2" t="s">
        <v>15</v>
      </c>
      <c r="O2" t="s">
        <v>21</v>
      </c>
    </row>
    <row r="3" spans="1:15" x14ac:dyDescent="0.25">
      <c r="A3" t="s">
        <v>4</v>
      </c>
      <c r="B3">
        <v>1.2122617959999999</v>
      </c>
      <c r="C3">
        <v>14.400000000000006</v>
      </c>
      <c r="D3">
        <v>64.3</v>
      </c>
      <c r="E3">
        <v>21.3</v>
      </c>
      <c r="F3" s="5">
        <f>$B3*C3/100</f>
        <v>0.17456569862400007</v>
      </c>
      <c r="G3" s="5">
        <f t="shared" ref="F3:H6" si="0">$B3*D3/100</f>
        <v>0.77948433482799995</v>
      </c>
      <c r="H3" s="5">
        <f t="shared" si="0"/>
        <v>0.25821176254799999</v>
      </c>
      <c r="I3" s="1">
        <f>2*0.85/2</f>
        <v>0.85</v>
      </c>
      <c r="J3" s="3"/>
      <c r="K3">
        <f>B3/SUM($B$3:$B$6)</f>
        <v>0.15853925129438018</v>
      </c>
      <c r="L3">
        <f>K3*I3</f>
        <v>0.13475836360022314</v>
      </c>
      <c r="M3">
        <f>L3/SUM(F3:H3)</f>
        <v>0.11116275712463609</v>
      </c>
    </row>
    <row r="4" spans="1:15" x14ac:dyDescent="0.25">
      <c r="A4" t="s">
        <v>5</v>
      </c>
      <c r="B4">
        <v>2.8558627890000001</v>
      </c>
      <c r="C4">
        <v>23.799999999999997</v>
      </c>
      <c r="D4">
        <v>66.400000000000006</v>
      </c>
      <c r="E4">
        <v>9.8000000000000007</v>
      </c>
      <c r="F4" s="5">
        <f>$B4*C4/100</f>
        <v>0.67969534378199992</v>
      </c>
      <c r="G4" s="5">
        <f t="shared" si="0"/>
        <v>1.8962928918960003</v>
      </c>
      <c r="H4" s="5">
        <f t="shared" si="0"/>
        <v>0.27987455332200001</v>
      </c>
      <c r="I4" s="1">
        <f t="shared" ref="I4:I6" si="1">2*0.85/2</f>
        <v>0.85</v>
      </c>
      <c r="J4" s="3"/>
      <c r="K4">
        <f>B4/SUM($B$3:$B$6)</f>
        <v>0.37348891952340341</v>
      </c>
      <c r="L4">
        <f>K4*I4</f>
        <v>0.31746558159489291</v>
      </c>
      <c r="M4">
        <f>L4/SUM(F4:H4)</f>
        <v>0.11116275712463609</v>
      </c>
      <c r="O4">
        <f>1.1*SUM(F4:H4)/SUM(F4:H5)*0.85</f>
        <v>0.4628405308448143</v>
      </c>
    </row>
    <row r="5" spans="1:15" x14ac:dyDescent="0.25">
      <c r="A5" t="s">
        <v>6</v>
      </c>
      <c r="B5">
        <v>2.9133633909999999</v>
      </c>
      <c r="C5">
        <v>29.5</v>
      </c>
      <c r="D5">
        <v>64.8</v>
      </c>
      <c r="E5">
        <v>5.7</v>
      </c>
      <c r="F5" s="5">
        <f>$B5*C5/100</f>
        <v>0.85944220034499996</v>
      </c>
      <c r="G5" s="5">
        <f t="shared" si="0"/>
        <v>1.8878594773679997</v>
      </c>
      <c r="H5" s="5">
        <f t="shared" si="0"/>
        <v>0.16606171328700001</v>
      </c>
      <c r="I5" s="1">
        <f t="shared" si="1"/>
        <v>0.85</v>
      </c>
      <c r="J5" s="3"/>
      <c r="K5">
        <f>B5/SUM($B$3:$B$6)</f>
        <v>0.38100883182298734</v>
      </c>
      <c r="L5">
        <f>K5*I5</f>
        <v>0.32385750704953925</v>
      </c>
      <c r="M5">
        <f>L5/SUM(F5:H5)</f>
        <v>0.11116275712463611</v>
      </c>
      <c r="O5">
        <f>1.1*SUM(F5:H5)/SUM(F4:H5)*0.85</f>
        <v>0.47215946915518575</v>
      </c>
    </row>
    <row r="6" spans="1:15" x14ac:dyDescent="0.25">
      <c r="A6" t="s">
        <v>7</v>
      </c>
      <c r="B6">
        <v>0.66495784800000002</v>
      </c>
      <c r="C6">
        <v>40.1</v>
      </c>
      <c r="D6">
        <v>56.8</v>
      </c>
      <c r="E6">
        <v>3.1</v>
      </c>
      <c r="F6" s="5">
        <f t="shared" si="0"/>
        <v>0.26664809704800002</v>
      </c>
      <c r="G6" s="5">
        <f t="shared" si="0"/>
        <v>0.377696057664</v>
      </c>
      <c r="H6" s="5">
        <f>$B6*E6/100</f>
        <v>2.0613693288000001E-2</v>
      </c>
      <c r="I6" s="1">
        <f t="shared" si="1"/>
        <v>0.85</v>
      </c>
      <c r="J6" s="3"/>
      <c r="K6">
        <f>B6/SUM($B$3:$B$6)</f>
        <v>8.6962997359229049E-2</v>
      </c>
      <c r="L6">
        <f>K6*I6</f>
        <v>7.3918547755344691E-2</v>
      </c>
      <c r="M6">
        <f>L6/SUM(F6:H6)</f>
        <v>0.11116275712463609</v>
      </c>
    </row>
    <row r="7" spans="1:15" x14ac:dyDescent="0.25">
      <c r="F7" s="5"/>
      <c r="G7" s="5"/>
      <c r="H7" s="5"/>
      <c r="I7" s="1"/>
      <c r="J7" s="3"/>
    </row>
    <row r="8" spans="1:15" x14ac:dyDescent="0.25">
      <c r="A8" s="6" t="s">
        <v>11</v>
      </c>
      <c r="B8">
        <f>2*0.85/2</f>
        <v>0.85</v>
      </c>
    </row>
    <row r="9" spans="1:15" x14ac:dyDescent="0.25">
      <c r="A9" s="4" t="s">
        <v>18</v>
      </c>
    </row>
    <row r="10" spans="1:15" x14ac:dyDescent="0.25">
      <c r="A10" t="s">
        <v>13</v>
      </c>
      <c r="B10" t="s">
        <v>14</v>
      </c>
      <c r="C10" t="s">
        <v>33</v>
      </c>
      <c r="D10" t="s">
        <v>26</v>
      </c>
      <c r="E10" t="s">
        <v>27</v>
      </c>
      <c r="F10" t="s">
        <v>15</v>
      </c>
      <c r="G10" t="s">
        <v>35</v>
      </c>
    </row>
    <row r="11" spans="1:15" x14ac:dyDescent="0.25">
      <c r="A11" t="s">
        <v>4</v>
      </c>
      <c r="B11" t="s">
        <v>12</v>
      </c>
      <c r="C11" s="9">
        <f>SUM(F3:H3)</f>
        <v>1.2122617959999999</v>
      </c>
      <c r="D11" s="8">
        <f>K3</f>
        <v>0.15853925129438018</v>
      </c>
      <c r="E11" s="13">
        <f>D11*$B$8*1000000000</f>
        <v>134758363.60022315</v>
      </c>
      <c r="F11" s="14">
        <f>E11/(C11*1000000000)</f>
        <v>0.11116275712463609</v>
      </c>
      <c r="G11" t="str">
        <f>IF(F11&gt;1, "YES", "NO")</f>
        <v>NO</v>
      </c>
    </row>
    <row r="12" spans="1:15" x14ac:dyDescent="0.25">
      <c r="A12" t="s">
        <v>5</v>
      </c>
      <c r="B12" t="s">
        <v>12</v>
      </c>
      <c r="C12" s="9">
        <f>SUM(F4:H4)</f>
        <v>2.8558627890000006</v>
      </c>
      <c r="D12" s="8">
        <f t="shared" ref="D12:D14" si="2">K4</f>
        <v>0.37348891952340341</v>
      </c>
      <c r="E12" s="13">
        <f>D12*$B$8*1000000000</f>
        <v>317465581.59489292</v>
      </c>
      <c r="F12" s="14">
        <f>E12/(C12*1000000000)</f>
        <v>0.11116275712463609</v>
      </c>
      <c r="G12" t="str">
        <f t="shared" ref="G12:G14" si="3">IF(F12&gt;1, "YES", "NO")</f>
        <v>NO</v>
      </c>
    </row>
    <row r="13" spans="1:15" x14ac:dyDescent="0.25">
      <c r="A13" t="s">
        <v>6</v>
      </c>
      <c r="B13" t="s">
        <v>12</v>
      </c>
      <c r="C13" s="9">
        <f>SUM(F5:H5)</f>
        <v>2.9133633909999999</v>
      </c>
      <c r="D13" s="8">
        <f t="shared" si="2"/>
        <v>0.38100883182298734</v>
      </c>
      <c r="E13" s="13">
        <f>D13*$B$8*1000000000</f>
        <v>323857507.04953927</v>
      </c>
      <c r="F13" s="14">
        <f>E13/(C13*1000000000)</f>
        <v>0.11116275712463611</v>
      </c>
      <c r="G13" t="str">
        <f t="shared" si="3"/>
        <v>NO</v>
      </c>
    </row>
    <row r="14" spans="1:15" x14ac:dyDescent="0.25">
      <c r="A14" t="s">
        <v>7</v>
      </c>
      <c r="B14" t="s">
        <v>12</v>
      </c>
      <c r="C14" s="9">
        <f>SUM(F6:H6)</f>
        <v>0.66495784800000002</v>
      </c>
      <c r="D14" s="8">
        <f t="shared" si="2"/>
        <v>8.6962997359229049E-2</v>
      </c>
      <c r="E14" s="13">
        <f>D14*$B$8*1000000000</f>
        <v>73918547.755344689</v>
      </c>
      <c r="F14" s="14">
        <f>E14/(C14*1000000000)</f>
        <v>0.11116275712463609</v>
      </c>
      <c r="G14" t="str">
        <f t="shared" si="3"/>
        <v>NO</v>
      </c>
    </row>
    <row r="16" spans="1:15" x14ac:dyDescent="0.25">
      <c r="A16" s="6" t="s">
        <v>17</v>
      </c>
      <c r="B16">
        <f>2*0.85/2</f>
        <v>0.85</v>
      </c>
    </row>
    <row r="17" spans="1:9" x14ac:dyDescent="0.25">
      <c r="A17" s="4" t="s">
        <v>37</v>
      </c>
    </row>
    <row r="18" spans="1:9" x14ac:dyDescent="0.25">
      <c r="A18" t="s">
        <v>13</v>
      </c>
      <c r="B18" t="s">
        <v>14</v>
      </c>
      <c r="C18" t="s">
        <v>33</v>
      </c>
      <c r="D18" t="s">
        <v>26</v>
      </c>
      <c r="E18" t="s">
        <v>27</v>
      </c>
      <c r="F18" t="s">
        <v>15</v>
      </c>
      <c r="G18" t="s">
        <v>35</v>
      </c>
    </row>
    <row r="19" spans="1:9" x14ac:dyDescent="0.25">
      <c r="A19" t="s">
        <v>4</v>
      </c>
      <c r="B19" t="s">
        <v>32</v>
      </c>
      <c r="C19" s="7">
        <f>H3</f>
        <v>0.25821176254799999</v>
      </c>
      <c r="D19" s="8">
        <f>K3</f>
        <v>0.15853925129438018</v>
      </c>
      <c r="E19" s="13">
        <f>D19*$B$16*1000000000</f>
        <v>134758363.60022315</v>
      </c>
      <c r="F19" s="14">
        <f>E19/(C19*1000000000)</f>
        <v>0.5218908785194184</v>
      </c>
      <c r="G19" t="str">
        <f t="shared" ref="G19:G26" si="4">IF(F19&gt;1, "YES", "NO")</f>
        <v>NO</v>
      </c>
    </row>
    <row r="20" spans="1:9" x14ac:dyDescent="0.25">
      <c r="A20" t="s">
        <v>5</v>
      </c>
      <c r="B20" t="s">
        <v>32</v>
      </c>
      <c r="C20" s="7">
        <f>H4</f>
        <v>0.27987455332200001</v>
      </c>
      <c r="D20" s="8">
        <f t="shared" ref="D20:D22" si="5">K4</f>
        <v>0.37348891952340341</v>
      </c>
      <c r="E20" s="13">
        <f>C20*0.8*1000000000</f>
        <v>223899642.65760002</v>
      </c>
      <c r="F20" s="14">
        <f>E20/(C20*1000000000)</f>
        <v>0.79999999999999993</v>
      </c>
      <c r="G20" t="str">
        <f t="shared" si="4"/>
        <v>NO</v>
      </c>
    </row>
    <row r="21" spans="1:9" x14ac:dyDescent="0.25">
      <c r="A21" t="s">
        <v>6</v>
      </c>
      <c r="B21" t="s">
        <v>32</v>
      </c>
      <c r="C21" s="7">
        <f>H5</f>
        <v>0.16606171328700001</v>
      </c>
      <c r="D21" s="8">
        <f t="shared" si="5"/>
        <v>0.38100883182298734</v>
      </c>
      <c r="E21" s="13">
        <f>C21*0.8*1000000000</f>
        <v>132849370.6296</v>
      </c>
      <c r="F21" s="14">
        <f>E21/(C21*1000000000)</f>
        <v>0.8</v>
      </c>
      <c r="G21" t="str">
        <f t="shared" si="4"/>
        <v>NO</v>
      </c>
    </row>
    <row r="22" spans="1:9" x14ac:dyDescent="0.25">
      <c r="A22" t="s">
        <v>7</v>
      </c>
      <c r="B22" t="s">
        <v>32</v>
      </c>
      <c r="C22" s="7">
        <f>H6</f>
        <v>2.0613693288000001E-2</v>
      </c>
      <c r="D22" s="8">
        <f t="shared" si="5"/>
        <v>8.6962997359229049E-2</v>
      </c>
      <c r="E22" s="13">
        <f>C22*0.8*1000000000</f>
        <v>16490954.630400002</v>
      </c>
      <c r="F22" s="14">
        <f t="shared" ref="F22:F23" si="6">E22/(C22*1000000000)</f>
        <v>0.8</v>
      </c>
      <c r="G22" t="str">
        <f t="shared" si="4"/>
        <v>NO</v>
      </c>
    </row>
    <row r="23" spans="1:9" x14ac:dyDescent="0.25">
      <c r="A23" t="s">
        <v>4</v>
      </c>
      <c r="B23" t="s">
        <v>36</v>
      </c>
      <c r="C23" s="7">
        <f>G3</f>
        <v>0.77948433482799995</v>
      </c>
      <c r="D23" s="8"/>
      <c r="E23" s="10">
        <f>E11-E19</f>
        <v>0</v>
      </c>
      <c r="F23" s="14">
        <f t="shared" si="6"/>
        <v>0</v>
      </c>
      <c r="G23" t="str">
        <f t="shared" si="4"/>
        <v>NO</v>
      </c>
    </row>
    <row r="24" spans="1:9" x14ac:dyDescent="0.25">
      <c r="A24" t="s">
        <v>5</v>
      </c>
      <c r="B24" t="s">
        <v>36</v>
      </c>
      <c r="C24" s="7">
        <f>G4</f>
        <v>1.8962928918960003</v>
      </c>
      <c r="D24" s="8"/>
      <c r="E24" s="10">
        <f>E12-E20</f>
        <v>93565938.937292904</v>
      </c>
      <c r="F24" s="14">
        <f>E24/(C24*1000000000)</f>
        <v>4.9341501693729077E-2</v>
      </c>
      <c r="G24" t="str">
        <f t="shared" si="4"/>
        <v>NO</v>
      </c>
    </row>
    <row r="25" spans="1:9" x14ac:dyDescent="0.25">
      <c r="A25" t="s">
        <v>6</v>
      </c>
      <c r="B25" t="s">
        <v>36</v>
      </c>
      <c r="C25" s="7">
        <f>G5</f>
        <v>1.8878594773679997</v>
      </c>
      <c r="D25" s="8"/>
      <c r="E25" s="10">
        <f>E13-E21</f>
        <v>191008136.41993928</v>
      </c>
      <c r="F25" s="14">
        <f>E25/(C25*1000000000)</f>
        <v>0.10117709432814216</v>
      </c>
      <c r="G25" t="str">
        <f t="shared" si="4"/>
        <v>NO</v>
      </c>
    </row>
    <row r="26" spans="1:9" x14ac:dyDescent="0.25">
      <c r="A26" t="s">
        <v>7</v>
      </c>
      <c r="B26" t="s">
        <v>36</v>
      </c>
      <c r="C26" s="7">
        <f>G6</f>
        <v>0.377696057664</v>
      </c>
      <c r="D26" s="8"/>
      <c r="E26" s="10">
        <f>E14-E22</f>
        <v>57427593.124944687</v>
      </c>
      <c r="F26" s="14">
        <f>E26/(C26*1000000000)</f>
        <v>0.15204710761379595</v>
      </c>
      <c r="G26" t="str">
        <f t="shared" si="4"/>
        <v>NO</v>
      </c>
    </row>
    <row r="27" spans="1:9" x14ac:dyDescent="0.25">
      <c r="C27" s="7"/>
      <c r="D27" s="8"/>
      <c r="E27" s="10"/>
      <c r="F27" s="14"/>
    </row>
    <row r="28" spans="1:9" x14ac:dyDescent="0.25">
      <c r="A28" s="6" t="s">
        <v>22</v>
      </c>
      <c r="B28">
        <v>0.85</v>
      </c>
    </row>
    <row r="29" spans="1:9" x14ac:dyDescent="0.25">
      <c r="A29" s="4" t="s">
        <v>43</v>
      </c>
    </row>
    <row r="30" spans="1:9" x14ac:dyDescent="0.25">
      <c r="A30" t="s">
        <v>13</v>
      </c>
      <c r="B30" t="s">
        <v>14</v>
      </c>
      <c r="C30" t="s">
        <v>33</v>
      </c>
      <c r="D30" t="s">
        <v>26</v>
      </c>
      <c r="E30" t="s">
        <v>27</v>
      </c>
      <c r="F30" t="s">
        <v>15</v>
      </c>
      <c r="G30" t="s">
        <v>35</v>
      </c>
    </row>
    <row r="31" spans="1:9" x14ac:dyDescent="0.25">
      <c r="A31" t="s">
        <v>4</v>
      </c>
      <c r="B31" t="s">
        <v>32</v>
      </c>
      <c r="C31" s="7">
        <f>C19</f>
        <v>0.25821176254799999</v>
      </c>
      <c r="D31" s="8">
        <f>C31/SUM($C$31:$C$34)</f>
        <v>0.35627124688223982</v>
      </c>
      <c r="E31" s="13">
        <f>C31*0.8*1000000000</f>
        <v>206569410.03840002</v>
      </c>
      <c r="F31" s="14">
        <f>E31/(C31*1000000000)</f>
        <v>0.80000000000000016</v>
      </c>
      <c r="G31" t="str">
        <f t="shared" ref="G31:G38" si="7">IF(F31&gt;1, "YES", "NO")</f>
        <v>NO</v>
      </c>
      <c r="I31" s="13">
        <f>D31*$B$28*1000000000</f>
        <v>302830559.84990388</v>
      </c>
    </row>
    <row r="32" spans="1:9" x14ac:dyDescent="0.25">
      <c r="A32" t="s">
        <v>5</v>
      </c>
      <c r="B32" t="s">
        <v>32</v>
      </c>
      <c r="C32" s="7">
        <f>C20</f>
        <v>0.27987455332200001</v>
      </c>
      <c r="D32" s="8">
        <f>C32/SUM($C$31:$C$34)</f>
        <v>0.38616078175022389</v>
      </c>
      <c r="E32" s="13">
        <f>C32*0.8*1000000000</f>
        <v>223899642.65760002</v>
      </c>
      <c r="F32" s="14">
        <f t="shared" ref="F32:F34" si="8">E32/(C32*1000000000)</f>
        <v>0.79999999999999993</v>
      </c>
      <c r="G32" t="str">
        <f t="shared" si="7"/>
        <v>NO</v>
      </c>
      <c r="I32" s="13">
        <f>D32*$B$28*1000000000</f>
        <v>328236664.48769027</v>
      </c>
    </row>
    <row r="33" spans="1:9" x14ac:dyDescent="0.25">
      <c r="A33" t="s">
        <v>6</v>
      </c>
      <c r="B33" t="s">
        <v>32</v>
      </c>
      <c r="C33" s="7">
        <f>C21</f>
        <v>0.16606171328700001</v>
      </c>
      <c r="D33" s="8">
        <f>C33/SUM($C$31:$C$34)</f>
        <v>0.22912594325040658</v>
      </c>
      <c r="E33" s="13">
        <f>C33*0.8*1000000000</f>
        <v>132849370.6296</v>
      </c>
      <c r="F33" s="14">
        <f t="shared" si="8"/>
        <v>0.8</v>
      </c>
      <c r="G33" t="str">
        <f t="shared" si="7"/>
        <v>NO</v>
      </c>
      <c r="I33" s="13">
        <f>D33*$B$28*1000000000</f>
        <v>194757051.76284558</v>
      </c>
    </row>
    <row r="34" spans="1:9" x14ac:dyDescent="0.25">
      <c r="A34" t="s">
        <v>7</v>
      </c>
      <c r="B34" t="s">
        <v>32</v>
      </c>
      <c r="C34" s="7">
        <f>C22</f>
        <v>2.0613693288000001E-2</v>
      </c>
      <c r="D34" s="8">
        <f>C34/SUM($C$31:$C$34)</f>
        <v>2.8442028117129644E-2</v>
      </c>
      <c r="E34" s="13">
        <f>C34*0.8*1000000000</f>
        <v>16490954.630400002</v>
      </c>
      <c r="F34" s="14">
        <f t="shared" si="8"/>
        <v>0.8</v>
      </c>
      <c r="G34" t="str">
        <f t="shared" si="7"/>
        <v>NO</v>
      </c>
      <c r="I34" s="13">
        <f>D34*$B$28*1000000000</f>
        <v>24175723.899560198</v>
      </c>
    </row>
    <row r="35" spans="1:9" x14ac:dyDescent="0.25">
      <c r="A35" t="s">
        <v>4</v>
      </c>
      <c r="B35" t="s">
        <v>36</v>
      </c>
      <c r="C35" s="7">
        <f>C23</f>
        <v>0.77948433482799995</v>
      </c>
      <c r="D35" s="8"/>
      <c r="E35" s="10">
        <f>I31-E31</f>
        <v>96261149.811503857</v>
      </c>
      <c r="F35" s="14">
        <f t="shared" ref="F35" si="9">E35/(C35*1000000000)</f>
        <v>0.12349337313205239</v>
      </c>
      <c r="G35" t="str">
        <f t="shared" si="7"/>
        <v>NO</v>
      </c>
    </row>
    <row r="36" spans="1:9" x14ac:dyDescent="0.25">
      <c r="A36" t="s">
        <v>5</v>
      </c>
      <c r="B36" t="s">
        <v>36</v>
      </c>
      <c r="C36" s="7">
        <f>C24</f>
        <v>1.8962928918960003</v>
      </c>
      <c r="D36" s="8"/>
      <c r="E36" s="10">
        <f t="shared" ref="E36:E38" si="10">I32-E32</f>
        <v>104337021.83009025</v>
      </c>
      <c r="F36" s="14">
        <f>E36/(C36*1000000000)</f>
        <v>5.5021575135352295E-2</v>
      </c>
      <c r="G36" t="str">
        <f t="shared" si="7"/>
        <v>NO</v>
      </c>
    </row>
    <row r="37" spans="1:9" x14ac:dyDescent="0.25">
      <c r="A37" t="s">
        <v>6</v>
      </c>
      <c r="B37" t="s">
        <v>36</v>
      </c>
      <c r="C37" s="7">
        <f>C25</f>
        <v>1.8878594773679997</v>
      </c>
      <c r="D37" s="8"/>
      <c r="E37" s="10">
        <f t="shared" si="10"/>
        <v>61907681.133245572</v>
      </c>
      <c r="F37" s="14">
        <f>E37/(C37*1000000000)</f>
        <v>3.2792526072732656E-2</v>
      </c>
      <c r="G37" t="str">
        <f t="shared" si="7"/>
        <v>NO</v>
      </c>
    </row>
    <row r="38" spans="1:9" x14ac:dyDescent="0.25">
      <c r="A38" t="s">
        <v>7</v>
      </c>
      <c r="B38" t="s">
        <v>36</v>
      </c>
      <c r="C38" s="7">
        <f>C26</f>
        <v>0.377696057664</v>
      </c>
      <c r="D38" s="8"/>
      <c r="E38" s="10">
        <f t="shared" si="10"/>
        <v>7684769.2691601962</v>
      </c>
      <c r="F38" s="14">
        <f>E38/(C38*1000000000)</f>
        <v>2.0346437600353772E-2</v>
      </c>
      <c r="G38" t="str">
        <f t="shared" si="7"/>
        <v>NO</v>
      </c>
    </row>
    <row r="40" spans="1:9" x14ac:dyDescent="0.25">
      <c r="A40" s="6" t="s">
        <v>23</v>
      </c>
      <c r="B40">
        <v>0.85</v>
      </c>
    </row>
    <row r="41" spans="1:9" x14ac:dyDescent="0.25">
      <c r="A41" s="4" t="s">
        <v>19</v>
      </c>
    </row>
    <row r="42" spans="1:9" x14ac:dyDescent="0.25">
      <c r="A42" t="s">
        <v>13</v>
      </c>
      <c r="B42" t="s">
        <v>14</v>
      </c>
      <c r="C42" t="s">
        <v>33</v>
      </c>
      <c r="D42" t="s">
        <v>26</v>
      </c>
      <c r="E42" t="s">
        <v>27</v>
      </c>
      <c r="F42" t="s">
        <v>15</v>
      </c>
      <c r="G42" t="s">
        <v>35</v>
      </c>
    </row>
    <row r="43" spans="1:9" x14ac:dyDescent="0.25">
      <c r="A43" t="s">
        <v>4</v>
      </c>
      <c r="B43" t="s">
        <v>12</v>
      </c>
      <c r="C43" s="7">
        <f>C11</f>
        <v>1.2122617959999999</v>
      </c>
      <c r="D43" s="8">
        <f>K3</f>
        <v>0.15853925129438018</v>
      </c>
      <c r="E43" s="13">
        <f>B40*1000000000</f>
        <v>850000000</v>
      </c>
      <c r="F43" s="14">
        <f t="shared" ref="F43:F46" si="11">E43/(C43*1000000000)</f>
        <v>0.70116867726482413</v>
      </c>
      <c r="G43" t="str">
        <f t="shared" ref="G43:G46" si="12">IF(F43&gt;1, "YES", "NO")</f>
        <v>NO</v>
      </c>
    </row>
    <row r="44" spans="1:9" x14ac:dyDescent="0.25">
      <c r="A44" t="s">
        <v>5</v>
      </c>
      <c r="B44" t="s">
        <v>12</v>
      </c>
      <c r="C44" s="7">
        <f>C12</f>
        <v>2.8558627890000006</v>
      </c>
      <c r="D44" s="8">
        <f>K4</f>
        <v>0.37348891952340341</v>
      </c>
      <c r="E44" s="13">
        <v>0</v>
      </c>
      <c r="F44" s="14">
        <f t="shared" si="11"/>
        <v>0</v>
      </c>
      <c r="G44" t="str">
        <f t="shared" si="12"/>
        <v>NO</v>
      </c>
    </row>
    <row r="45" spans="1:9" x14ac:dyDescent="0.25">
      <c r="A45" t="s">
        <v>6</v>
      </c>
      <c r="B45" t="s">
        <v>12</v>
      </c>
      <c r="C45" s="7">
        <f>C13</f>
        <v>2.9133633909999999</v>
      </c>
      <c r="D45" s="8">
        <f>K5</f>
        <v>0.38100883182298734</v>
      </c>
      <c r="E45" s="13">
        <v>0</v>
      </c>
      <c r="F45" s="14">
        <f t="shared" si="11"/>
        <v>0</v>
      </c>
      <c r="G45" t="str">
        <f t="shared" si="12"/>
        <v>NO</v>
      </c>
    </row>
    <row r="46" spans="1:9" x14ac:dyDescent="0.25">
      <c r="A46" t="s">
        <v>7</v>
      </c>
      <c r="B46" t="s">
        <v>12</v>
      </c>
      <c r="C46" s="7">
        <f>C14</f>
        <v>0.66495784800000002</v>
      </c>
      <c r="D46" s="8">
        <f>K6</f>
        <v>8.6962997359229049E-2</v>
      </c>
      <c r="E46" s="13">
        <v>0</v>
      </c>
      <c r="F46" s="14">
        <f t="shared" si="11"/>
        <v>0</v>
      </c>
      <c r="G46" t="str">
        <f t="shared" si="12"/>
        <v>NO</v>
      </c>
    </row>
    <row r="48" spans="1:9" x14ac:dyDescent="0.25">
      <c r="A48" s="6" t="s">
        <v>24</v>
      </c>
      <c r="B48">
        <v>0.85</v>
      </c>
    </row>
    <row r="49" spans="1:7" x14ac:dyDescent="0.25">
      <c r="A49" s="4" t="s">
        <v>39</v>
      </c>
    </row>
    <row r="50" spans="1:7" x14ac:dyDescent="0.25">
      <c r="A50" t="s">
        <v>13</v>
      </c>
      <c r="B50" t="s">
        <v>14</v>
      </c>
      <c r="C50" t="s">
        <v>33</v>
      </c>
      <c r="D50" t="s">
        <v>26</v>
      </c>
      <c r="E50" t="s">
        <v>27</v>
      </c>
      <c r="F50" t="s">
        <v>15</v>
      </c>
      <c r="G50" t="s">
        <v>35</v>
      </c>
    </row>
    <row r="51" spans="1:7" x14ac:dyDescent="0.25">
      <c r="A51" t="s">
        <v>4</v>
      </c>
      <c r="B51" t="s">
        <v>12</v>
      </c>
      <c r="C51" s="7">
        <f>C43</f>
        <v>1.2122617959999999</v>
      </c>
      <c r="D51" s="8">
        <f>K3</f>
        <v>0.15853925129438018</v>
      </c>
      <c r="E51" s="13">
        <v>0</v>
      </c>
      <c r="F51" s="14">
        <f t="shared" ref="F51:F54" si="13">E51/(C51*1000000000)</f>
        <v>0</v>
      </c>
      <c r="G51" t="str">
        <f t="shared" ref="G51:G54" si="14">IF(F51&gt;1, "YES", "NO")</f>
        <v>NO</v>
      </c>
    </row>
    <row r="52" spans="1:7" x14ac:dyDescent="0.25">
      <c r="A52" t="s">
        <v>5</v>
      </c>
      <c r="B52" t="s">
        <v>12</v>
      </c>
      <c r="C52" s="7">
        <f t="shared" ref="C52:C54" si="15">C44</f>
        <v>2.8558627890000006</v>
      </c>
      <c r="D52" s="8">
        <f>K4</f>
        <v>0.37348891952340341</v>
      </c>
      <c r="E52" s="13">
        <v>0</v>
      </c>
      <c r="F52" s="14">
        <f t="shared" si="13"/>
        <v>0</v>
      </c>
      <c r="G52" t="str">
        <f t="shared" si="14"/>
        <v>NO</v>
      </c>
    </row>
    <row r="53" spans="1:7" x14ac:dyDescent="0.25">
      <c r="A53" t="s">
        <v>6</v>
      </c>
      <c r="B53" t="s">
        <v>12</v>
      </c>
      <c r="C53" s="7">
        <f t="shared" si="15"/>
        <v>2.9133633909999999</v>
      </c>
      <c r="D53" s="8">
        <f>K5</f>
        <v>0.38100883182298734</v>
      </c>
      <c r="E53" s="13">
        <f>$B$48*(K5/($K$6+$K$5))*1000000000</f>
        <v>692044877.17878699</v>
      </c>
      <c r="F53" s="14">
        <f t="shared" si="13"/>
        <v>0.23754155740291821</v>
      </c>
      <c r="G53" t="str">
        <f t="shared" si="14"/>
        <v>NO</v>
      </c>
    </row>
    <row r="54" spans="1:7" x14ac:dyDescent="0.25">
      <c r="A54" t="s">
        <v>7</v>
      </c>
      <c r="B54" t="s">
        <v>12</v>
      </c>
      <c r="C54" s="7">
        <f t="shared" si="15"/>
        <v>0.66495784800000002</v>
      </c>
      <c r="D54" s="8">
        <f>K6</f>
        <v>8.6962997359229049E-2</v>
      </c>
      <c r="E54" s="13">
        <f>$B$48*(K6/($K$6+$K$5))*1000000000</f>
        <v>157955122.82121298</v>
      </c>
      <c r="F54" s="14">
        <f t="shared" si="13"/>
        <v>0.23754155740291824</v>
      </c>
      <c r="G54" t="str">
        <f t="shared" si="14"/>
        <v>NO</v>
      </c>
    </row>
    <row r="56" spans="1:7" x14ac:dyDescent="0.25">
      <c r="A56" s="6" t="s">
        <v>42</v>
      </c>
      <c r="B56">
        <v>0.85</v>
      </c>
    </row>
    <row r="57" spans="1:7" x14ac:dyDescent="0.25">
      <c r="A57" s="4" t="s">
        <v>20</v>
      </c>
    </row>
    <row r="58" spans="1:7" x14ac:dyDescent="0.25">
      <c r="A58" t="s">
        <v>13</v>
      </c>
      <c r="B58" t="s">
        <v>14</v>
      </c>
      <c r="C58" t="s">
        <v>33</v>
      </c>
      <c r="D58" t="s">
        <v>26</v>
      </c>
      <c r="E58" s="15" t="s">
        <v>27</v>
      </c>
      <c r="F58" t="s">
        <v>15</v>
      </c>
      <c r="G58" t="s">
        <v>35</v>
      </c>
    </row>
    <row r="59" spans="1:7" x14ac:dyDescent="0.25">
      <c r="A59" t="s">
        <v>4</v>
      </c>
      <c r="B59" t="s">
        <v>12</v>
      </c>
      <c r="C59" s="7">
        <f>SUM(F3:H3)</f>
        <v>1.2122617959999999</v>
      </c>
      <c r="D59" s="8">
        <f>K3</f>
        <v>0.15853925129438018</v>
      </c>
      <c r="E59" s="15">
        <f>D59*$B$8*1000000000+1150000000*0.85/2</f>
        <v>623508363.60022318</v>
      </c>
      <c r="F59" s="14">
        <f t="shared" ref="F59:F62" si="16">E59/(C59*1000000000)</f>
        <v>0.51433474655190992</v>
      </c>
      <c r="G59" t="str">
        <f t="shared" ref="G59:G62" si="17">IF(F59&gt;1, "YES", "NO")</f>
        <v>NO</v>
      </c>
    </row>
    <row r="60" spans="1:7" x14ac:dyDescent="0.25">
      <c r="A60" t="s">
        <v>5</v>
      </c>
      <c r="B60" t="s">
        <v>12</v>
      </c>
      <c r="C60" s="7">
        <f>SUM(F4:H4)</f>
        <v>2.8558627890000006</v>
      </c>
      <c r="D60" s="8">
        <f>K4</f>
        <v>0.37348891952340341</v>
      </c>
      <c r="E60" s="15">
        <f>D60*$B$8*1000000000+O4*1000000000/2</f>
        <v>548885847.01730013</v>
      </c>
      <c r="F60" s="14">
        <f t="shared" si="16"/>
        <v>0.19219615491733627</v>
      </c>
      <c r="G60" t="str">
        <f t="shared" si="17"/>
        <v>NO</v>
      </c>
    </row>
    <row r="61" spans="1:7" x14ac:dyDescent="0.25">
      <c r="A61" t="s">
        <v>6</v>
      </c>
      <c r="B61" t="s">
        <v>12</v>
      </c>
      <c r="C61" s="7">
        <f>SUM(F5:H5)</f>
        <v>2.9133633909999999</v>
      </c>
      <c r="D61" s="8">
        <f>K5</f>
        <v>0.38100883182298734</v>
      </c>
      <c r="E61" s="15">
        <f>D61*$B$8*1000000000+O5*1000000000/2</f>
        <v>559937241.62713218</v>
      </c>
      <c r="F61" s="14">
        <f t="shared" si="16"/>
        <v>0.1921961549173363</v>
      </c>
      <c r="G61" t="str">
        <f t="shared" si="17"/>
        <v>NO</v>
      </c>
    </row>
    <row r="62" spans="1:7" x14ac:dyDescent="0.25">
      <c r="A62" t="s">
        <v>7</v>
      </c>
      <c r="B62" t="s">
        <v>12</v>
      </c>
      <c r="C62" s="7">
        <f>SUM(F6:H6)</f>
        <v>0.66495784800000002</v>
      </c>
      <c r="D62" s="8">
        <f>K6</f>
        <v>8.6962997359229049E-2</v>
      </c>
      <c r="E62" s="15">
        <f>D62*$B$8*1000000000</f>
        <v>73918547.755344689</v>
      </c>
      <c r="F62" s="14">
        <f t="shared" si="16"/>
        <v>0.11116275712463609</v>
      </c>
      <c r="G62" t="str">
        <f t="shared" si="17"/>
        <v>NO</v>
      </c>
    </row>
  </sheetData>
  <mergeCells count="1">
    <mergeCell ref="A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income_group_summary_cov1</vt:lpstr>
      <vt:lpstr>income_group_summary_cov2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Hogan</dc:creator>
  <cp:lastModifiedBy>Alexandra Hogan</cp:lastModifiedBy>
  <dcterms:created xsi:type="dcterms:W3CDTF">2020-08-19T12:39:39Z</dcterms:created>
  <dcterms:modified xsi:type="dcterms:W3CDTF">2020-10-24T20:35:34Z</dcterms:modified>
</cp:coreProperties>
</file>