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E:\工作\龙塘\施工图\石河东支渠\出图\"/>
    </mc:Choice>
  </mc:AlternateContent>
  <bookViews>
    <workbookView xWindow="0" yWindow="60" windowWidth="23040" windowHeight="9360" activeTab="2"/>
  </bookViews>
  <sheets>
    <sheet name="报告相关" sheetId="1" r:id="rId1"/>
    <sheet name="断面设计" sheetId="3" r:id="rId2"/>
    <sheet name="水面线计算" sheetId="5" r:id="rId3"/>
    <sheet name="线路" sheetId="4" r:id="rId4"/>
    <sheet name="长委计算水面线" sheetId="6" r:id="rId5"/>
    <sheet name="开挖底高程" sheetId="7" r:id="rId6"/>
    <sheet name="平面坐标参数表" sheetId="8" r:id="rId7"/>
    <sheet name="程序输入A" sheetId="9" r:id="rId8"/>
    <sheet name="程序输入B" sheetId="10" r:id="rId9"/>
  </sheets>
  <externalReferences>
    <externalReference r:id="rId10"/>
    <externalReference r:id="rId11"/>
  </externalReferences>
  <definedNames>
    <definedName name="_xlnm._FilterDatabase" localSheetId="2" hidden="1">水面线计算!$A$1:$AP$122</definedName>
    <definedName name="_xlnm._FilterDatabase" localSheetId="3" hidden="1">线路!$A$1:$A$119</definedName>
    <definedName name="_xlnm.Print_Area" localSheetId="1">断面设计!$A$14:$U$39</definedName>
    <definedName name="_xlnm.Print_Area" localSheetId="2">水面线计算!$A$1:$AP$127</definedName>
  </definedNames>
  <calcPr calcId="152511"/>
</workbook>
</file>

<file path=xl/calcChain.xml><?xml version="1.0" encoding="utf-8"?>
<calcChain xmlns="http://schemas.openxmlformats.org/spreadsheetml/2006/main">
  <c r="I99" i="4" l="1"/>
  <c r="H66" i="4"/>
  <c r="I66" i="4" s="1"/>
  <c r="J100" i="4"/>
  <c r="H100" i="4"/>
  <c r="I100" i="4" s="1"/>
  <c r="J99" i="4"/>
  <c r="H4" i="4"/>
  <c r="K4" i="4"/>
  <c r="H5" i="4"/>
  <c r="K5" i="4"/>
  <c r="H6" i="4"/>
  <c r="K6" i="4"/>
  <c r="H7" i="4"/>
  <c r="K7" i="4"/>
  <c r="H8" i="4"/>
  <c r="K8" i="4"/>
  <c r="H9" i="4"/>
  <c r="K9" i="4"/>
  <c r="H10" i="4"/>
  <c r="K10" i="4"/>
  <c r="H11" i="4"/>
  <c r="K11" i="4"/>
  <c r="H12" i="4"/>
  <c r="K12" i="4"/>
  <c r="H13" i="4"/>
  <c r="K13" i="4"/>
  <c r="H14" i="4"/>
  <c r="K14" i="4"/>
  <c r="H15" i="4"/>
  <c r="K15" i="4"/>
  <c r="H16" i="4"/>
  <c r="K16" i="4"/>
  <c r="H17" i="4"/>
  <c r="K17" i="4"/>
  <c r="H18" i="4"/>
  <c r="K18" i="4"/>
  <c r="H19" i="4"/>
  <c r="K19" i="4"/>
  <c r="H20" i="4"/>
  <c r="K20" i="4"/>
  <c r="H21" i="4"/>
  <c r="K21" i="4"/>
  <c r="H22" i="4"/>
  <c r="K22" i="4"/>
  <c r="H23" i="4"/>
  <c r="K23" i="4"/>
  <c r="H24" i="4"/>
  <c r="K24" i="4"/>
  <c r="H25" i="4"/>
  <c r="K25" i="4"/>
  <c r="H26" i="4"/>
  <c r="K26" i="4"/>
  <c r="H27" i="4"/>
  <c r="K27" i="4"/>
  <c r="H28" i="4"/>
  <c r="K28" i="4"/>
  <c r="H29" i="4"/>
  <c r="K29" i="4"/>
  <c r="H30" i="4"/>
  <c r="K30" i="4"/>
  <c r="H31" i="4"/>
  <c r="K31" i="4"/>
  <c r="H32" i="4"/>
  <c r="K32" i="4"/>
  <c r="H33" i="4"/>
  <c r="K33" i="4"/>
  <c r="H34" i="4"/>
  <c r="I34" i="4" s="1"/>
  <c r="K34" i="4"/>
  <c r="H35" i="4"/>
  <c r="I35" i="4" s="1"/>
  <c r="K35" i="4"/>
  <c r="H36" i="4"/>
  <c r="I36" i="4" s="1"/>
  <c r="J36" i="4"/>
  <c r="K36" i="4"/>
  <c r="H37" i="4"/>
  <c r="I37" i="4" s="1"/>
  <c r="J37" i="4"/>
  <c r="K37" i="4"/>
  <c r="H38" i="4"/>
  <c r="I38" i="4" s="1"/>
  <c r="K38" i="4"/>
  <c r="H39" i="4"/>
  <c r="I39" i="4" s="1"/>
  <c r="K39" i="4"/>
  <c r="H40" i="4"/>
  <c r="I40" i="4" s="1"/>
  <c r="J40" i="4"/>
  <c r="K40" i="4"/>
  <c r="H41" i="4"/>
  <c r="I41" i="4" s="1"/>
  <c r="J41" i="4"/>
  <c r="K41" i="4"/>
  <c r="H42" i="4"/>
  <c r="I42" i="4" s="1"/>
  <c r="K42" i="4"/>
  <c r="H43" i="4"/>
  <c r="I43" i="4" s="1"/>
  <c r="K43" i="4"/>
  <c r="H44" i="4"/>
  <c r="I44" i="4" s="1"/>
  <c r="J44" i="4"/>
  <c r="K44" i="4"/>
  <c r="H45" i="4"/>
  <c r="I45" i="4" s="1"/>
  <c r="J45" i="4"/>
  <c r="K45" i="4"/>
  <c r="H46" i="4"/>
  <c r="I46" i="4" s="1"/>
  <c r="K46" i="4"/>
  <c r="H47" i="4"/>
  <c r="I47" i="4" s="1"/>
  <c r="K47" i="4"/>
  <c r="H48" i="4"/>
  <c r="I48" i="4" s="1"/>
  <c r="J48" i="4"/>
  <c r="K48" i="4"/>
  <c r="H49" i="4"/>
  <c r="I49" i="4" s="1"/>
  <c r="J49" i="4"/>
  <c r="K49" i="4"/>
  <c r="H50" i="4"/>
  <c r="I50" i="4" s="1"/>
  <c r="K50" i="4"/>
  <c r="H51" i="4"/>
  <c r="I51" i="4" s="1"/>
  <c r="K51" i="4"/>
  <c r="H52" i="4"/>
  <c r="I52" i="4" s="1"/>
  <c r="J52" i="4"/>
  <c r="K52" i="4"/>
  <c r="H53" i="4"/>
  <c r="I53" i="4" s="1"/>
  <c r="J53" i="4"/>
  <c r="K53" i="4"/>
  <c r="H54" i="4"/>
  <c r="I54" i="4" s="1"/>
  <c r="K54" i="4"/>
  <c r="H55" i="4"/>
  <c r="I55" i="4" s="1"/>
  <c r="K55" i="4"/>
  <c r="H56" i="4"/>
  <c r="I56" i="4" s="1"/>
  <c r="J56" i="4"/>
  <c r="K56" i="4"/>
  <c r="H57" i="4"/>
  <c r="I57" i="4" s="1"/>
  <c r="J57" i="4"/>
  <c r="K57" i="4"/>
  <c r="H58" i="4"/>
  <c r="I58" i="4" s="1"/>
  <c r="K58" i="4"/>
  <c r="H59" i="4"/>
  <c r="I59" i="4" s="1"/>
  <c r="K59" i="4"/>
  <c r="H60" i="4"/>
  <c r="I60" i="4" s="1"/>
  <c r="J60" i="4"/>
  <c r="K60" i="4"/>
  <c r="H61" i="4"/>
  <c r="I61" i="4" s="1"/>
  <c r="J61" i="4"/>
  <c r="K61" i="4"/>
  <c r="H62" i="4"/>
  <c r="I62" i="4" s="1"/>
  <c r="K62" i="4"/>
  <c r="H63" i="4"/>
  <c r="I63" i="4" s="1"/>
  <c r="K63" i="4"/>
  <c r="H64" i="4"/>
  <c r="I64" i="4" s="1"/>
  <c r="J64" i="4"/>
  <c r="K64" i="4"/>
  <c r="H65" i="4"/>
  <c r="I65" i="4" s="1"/>
  <c r="K65" i="4"/>
  <c r="K66" i="4"/>
  <c r="H67" i="4"/>
  <c r="I67" i="4" s="1"/>
  <c r="K67" i="4"/>
  <c r="H68" i="4"/>
  <c r="I68" i="4" s="1"/>
  <c r="K68" i="4"/>
  <c r="H69" i="4"/>
  <c r="I69" i="4" s="1"/>
  <c r="K69" i="4"/>
  <c r="H70" i="4"/>
  <c r="I70" i="4" s="1"/>
  <c r="K70" i="4"/>
  <c r="H71" i="4"/>
  <c r="I71" i="4" s="1"/>
  <c r="K71" i="4"/>
  <c r="H72" i="4"/>
  <c r="I72" i="4" s="1"/>
  <c r="J72" i="4"/>
  <c r="K72" i="4"/>
  <c r="H73" i="4"/>
  <c r="I73" i="4" s="1"/>
  <c r="J73" i="4"/>
  <c r="K73" i="4"/>
  <c r="H74" i="4"/>
  <c r="I74" i="4" s="1"/>
  <c r="K74" i="4"/>
  <c r="H75" i="4"/>
  <c r="I75" i="4" s="1"/>
  <c r="K75" i="4"/>
  <c r="H76" i="4"/>
  <c r="I76" i="4" s="1"/>
  <c r="J76" i="4"/>
  <c r="K76" i="4"/>
  <c r="H77" i="4"/>
  <c r="I77" i="4" s="1"/>
  <c r="J77" i="4"/>
  <c r="K77" i="4"/>
  <c r="H78" i="4"/>
  <c r="I78" i="4" s="1"/>
  <c r="K78" i="4"/>
  <c r="H79" i="4"/>
  <c r="I79" i="4" s="1"/>
  <c r="K79" i="4"/>
  <c r="H80" i="4"/>
  <c r="I80" i="4" s="1"/>
  <c r="J80" i="4"/>
  <c r="K80" i="4"/>
  <c r="H81" i="4"/>
  <c r="I81" i="4" s="1"/>
  <c r="J81" i="4"/>
  <c r="K81" i="4"/>
  <c r="H82" i="4"/>
  <c r="I82" i="4" s="1"/>
  <c r="K82" i="4"/>
  <c r="H83" i="4"/>
  <c r="I83" i="4" s="1"/>
  <c r="K83" i="4"/>
  <c r="H84" i="4"/>
  <c r="I84" i="4" s="1"/>
  <c r="J84" i="4"/>
  <c r="K84" i="4"/>
  <c r="H85" i="4"/>
  <c r="I85" i="4" s="1"/>
  <c r="J85" i="4"/>
  <c r="K85" i="4"/>
  <c r="H86" i="4"/>
  <c r="I86" i="4" s="1"/>
  <c r="K86" i="4"/>
  <c r="H87" i="4"/>
  <c r="I87" i="4" s="1"/>
  <c r="K87" i="4"/>
  <c r="H88" i="4"/>
  <c r="I88" i="4" s="1"/>
  <c r="J88" i="4"/>
  <c r="K88" i="4"/>
  <c r="H89" i="4"/>
  <c r="I89" i="4"/>
  <c r="J89" i="4"/>
  <c r="K89" i="4"/>
  <c r="H90" i="4"/>
  <c r="I90" i="4"/>
  <c r="J90" i="4"/>
  <c r="K90" i="4"/>
  <c r="H91" i="4"/>
  <c r="I91" i="4"/>
  <c r="J91" i="4"/>
  <c r="K91" i="4"/>
  <c r="H92" i="4"/>
  <c r="I92" i="4"/>
  <c r="J92" i="4"/>
  <c r="K92" i="4"/>
  <c r="H93" i="4"/>
  <c r="I93" i="4"/>
  <c r="J93" i="4"/>
  <c r="K93" i="4"/>
  <c r="H94" i="4"/>
  <c r="I94" i="4"/>
  <c r="J94" i="4"/>
  <c r="K94" i="4"/>
  <c r="H95" i="4"/>
  <c r="I95" i="4"/>
  <c r="J95" i="4"/>
  <c r="K95" i="4"/>
  <c r="H96" i="4"/>
  <c r="I96" i="4"/>
  <c r="J96" i="4"/>
  <c r="K96" i="4"/>
  <c r="H97" i="4"/>
  <c r="I97" i="4" s="1"/>
  <c r="J97" i="4"/>
  <c r="K97" i="4"/>
  <c r="H98" i="4"/>
  <c r="I98" i="4" s="1"/>
  <c r="J98" i="4"/>
  <c r="K98" i="4"/>
  <c r="K99" i="4"/>
  <c r="K100" i="4"/>
  <c r="H101" i="4"/>
  <c r="I101" i="4" s="1"/>
  <c r="J101" i="4"/>
  <c r="K101" i="4"/>
  <c r="H102" i="4"/>
  <c r="I102" i="4" s="1"/>
  <c r="J102" i="4"/>
  <c r="K102" i="4"/>
  <c r="H103" i="4"/>
  <c r="I103" i="4" s="1"/>
  <c r="J103" i="4"/>
  <c r="K103" i="4"/>
  <c r="H104" i="4"/>
  <c r="I104" i="4" s="1"/>
  <c r="J104" i="4"/>
  <c r="K104" i="4"/>
  <c r="H105" i="4"/>
  <c r="I105" i="4" s="1"/>
  <c r="J105" i="4"/>
  <c r="K105" i="4"/>
  <c r="H106" i="4"/>
  <c r="I106" i="4" s="1"/>
  <c r="J106" i="4"/>
  <c r="K106" i="4"/>
  <c r="H107" i="4"/>
  <c r="I107" i="4" s="1"/>
  <c r="J107" i="4"/>
  <c r="K107" i="4"/>
  <c r="H108" i="4"/>
  <c r="I108" i="4" s="1"/>
  <c r="J108" i="4"/>
  <c r="K108" i="4"/>
  <c r="H109" i="4"/>
  <c r="I109" i="4" s="1"/>
  <c r="J109" i="4"/>
  <c r="K109" i="4"/>
  <c r="H110" i="4"/>
  <c r="I110" i="4" s="1"/>
  <c r="J110" i="4"/>
  <c r="K110" i="4"/>
  <c r="H111" i="4"/>
  <c r="I111" i="4" s="1"/>
  <c r="J111" i="4"/>
  <c r="K111" i="4"/>
  <c r="H112" i="4"/>
  <c r="I112" i="4" s="1"/>
  <c r="J112" i="4"/>
  <c r="K112" i="4"/>
  <c r="H113" i="4"/>
  <c r="I113" i="4" s="1"/>
  <c r="J113" i="4"/>
  <c r="K113" i="4"/>
  <c r="H114" i="4"/>
  <c r="I114" i="4" s="1"/>
  <c r="J114" i="4"/>
  <c r="K114" i="4"/>
  <c r="H115" i="4"/>
  <c r="I115" i="4" s="1"/>
  <c r="J115" i="4"/>
  <c r="K115" i="4"/>
  <c r="H116" i="4"/>
  <c r="I116" i="4" s="1"/>
  <c r="J116" i="4"/>
  <c r="K116" i="4"/>
  <c r="H117" i="4"/>
  <c r="I117" i="4" s="1"/>
  <c r="J117" i="4"/>
  <c r="K117" i="4"/>
  <c r="H118" i="4"/>
  <c r="I118" i="4" s="1"/>
  <c r="J118" i="4"/>
  <c r="K118" i="4"/>
  <c r="H119" i="4"/>
  <c r="I119" i="4" s="1"/>
  <c r="J119" i="4"/>
  <c r="K119" i="4"/>
  <c r="J69" i="4" l="1"/>
  <c r="W69" i="4" s="1"/>
  <c r="J65" i="4"/>
  <c r="J68" i="4"/>
  <c r="I33" i="4"/>
  <c r="J33" i="4"/>
  <c r="I31" i="4"/>
  <c r="J31" i="4"/>
  <c r="I29" i="4"/>
  <c r="J29" i="4"/>
  <c r="I27" i="4"/>
  <c r="J27" i="4"/>
  <c r="I25" i="4"/>
  <c r="J25" i="4"/>
  <c r="I23" i="4"/>
  <c r="J23" i="4"/>
  <c r="I21" i="4"/>
  <c r="J21" i="4"/>
  <c r="I19" i="4"/>
  <c r="J19" i="4"/>
  <c r="I17" i="4"/>
  <c r="J17" i="4"/>
  <c r="I15" i="4"/>
  <c r="J15" i="4"/>
  <c r="I13" i="4"/>
  <c r="J13" i="4"/>
  <c r="I11" i="4"/>
  <c r="J11" i="4"/>
  <c r="I9" i="4"/>
  <c r="J9" i="4"/>
  <c r="I7" i="4"/>
  <c r="J7" i="4"/>
  <c r="I5" i="4"/>
  <c r="J5" i="4"/>
  <c r="J86" i="4"/>
  <c r="J82" i="4"/>
  <c r="J78" i="4"/>
  <c r="J74" i="4"/>
  <c r="J70" i="4"/>
  <c r="J66" i="4"/>
  <c r="J62" i="4"/>
  <c r="J58" i="4"/>
  <c r="J54" i="4"/>
  <c r="J50" i="4"/>
  <c r="J46" i="4"/>
  <c r="J42" i="4"/>
  <c r="J38" i="4"/>
  <c r="J34" i="4"/>
  <c r="J87" i="4"/>
  <c r="J83" i="4"/>
  <c r="J79" i="4"/>
  <c r="J75" i="4"/>
  <c r="J71" i="4"/>
  <c r="W71" i="4" s="1"/>
  <c r="J67" i="4"/>
  <c r="J63" i="4"/>
  <c r="J59" i="4"/>
  <c r="J55" i="4"/>
  <c r="J51" i="4"/>
  <c r="J47" i="4"/>
  <c r="J43" i="4"/>
  <c r="J39" i="4"/>
  <c r="J35" i="4"/>
  <c r="I32" i="4"/>
  <c r="J32" i="4"/>
  <c r="I30" i="4"/>
  <c r="J30" i="4"/>
  <c r="I28" i="4"/>
  <c r="J28" i="4"/>
  <c r="I26" i="4"/>
  <c r="J26" i="4"/>
  <c r="I24" i="4"/>
  <c r="J24" i="4"/>
  <c r="I22" i="4"/>
  <c r="J22" i="4"/>
  <c r="I20" i="4"/>
  <c r="J20" i="4"/>
  <c r="I18" i="4"/>
  <c r="J18" i="4"/>
  <c r="I16" i="4"/>
  <c r="J16" i="4"/>
  <c r="I14" i="4"/>
  <c r="J14" i="4"/>
  <c r="I12" i="4"/>
  <c r="J12" i="4"/>
  <c r="I10" i="4"/>
  <c r="J10" i="4"/>
  <c r="I8" i="4"/>
  <c r="J8" i="4"/>
  <c r="I6" i="4"/>
  <c r="J6" i="4"/>
  <c r="I4" i="4"/>
  <c r="J4" i="4"/>
  <c r="AB72" i="5"/>
  <c r="AC72" i="5"/>
  <c r="AE72" i="5"/>
  <c r="AB73" i="5"/>
  <c r="AE73" i="5"/>
  <c r="Z72" i="5"/>
  <c r="Z73" i="5" s="1"/>
  <c r="Y73" i="5"/>
  <c r="Y74" i="5"/>
  <c r="C73" i="5"/>
  <c r="D73" i="5"/>
  <c r="E73" i="5"/>
  <c r="F73" i="5"/>
  <c r="C74" i="5"/>
  <c r="D74" i="5"/>
  <c r="E74" i="5"/>
  <c r="F74" i="5"/>
  <c r="C75" i="5"/>
  <c r="D75" i="5"/>
  <c r="E75" i="5"/>
  <c r="F75" i="5"/>
  <c r="C76" i="5"/>
  <c r="D76" i="5"/>
  <c r="E76" i="5"/>
  <c r="F76" i="5"/>
  <c r="C77" i="5"/>
  <c r="D77" i="5"/>
  <c r="E77" i="5"/>
  <c r="F77" i="5"/>
  <c r="C72" i="5"/>
  <c r="D72" i="5"/>
  <c r="E72" i="5"/>
  <c r="F72" i="5"/>
  <c r="B69" i="4"/>
  <c r="U69" i="4" s="1"/>
  <c r="B70" i="5"/>
  <c r="B71" i="5"/>
  <c r="B72" i="5"/>
  <c r="B73" i="5"/>
  <c r="B74" i="5"/>
  <c r="B75" i="5"/>
  <c r="Q69" i="4"/>
  <c r="O69" i="4"/>
  <c r="T69" i="4"/>
  <c r="Q70" i="4"/>
  <c r="O70" i="4"/>
  <c r="T70" i="4"/>
  <c r="U70" i="4"/>
  <c r="Q71" i="4"/>
  <c r="O71" i="4"/>
  <c r="R71" i="4"/>
  <c r="T71" i="4"/>
  <c r="U71" i="4"/>
  <c r="W72" i="4"/>
  <c r="Q72" i="4"/>
  <c r="S72" i="4"/>
  <c r="O72" i="4"/>
  <c r="R72" i="4"/>
  <c r="T72" i="4"/>
  <c r="U72" i="4"/>
  <c r="S70" i="4" l="1"/>
  <c r="W70" i="4"/>
  <c r="R70" i="4"/>
  <c r="S71" i="4"/>
  <c r="S69" i="4"/>
  <c r="R69" i="4"/>
  <c r="Z60" i="5"/>
  <c r="Z61" i="5" s="1"/>
  <c r="Z62" i="5" s="1"/>
  <c r="Z63" i="5" s="1"/>
  <c r="Z64" i="5" s="1"/>
  <c r="Z65" i="5" s="1"/>
  <c r="Z66" i="5" s="1"/>
  <c r="Z67" i="5" s="1"/>
  <c r="Z68" i="5" s="1"/>
  <c r="Z69" i="5" s="1"/>
  <c r="F60" i="5"/>
  <c r="F61" i="5"/>
  <c r="F102" i="5"/>
  <c r="F122" i="5"/>
  <c r="S6" i="5" l="1"/>
  <c r="S7" i="5"/>
  <c r="S8" i="5"/>
  <c r="S9" i="5"/>
  <c r="S10" i="5"/>
  <c r="S11" i="5"/>
  <c r="S12" i="5"/>
  <c r="S13" i="5"/>
  <c r="S14" i="5"/>
  <c r="S15" i="5"/>
  <c r="S16" i="5"/>
  <c r="S17" i="5"/>
  <c r="S18" i="5"/>
  <c r="S19" i="5"/>
  <c r="S20" i="5"/>
  <c r="S21" i="5"/>
  <c r="S22" i="5"/>
  <c r="S23" i="5"/>
  <c r="S24" i="5"/>
  <c r="S25" i="5"/>
  <c r="S26" i="5"/>
  <c r="S27" i="5"/>
  <c r="S28" i="5"/>
  <c r="S29" i="5"/>
  <c r="S30" i="5"/>
  <c r="S31" i="5"/>
  <c r="S32" i="5"/>
  <c r="S33" i="5"/>
  <c r="S34" i="5"/>
  <c r="S35" i="5"/>
  <c r="S36" i="5"/>
  <c r="S37" i="5"/>
  <c r="S38" i="5"/>
  <c r="S39" i="5"/>
  <c r="S40" i="5"/>
  <c r="S41" i="5"/>
  <c r="S42" i="5"/>
  <c r="S43" i="5"/>
  <c r="S44" i="5"/>
  <c r="S45" i="5"/>
  <c r="S46" i="5"/>
  <c r="S47" i="5"/>
  <c r="S48" i="5"/>
  <c r="S49" i="5"/>
  <c r="S50" i="5"/>
  <c r="S51" i="5"/>
  <c r="S52" i="5"/>
  <c r="S53" i="5"/>
  <c r="S54" i="5"/>
  <c r="S55" i="5"/>
  <c r="S56" i="5"/>
  <c r="S57" i="5"/>
  <c r="S58" i="5"/>
  <c r="S59" i="5"/>
  <c r="S60" i="5"/>
  <c r="S61" i="5"/>
  <c r="S62" i="5"/>
  <c r="S63" i="5"/>
  <c r="S64" i="5"/>
  <c r="S65" i="5"/>
  <c r="S66" i="5"/>
  <c r="S67" i="5"/>
  <c r="S68" i="5"/>
  <c r="S69" i="5"/>
  <c r="S70" i="5"/>
  <c r="S71" i="5"/>
  <c r="S72" i="5"/>
  <c r="S73" i="5"/>
  <c r="S74" i="5"/>
  <c r="S75" i="5"/>
  <c r="S76" i="5"/>
  <c r="S77" i="5"/>
  <c r="S78" i="5"/>
  <c r="S79" i="5"/>
  <c r="S80" i="5"/>
  <c r="S81" i="5"/>
  <c r="S82" i="5"/>
  <c r="S83" i="5"/>
  <c r="S84" i="5"/>
  <c r="S85" i="5"/>
  <c r="S86" i="5"/>
  <c r="S87" i="5"/>
  <c r="S88" i="5"/>
  <c r="S89" i="5"/>
  <c r="S90" i="5"/>
  <c r="S91" i="5"/>
  <c r="S92" i="5"/>
  <c r="S93" i="5"/>
  <c r="S94" i="5"/>
  <c r="S95" i="5"/>
  <c r="S96" i="5"/>
  <c r="S97" i="5"/>
  <c r="S98" i="5"/>
  <c r="S99" i="5"/>
  <c r="S100" i="5"/>
  <c r="S101" i="5"/>
  <c r="S102" i="5"/>
  <c r="S103" i="5"/>
  <c r="S104" i="5"/>
  <c r="S105" i="5"/>
  <c r="S106" i="5"/>
  <c r="S107" i="5"/>
  <c r="S108" i="5"/>
  <c r="S109" i="5"/>
  <c r="S110" i="5"/>
  <c r="S111" i="5"/>
  <c r="S112" i="5"/>
  <c r="S113" i="5"/>
  <c r="S114" i="5"/>
  <c r="S115" i="5"/>
  <c r="S116" i="5"/>
  <c r="S117" i="5"/>
  <c r="S118" i="5"/>
  <c r="S119" i="5"/>
  <c r="S120" i="5"/>
  <c r="S121" i="5"/>
  <c r="S122" i="5"/>
  <c r="S5" i="5"/>
  <c r="R6" i="5"/>
  <c r="R7" i="5"/>
  <c r="R8" i="5"/>
  <c r="R9" i="5"/>
  <c r="R10" i="5"/>
  <c r="R11" i="5"/>
  <c r="R12" i="5"/>
  <c r="R13" i="5"/>
  <c r="R14" i="5"/>
  <c r="R15" i="5"/>
  <c r="R16" i="5"/>
  <c r="R17" i="5"/>
  <c r="R18" i="5"/>
  <c r="R19" i="5"/>
  <c r="R20" i="5"/>
  <c r="R21" i="5"/>
  <c r="R22" i="5"/>
  <c r="R23" i="5"/>
  <c r="R24" i="5"/>
  <c r="R25" i="5"/>
  <c r="R26" i="5"/>
  <c r="R27" i="5"/>
  <c r="R28" i="5"/>
  <c r="R29" i="5"/>
  <c r="R30" i="5"/>
  <c r="R31" i="5"/>
  <c r="R32" i="5"/>
  <c r="R33" i="5"/>
  <c r="R34" i="5"/>
  <c r="R35" i="5"/>
  <c r="R36" i="5"/>
  <c r="R37" i="5"/>
  <c r="R38" i="5"/>
  <c r="R39" i="5"/>
  <c r="R40" i="5"/>
  <c r="R41" i="5"/>
  <c r="R42" i="5"/>
  <c r="R43" i="5"/>
  <c r="R44" i="5"/>
  <c r="R45" i="5"/>
  <c r="R46" i="5"/>
  <c r="R47" i="5"/>
  <c r="R48" i="5"/>
  <c r="R49" i="5"/>
  <c r="R50" i="5"/>
  <c r="R51" i="5"/>
  <c r="R52" i="5"/>
  <c r="R53" i="5"/>
  <c r="R54" i="5"/>
  <c r="R55" i="5"/>
  <c r="R56" i="5"/>
  <c r="R57" i="5"/>
  <c r="R58" i="5"/>
  <c r="R59" i="5"/>
  <c r="R60" i="5"/>
  <c r="R61" i="5"/>
  <c r="R62" i="5"/>
  <c r="R63" i="5"/>
  <c r="R64" i="5"/>
  <c r="R65" i="5"/>
  <c r="R66" i="5"/>
  <c r="R67" i="5"/>
  <c r="R68" i="5"/>
  <c r="R69" i="5"/>
  <c r="R70" i="5"/>
  <c r="R71" i="5"/>
  <c r="R72" i="5"/>
  <c r="R73" i="5"/>
  <c r="R74" i="5"/>
  <c r="R75" i="5"/>
  <c r="R76" i="5"/>
  <c r="R77" i="5"/>
  <c r="R78" i="5"/>
  <c r="R79" i="5"/>
  <c r="R80" i="5"/>
  <c r="R81" i="5"/>
  <c r="R82" i="5"/>
  <c r="R83" i="5"/>
  <c r="R84" i="5"/>
  <c r="R85" i="5"/>
  <c r="R86" i="5"/>
  <c r="R87" i="5"/>
  <c r="R88" i="5"/>
  <c r="R89" i="5"/>
  <c r="R90" i="5"/>
  <c r="R91" i="5"/>
  <c r="R92" i="5"/>
  <c r="R93" i="5"/>
  <c r="R94" i="5"/>
  <c r="R95" i="5"/>
  <c r="R96" i="5"/>
  <c r="R97" i="5"/>
  <c r="R98" i="5"/>
  <c r="R99" i="5"/>
  <c r="R100" i="5"/>
  <c r="R101" i="5"/>
  <c r="R102" i="5"/>
  <c r="R103" i="5"/>
  <c r="R104" i="5"/>
  <c r="R105" i="5"/>
  <c r="R106" i="5"/>
  <c r="R107" i="5"/>
  <c r="R108" i="5"/>
  <c r="R109" i="5"/>
  <c r="R110" i="5"/>
  <c r="R111" i="5"/>
  <c r="R112" i="5"/>
  <c r="R113" i="5"/>
  <c r="R114" i="5"/>
  <c r="R115" i="5"/>
  <c r="R116" i="5"/>
  <c r="R117" i="5"/>
  <c r="R118" i="5"/>
  <c r="R119" i="5"/>
  <c r="R120" i="5"/>
  <c r="R121" i="5"/>
  <c r="R122" i="5"/>
  <c r="R5" i="5"/>
  <c r="Q6" i="5"/>
  <c r="Q7" i="5"/>
  <c r="Q8" i="5"/>
  <c r="Q9" i="5"/>
  <c r="Q10" i="5"/>
  <c r="Q11" i="5"/>
  <c r="Q12" i="5"/>
  <c r="Q13" i="5"/>
  <c r="Q14" i="5"/>
  <c r="Q15" i="5"/>
  <c r="Q16" i="5"/>
  <c r="Q17" i="5"/>
  <c r="Q18" i="5"/>
  <c r="Q19" i="5"/>
  <c r="Q20" i="5"/>
  <c r="Q21" i="5"/>
  <c r="Q22" i="5"/>
  <c r="Q23" i="5"/>
  <c r="Q24" i="5"/>
  <c r="Q25" i="5"/>
  <c r="Q26" i="5"/>
  <c r="Q27" i="5"/>
  <c r="Q28" i="5"/>
  <c r="Q29" i="5"/>
  <c r="Q30" i="5"/>
  <c r="Q31" i="5"/>
  <c r="Q32" i="5"/>
  <c r="Q33" i="5"/>
  <c r="Q34" i="5"/>
  <c r="Q35" i="5"/>
  <c r="Q36" i="5"/>
  <c r="Q37" i="5"/>
  <c r="Q38" i="5"/>
  <c r="Q39" i="5"/>
  <c r="Q40" i="5"/>
  <c r="Q41" i="5"/>
  <c r="Q42" i="5"/>
  <c r="Q43" i="5"/>
  <c r="Q44" i="5"/>
  <c r="Q45" i="5"/>
  <c r="Q46" i="5"/>
  <c r="Q47" i="5"/>
  <c r="Q48" i="5"/>
  <c r="Q49" i="5"/>
  <c r="Q50" i="5"/>
  <c r="Q51" i="5"/>
  <c r="Q52" i="5"/>
  <c r="Q53" i="5"/>
  <c r="Q54" i="5"/>
  <c r="Q55" i="5"/>
  <c r="Q56" i="5"/>
  <c r="Q57" i="5"/>
  <c r="Q58" i="5"/>
  <c r="Q59" i="5"/>
  <c r="Q60" i="5"/>
  <c r="Q61" i="5"/>
  <c r="Q62" i="5"/>
  <c r="Q63" i="5"/>
  <c r="Q64" i="5"/>
  <c r="Q65" i="5"/>
  <c r="Q66" i="5"/>
  <c r="Q67" i="5"/>
  <c r="Q68" i="5"/>
  <c r="Q69" i="5"/>
  <c r="Q70" i="5"/>
  <c r="Q71" i="5"/>
  <c r="Q72" i="5"/>
  <c r="Q73" i="5"/>
  <c r="Q74" i="5"/>
  <c r="Q75" i="5"/>
  <c r="Q76" i="5"/>
  <c r="Q77" i="5"/>
  <c r="Q78" i="5"/>
  <c r="Q79" i="5"/>
  <c r="Q80" i="5"/>
  <c r="Q81" i="5"/>
  <c r="Q82" i="5"/>
  <c r="Q83" i="5"/>
  <c r="Q84" i="5"/>
  <c r="Q85" i="5"/>
  <c r="Q86" i="5"/>
  <c r="Q87" i="5"/>
  <c r="Q88" i="5"/>
  <c r="Q89" i="5"/>
  <c r="Q90" i="5"/>
  <c r="Q91" i="5"/>
  <c r="Q92" i="5"/>
  <c r="Q93" i="5"/>
  <c r="Q94" i="5"/>
  <c r="Q95" i="5"/>
  <c r="Q96" i="5"/>
  <c r="Q97" i="5"/>
  <c r="Q98" i="5"/>
  <c r="Q99" i="5"/>
  <c r="Q100" i="5"/>
  <c r="Q101" i="5"/>
  <c r="Q102" i="5"/>
  <c r="Q103" i="5"/>
  <c r="Q104" i="5"/>
  <c r="Q105" i="5"/>
  <c r="Q106" i="5"/>
  <c r="Q107" i="5"/>
  <c r="Q108" i="5"/>
  <c r="Q109" i="5"/>
  <c r="Q110" i="5"/>
  <c r="Q111" i="5"/>
  <c r="Q112" i="5"/>
  <c r="Q113" i="5"/>
  <c r="Q114" i="5"/>
  <c r="Q115" i="5"/>
  <c r="Q116" i="5"/>
  <c r="Q117" i="5"/>
  <c r="Q118" i="5"/>
  <c r="Q119" i="5"/>
  <c r="Q120" i="5"/>
  <c r="Q121" i="5"/>
  <c r="Q122" i="5"/>
  <c r="Q5" i="5"/>
  <c r="P6" i="5"/>
  <c r="P7" i="5"/>
  <c r="P8" i="5"/>
  <c r="P9" i="5"/>
  <c r="P10" i="5"/>
  <c r="P11" i="5"/>
  <c r="P12" i="5"/>
  <c r="P13" i="5"/>
  <c r="P14" i="5"/>
  <c r="P15" i="5"/>
  <c r="P16" i="5"/>
  <c r="P17" i="5"/>
  <c r="P18" i="5"/>
  <c r="P19" i="5"/>
  <c r="P20" i="5"/>
  <c r="P21" i="5"/>
  <c r="P22" i="5"/>
  <c r="P23" i="5"/>
  <c r="P24" i="5"/>
  <c r="P25" i="5"/>
  <c r="P26" i="5"/>
  <c r="P27" i="5"/>
  <c r="P28" i="5"/>
  <c r="P29" i="5"/>
  <c r="P30" i="5"/>
  <c r="P31" i="5"/>
  <c r="P32" i="5"/>
  <c r="P33" i="5"/>
  <c r="P34" i="5"/>
  <c r="P35" i="5"/>
  <c r="P36" i="5"/>
  <c r="P37" i="5"/>
  <c r="P38" i="5"/>
  <c r="P39" i="5"/>
  <c r="P40" i="5"/>
  <c r="P41" i="5"/>
  <c r="P42" i="5"/>
  <c r="P43" i="5"/>
  <c r="P44" i="5"/>
  <c r="P45" i="5"/>
  <c r="P46" i="5"/>
  <c r="P47" i="5"/>
  <c r="P48" i="5"/>
  <c r="P49" i="5"/>
  <c r="P50" i="5"/>
  <c r="P51" i="5"/>
  <c r="P52" i="5"/>
  <c r="P53" i="5"/>
  <c r="P54" i="5"/>
  <c r="P55" i="5"/>
  <c r="P56" i="5"/>
  <c r="P57" i="5"/>
  <c r="P58" i="5"/>
  <c r="P59" i="5"/>
  <c r="P60" i="5"/>
  <c r="P61" i="5"/>
  <c r="P62" i="5"/>
  <c r="P63" i="5"/>
  <c r="P64" i="5"/>
  <c r="P65" i="5"/>
  <c r="P66" i="5"/>
  <c r="P67" i="5"/>
  <c r="P68" i="5"/>
  <c r="P69" i="5"/>
  <c r="P70" i="5"/>
  <c r="P71" i="5"/>
  <c r="P72" i="5"/>
  <c r="P73" i="5"/>
  <c r="P74" i="5"/>
  <c r="P75" i="5"/>
  <c r="P76" i="5"/>
  <c r="P77" i="5"/>
  <c r="P78" i="5"/>
  <c r="P79" i="5"/>
  <c r="P80" i="5"/>
  <c r="P81" i="5"/>
  <c r="P82" i="5"/>
  <c r="P83" i="5"/>
  <c r="P84" i="5"/>
  <c r="P85" i="5"/>
  <c r="P86" i="5"/>
  <c r="P87" i="5"/>
  <c r="P88" i="5"/>
  <c r="P89" i="5"/>
  <c r="P90" i="5"/>
  <c r="P91" i="5"/>
  <c r="P92" i="5"/>
  <c r="P93" i="5"/>
  <c r="P94" i="5"/>
  <c r="P95" i="5"/>
  <c r="P96" i="5"/>
  <c r="P97" i="5"/>
  <c r="P98" i="5"/>
  <c r="P99" i="5"/>
  <c r="P100" i="5"/>
  <c r="P101" i="5"/>
  <c r="P102" i="5"/>
  <c r="P103" i="5"/>
  <c r="P104" i="5"/>
  <c r="P105" i="5"/>
  <c r="P106" i="5"/>
  <c r="P107" i="5"/>
  <c r="P108" i="5"/>
  <c r="P109" i="5"/>
  <c r="P110" i="5"/>
  <c r="P111" i="5"/>
  <c r="P112" i="5"/>
  <c r="P113" i="5"/>
  <c r="P114" i="5"/>
  <c r="P115" i="5"/>
  <c r="P116" i="5"/>
  <c r="P117" i="5"/>
  <c r="P118" i="5"/>
  <c r="P119" i="5"/>
  <c r="P120" i="5"/>
  <c r="P121" i="5"/>
  <c r="P122" i="5"/>
  <c r="P5" i="5"/>
  <c r="O6" i="5"/>
  <c r="O7" i="5"/>
  <c r="O8" i="5"/>
  <c r="O9" i="5"/>
  <c r="O10" i="5"/>
  <c r="O11" i="5"/>
  <c r="O12" i="5"/>
  <c r="O13" i="5"/>
  <c r="O14" i="5"/>
  <c r="O15" i="5"/>
  <c r="O16" i="5"/>
  <c r="O17" i="5"/>
  <c r="O18" i="5"/>
  <c r="O19" i="5"/>
  <c r="O20" i="5"/>
  <c r="O21" i="5"/>
  <c r="O22" i="5"/>
  <c r="O23" i="5"/>
  <c r="O24" i="5"/>
  <c r="O25" i="5"/>
  <c r="O26" i="5"/>
  <c r="O27" i="5"/>
  <c r="O28" i="5"/>
  <c r="O29" i="5"/>
  <c r="O30" i="5"/>
  <c r="O31" i="5"/>
  <c r="O32" i="5"/>
  <c r="O33" i="5"/>
  <c r="O34" i="5"/>
  <c r="O35" i="5"/>
  <c r="O36" i="5"/>
  <c r="O37" i="5"/>
  <c r="O38" i="5"/>
  <c r="O39" i="5"/>
  <c r="O40" i="5"/>
  <c r="O41" i="5"/>
  <c r="O42" i="5"/>
  <c r="O43" i="5"/>
  <c r="O44" i="5"/>
  <c r="O45" i="5"/>
  <c r="O46" i="5"/>
  <c r="O47" i="5"/>
  <c r="O48" i="5"/>
  <c r="O49" i="5"/>
  <c r="O50" i="5"/>
  <c r="O51" i="5"/>
  <c r="O52" i="5"/>
  <c r="O53" i="5"/>
  <c r="O54" i="5"/>
  <c r="O55" i="5"/>
  <c r="O56" i="5"/>
  <c r="O57" i="5"/>
  <c r="O58" i="5"/>
  <c r="O59"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O113" i="5"/>
  <c r="O114" i="5"/>
  <c r="O115" i="5"/>
  <c r="O116" i="5"/>
  <c r="O117" i="5"/>
  <c r="O118" i="5"/>
  <c r="O119" i="5"/>
  <c r="O120" i="5"/>
  <c r="O121" i="5"/>
  <c r="O122" i="5"/>
  <c r="O5" i="5"/>
  <c r="M6" i="5"/>
  <c r="M7" i="5"/>
  <c r="M8" i="5"/>
  <c r="M9" i="5"/>
  <c r="M10" i="5"/>
  <c r="M11" i="5"/>
  <c r="M12" i="5"/>
  <c r="M13" i="5"/>
  <c r="M14" i="5"/>
  <c r="M15" i="5"/>
  <c r="M16" i="5"/>
  <c r="M17" i="5"/>
  <c r="M18" i="5"/>
  <c r="M19" i="5"/>
  <c r="M20" i="5"/>
  <c r="M21" i="5"/>
  <c r="M22" i="5"/>
  <c r="M23" i="5"/>
  <c r="M24" i="5"/>
  <c r="M25" i="5"/>
  <c r="M26" i="5"/>
  <c r="M27" i="5"/>
  <c r="M28" i="5"/>
  <c r="M29" i="5"/>
  <c r="M30" i="5"/>
  <c r="M31" i="5"/>
  <c r="M32" i="5"/>
  <c r="M33" i="5"/>
  <c r="M34" i="5"/>
  <c r="M35" i="5"/>
  <c r="M36" i="5"/>
  <c r="M37" i="5"/>
  <c r="M38" i="5"/>
  <c r="M39" i="5"/>
  <c r="M40" i="5"/>
  <c r="M41" i="5"/>
  <c r="M42" i="5"/>
  <c r="M43" i="5"/>
  <c r="M44" i="5"/>
  <c r="M45" i="5"/>
  <c r="M46" i="5"/>
  <c r="M47" i="5"/>
  <c r="M48" i="5"/>
  <c r="M49" i="5"/>
  <c r="M50" i="5"/>
  <c r="M51" i="5"/>
  <c r="M52" i="5"/>
  <c r="M53" i="5"/>
  <c r="M54" i="5"/>
  <c r="M55" i="5"/>
  <c r="M56" i="5"/>
  <c r="M57" i="5"/>
  <c r="M58" i="5"/>
  <c r="M59" i="5"/>
  <c r="M60" i="5"/>
  <c r="M61" i="5"/>
  <c r="M62" i="5"/>
  <c r="M63" i="5"/>
  <c r="M64" i="5"/>
  <c r="M65" i="5"/>
  <c r="M66" i="5"/>
  <c r="M67" i="5"/>
  <c r="M68" i="5"/>
  <c r="M69" i="5"/>
  <c r="M70" i="5"/>
  <c r="M71" i="5"/>
  <c r="M72" i="5"/>
  <c r="M73" i="5"/>
  <c r="M74" i="5"/>
  <c r="M75" i="5"/>
  <c r="M76" i="5"/>
  <c r="M77" i="5"/>
  <c r="M78" i="5"/>
  <c r="M79" i="5"/>
  <c r="M80" i="5"/>
  <c r="M81" i="5"/>
  <c r="M82" i="5"/>
  <c r="M83" i="5"/>
  <c r="M84" i="5"/>
  <c r="M85" i="5"/>
  <c r="M86" i="5"/>
  <c r="M87" i="5"/>
  <c r="M88" i="5"/>
  <c r="M89" i="5"/>
  <c r="M90" i="5"/>
  <c r="M91" i="5"/>
  <c r="M92" i="5"/>
  <c r="M93" i="5"/>
  <c r="M94" i="5"/>
  <c r="M95" i="5"/>
  <c r="M96" i="5"/>
  <c r="M97" i="5"/>
  <c r="M98" i="5"/>
  <c r="M99" i="5"/>
  <c r="M100" i="5"/>
  <c r="M101" i="5"/>
  <c r="M102" i="5"/>
  <c r="M103" i="5"/>
  <c r="M104" i="5"/>
  <c r="M105" i="5"/>
  <c r="M106" i="5"/>
  <c r="M107" i="5"/>
  <c r="M108" i="5"/>
  <c r="M109" i="5"/>
  <c r="M110" i="5"/>
  <c r="M111" i="5"/>
  <c r="M112" i="5"/>
  <c r="M113" i="5"/>
  <c r="M114" i="5"/>
  <c r="M115" i="5"/>
  <c r="M116" i="5"/>
  <c r="M117" i="5"/>
  <c r="M118" i="5"/>
  <c r="M119" i="5"/>
  <c r="M120" i="5"/>
  <c r="M121" i="5"/>
  <c r="M122" i="5"/>
  <c r="M5" i="5"/>
  <c r="L6" i="5"/>
  <c r="L7" i="5"/>
  <c r="L8" i="5"/>
  <c r="L9" i="5"/>
  <c r="L10" i="5"/>
  <c r="L11" i="5"/>
  <c r="L12" i="5"/>
  <c r="L13" i="5"/>
  <c r="L14" i="5"/>
  <c r="L15" i="5"/>
  <c r="L16" i="5"/>
  <c r="L17" i="5"/>
  <c r="L18" i="5"/>
  <c r="L19" i="5"/>
  <c r="L20" i="5"/>
  <c r="L21" i="5"/>
  <c r="L22" i="5"/>
  <c r="L23" i="5"/>
  <c r="L24" i="5"/>
  <c r="L25" i="5"/>
  <c r="L26" i="5"/>
  <c r="L27" i="5"/>
  <c r="L28" i="5"/>
  <c r="L29" i="5"/>
  <c r="L30" i="5"/>
  <c r="L31" i="5"/>
  <c r="L32" i="5"/>
  <c r="L33" i="5"/>
  <c r="L34" i="5"/>
  <c r="L35" i="5"/>
  <c r="L36" i="5"/>
  <c r="L37" i="5"/>
  <c r="L38" i="5"/>
  <c r="L39" i="5"/>
  <c r="L40" i="5"/>
  <c r="L41" i="5"/>
  <c r="L42" i="5"/>
  <c r="L43" i="5"/>
  <c r="L44" i="5"/>
  <c r="L45" i="5"/>
  <c r="L46" i="5"/>
  <c r="L47" i="5"/>
  <c r="L48" i="5"/>
  <c r="L49" i="5"/>
  <c r="L50" i="5"/>
  <c r="L51" i="5"/>
  <c r="L52" i="5"/>
  <c r="L53" i="5"/>
  <c r="L54" i="5"/>
  <c r="L55" i="5"/>
  <c r="L56" i="5"/>
  <c r="L57" i="5"/>
  <c r="L58" i="5"/>
  <c r="L59" i="5"/>
  <c r="L60" i="5"/>
  <c r="L61" i="5"/>
  <c r="L62" i="5"/>
  <c r="L63" i="5"/>
  <c r="L64" i="5"/>
  <c r="L65" i="5"/>
  <c r="L66" i="5"/>
  <c r="L67" i="5"/>
  <c r="L68" i="5"/>
  <c r="L69" i="5"/>
  <c r="L70" i="5"/>
  <c r="L71" i="5"/>
  <c r="L72" i="5"/>
  <c r="L73" i="5"/>
  <c r="L74" i="5"/>
  <c r="L75" i="5"/>
  <c r="L76" i="5"/>
  <c r="L77" i="5"/>
  <c r="L78" i="5"/>
  <c r="L79" i="5"/>
  <c r="L80" i="5"/>
  <c r="L81" i="5"/>
  <c r="L82" i="5"/>
  <c r="L83" i="5"/>
  <c r="L84" i="5"/>
  <c r="L85" i="5"/>
  <c r="L86" i="5"/>
  <c r="L87" i="5"/>
  <c r="L88" i="5"/>
  <c r="L89" i="5"/>
  <c r="L90" i="5"/>
  <c r="L91" i="5"/>
  <c r="L92" i="5"/>
  <c r="L93" i="5"/>
  <c r="L94" i="5"/>
  <c r="L95" i="5"/>
  <c r="L96" i="5"/>
  <c r="L97" i="5"/>
  <c r="L98" i="5"/>
  <c r="L99" i="5"/>
  <c r="L100" i="5"/>
  <c r="L101" i="5"/>
  <c r="L102" i="5"/>
  <c r="L103" i="5"/>
  <c r="L104" i="5"/>
  <c r="L105" i="5"/>
  <c r="L106" i="5"/>
  <c r="L107" i="5"/>
  <c r="L108" i="5"/>
  <c r="L109" i="5"/>
  <c r="L110" i="5"/>
  <c r="L111" i="5"/>
  <c r="L112" i="5"/>
  <c r="L113" i="5"/>
  <c r="L114" i="5"/>
  <c r="L115" i="5"/>
  <c r="L116" i="5"/>
  <c r="L117" i="5"/>
  <c r="L118" i="5"/>
  <c r="L119" i="5"/>
  <c r="L120" i="5"/>
  <c r="L121" i="5"/>
  <c r="L122" i="5"/>
  <c r="L5" i="5"/>
  <c r="AE6" i="5" l="1"/>
  <c r="AF6" i="5" s="1"/>
  <c r="Z6" i="5"/>
  <c r="Y6" i="5"/>
  <c r="A17" i="4"/>
  <c r="A18" i="4" s="1"/>
  <c r="A19" i="4" s="1"/>
  <c r="A20" i="4" s="1"/>
  <c r="A21" i="4" s="1"/>
  <c r="A22" i="4" s="1"/>
  <c r="A23" i="4" s="1"/>
  <c r="A24" i="4" s="1"/>
  <c r="A16" i="4"/>
  <c r="K3" i="4"/>
  <c r="H3" i="4"/>
  <c r="J3" i="4" s="1"/>
  <c r="AG6" i="5" l="1"/>
  <c r="I3" i="4"/>
  <c r="Y86" i="5" l="1"/>
  <c r="AE85" i="5" l="1"/>
  <c r="AC85" i="5" s="1"/>
  <c r="Z85" i="5"/>
  <c r="Z86" i="5" s="1"/>
  <c r="C114" i="5"/>
  <c r="D114" i="5"/>
  <c r="E114" i="5"/>
  <c r="N114" i="5"/>
  <c r="U114" i="5"/>
  <c r="AB114" i="5"/>
  <c r="Y114" i="5"/>
  <c r="AE114" i="5"/>
  <c r="AF114" i="5" s="1"/>
  <c r="C115" i="5"/>
  <c r="D115" i="5"/>
  <c r="E115" i="5"/>
  <c r="N115" i="5"/>
  <c r="Y115" i="5"/>
  <c r="AB115" i="5"/>
  <c r="AE115" i="5"/>
  <c r="AF115" i="5" s="1"/>
  <c r="B116" i="5"/>
  <c r="C116" i="5"/>
  <c r="D116" i="5"/>
  <c r="E116" i="5"/>
  <c r="N116" i="5"/>
  <c r="AB116" i="5"/>
  <c r="Y116" i="5"/>
  <c r="AE116" i="5"/>
  <c r="AF116" i="5" s="1"/>
  <c r="C117" i="5"/>
  <c r="D117" i="5"/>
  <c r="E117" i="5"/>
  <c r="N117" i="5"/>
  <c r="AB117" i="5"/>
  <c r="Y117" i="5"/>
  <c r="AE117" i="5"/>
  <c r="AF117" i="5" s="1"/>
  <c r="C118" i="5"/>
  <c r="D118" i="5"/>
  <c r="E118" i="5"/>
  <c r="N118" i="5"/>
  <c r="AB118" i="5"/>
  <c r="Y118" i="5"/>
  <c r="AE118" i="5"/>
  <c r="AF118" i="5" s="1"/>
  <c r="C93" i="5"/>
  <c r="D93" i="5"/>
  <c r="E93" i="5"/>
  <c r="N93" i="5"/>
  <c r="AB93" i="5"/>
  <c r="Y93" i="5"/>
  <c r="AE93" i="5"/>
  <c r="AG93" i="5" s="1"/>
  <c r="C94" i="5"/>
  <c r="D94" i="5"/>
  <c r="E94" i="5"/>
  <c r="N94" i="5"/>
  <c r="Y94" i="5"/>
  <c r="AB94" i="5"/>
  <c r="AE94" i="5"/>
  <c r="AG94" i="5" s="1"/>
  <c r="C95" i="5"/>
  <c r="D95" i="5"/>
  <c r="E95" i="5"/>
  <c r="N95" i="5"/>
  <c r="AB95" i="5"/>
  <c r="Y95" i="5"/>
  <c r="AE95" i="5"/>
  <c r="AF95" i="5" s="1"/>
  <c r="AG95" i="5"/>
  <c r="C96" i="5"/>
  <c r="D96" i="5"/>
  <c r="E96" i="5"/>
  <c r="N96" i="5"/>
  <c r="T96" i="5"/>
  <c r="Y96" i="5"/>
  <c r="AB96" i="5"/>
  <c r="AE96" i="5"/>
  <c r="AG96" i="5" s="1"/>
  <c r="C97" i="5"/>
  <c r="D97" i="5"/>
  <c r="E97" i="5"/>
  <c r="N97" i="5"/>
  <c r="AB97" i="5"/>
  <c r="Y97" i="5"/>
  <c r="AE97" i="5"/>
  <c r="AG97" i="5" s="1"/>
  <c r="C98" i="5"/>
  <c r="D98" i="5"/>
  <c r="E98" i="5"/>
  <c r="N98" i="5"/>
  <c r="Y98" i="5"/>
  <c r="AB98" i="5"/>
  <c r="AE98" i="5"/>
  <c r="AG98" i="5" s="1"/>
  <c r="C99" i="5"/>
  <c r="D99" i="5"/>
  <c r="E99" i="5"/>
  <c r="N99" i="5"/>
  <c r="AB99" i="5"/>
  <c r="T99" i="5"/>
  <c r="Y99" i="5"/>
  <c r="AE99" i="5"/>
  <c r="AF99" i="5" s="1"/>
  <c r="AG99" i="5"/>
  <c r="C100" i="5"/>
  <c r="D100" i="5"/>
  <c r="E100" i="5"/>
  <c r="N100" i="5"/>
  <c r="U100" i="5"/>
  <c r="AB100" i="5"/>
  <c r="T100" i="5"/>
  <c r="Y100" i="5"/>
  <c r="AE100" i="5"/>
  <c r="AG100" i="5" s="1"/>
  <c r="C101" i="5"/>
  <c r="D101" i="5"/>
  <c r="E101" i="5"/>
  <c r="N101" i="5"/>
  <c r="U101" i="5"/>
  <c r="AB101" i="5"/>
  <c r="T101" i="5"/>
  <c r="Y101" i="5"/>
  <c r="AE101" i="5"/>
  <c r="AG101" i="5" s="1"/>
  <c r="B102" i="5"/>
  <c r="C102" i="5"/>
  <c r="D102" i="5"/>
  <c r="E102" i="5"/>
  <c r="N102" i="5"/>
  <c r="AB102" i="5"/>
  <c r="Y102" i="5"/>
  <c r="AE102" i="5"/>
  <c r="AG102" i="5" s="1"/>
  <c r="C103" i="5"/>
  <c r="D103" i="5"/>
  <c r="E103" i="5"/>
  <c r="N103" i="5"/>
  <c r="AB103" i="5"/>
  <c r="T103" i="5"/>
  <c r="Y103" i="5"/>
  <c r="AE103" i="5"/>
  <c r="AG103" i="5" s="1"/>
  <c r="C104" i="5"/>
  <c r="D104" i="5"/>
  <c r="E104" i="5"/>
  <c r="N104" i="5"/>
  <c r="AB104" i="5"/>
  <c r="Y104" i="5"/>
  <c r="AE104" i="5"/>
  <c r="AG104" i="5" s="1"/>
  <c r="AF104" i="5"/>
  <c r="C105" i="5"/>
  <c r="D105" i="5"/>
  <c r="E105" i="5"/>
  <c r="N105" i="5"/>
  <c r="U105" i="5"/>
  <c r="AB105" i="5"/>
  <c r="T105" i="5"/>
  <c r="Y105" i="5"/>
  <c r="AE105" i="5"/>
  <c r="AF105" i="5" s="1"/>
  <c r="C106" i="5"/>
  <c r="D106" i="5"/>
  <c r="E106" i="5"/>
  <c r="N106" i="5"/>
  <c r="AB106" i="5"/>
  <c r="T106" i="5"/>
  <c r="Y106" i="5"/>
  <c r="AE106" i="5"/>
  <c r="AG106" i="5" s="1"/>
  <c r="C88" i="5"/>
  <c r="D88" i="5"/>
  <c r="E88" i="5"/>
  <c r="N88" i="5"/>
  <c r="AB88" i="5"/>
  <c r="U88" i="5"/>
  <c r="Y88" i="5"/>
  <c r="AE88" i="5"/>
  <c r="AF88" i="5" s="1"/>
  <c r="B89" i="5"/>
  <c r="C89" i="5"/>
  <c r="D89" i="5"/>
  <c r="E89" i="5"/>
  <c r="N89" i="5"/>
  <c r="AB89" i="5"/>
  <c r="U89" i="5"/>
  <c r="Y89" i="5"/>
  <c r="AE89" i="5"/>
  <c r="AF89" i="5" s="1"/>
  <c r="N76" i="5"/>
  <c r="U76" i="5"/>
  <c r="AB76" i="5"/>
  <c r="T76" i="5"/>
  <c r="Y76" i="5"/>
  <c r="AE76" i="5"/>
  <c r="AF76" i="5" s="1"/>
  <c r="N77" i="5"/>
  <c r="AB77" i="5"/>
  <c r="T77" i="5"/>
  <c r="Y77" i="5"/>
  <c r="AE77" i="5"/>
  <c r="AF77" i="5" s="1"/>
  <c r="B78" i="5"/>
  <c r="C78" i="5"/>
  <c r="D78" i="5"/>
  <c r="E78" i="5"/>
  <c r="N78" i="5"/>
  <c r="U78" i="5"/>
  <c r="AB78" i="5"/>
  <c r="T78" i="5"/>
  <c r="Y78" i="5"/>
  <c r="AE78" i="5"/>
  <c r="AF78" i="5" s="1"/>
  <c r="C79" i="5"/>
  <c r="D79" i="5"/>
  <c r="E79" i="5"/>
  <c r="N79" i="5"/>
  <c r="AB79" i="5"/>
  <c r="Y79" i="5"/>
  <c r="AE79" i="5"/>
  <c r="AF79" i="5" s="1"/>
  <c r="C80" i="5"/>
  <c r="D80" i="5"/>
  <c r="E80" i="5"/>
  <c r="N80" i="5"/>
  <c r="AB80" i="5"/>
  <c r="Y80" i="5"/>
  <c r="AE80" i="5"/>
  <c r="AF80" i="5" s="1"/>
  <c r="C57" i="5"/>
  <c r="D57" i="5"/>
  <c r="E57" i="5"/>
  <c r="N57" i="5"/>
  <c r="U57" i="5"/>
  <c r="AB57" i="5"/>
  <c r="T57" i="5"/>
  <c r="Y57" i="5"/>
  <c r="AE57" i="5"/>
  <c r="AF57" i="5" s="1"/>
  <c r="B58" i="5"/>
  <c r="C58" i="5"/>
  <c r="D58" i="5"/>
  <c r="E58" i="5"/>
  <c r="N58" i="5"/>
  <c r="AB58" i="5"/>
  <c r="T58" i="5"/>
  <c r="Y58" i="5"/>
  <c r="AE58" i="5"/>
  <c r="AF58" i="5" s="1"/>
  <c r="C59" i="5"/>
  <c r="D59" i="5"/>
  <c r="E59" i="5"/>
  <c r="N59" i="5"/>
  <c r="U59" i="5"/>
  <c r="AB59" i="5"/>
  <c r="T59" i="5"/>
  <c r="Y59" i="5"/>
  <c r="AE59" i="5"/>
  <c r="AF59" i="5" s="1"/>
  <c r="B51" i="5"/>
  <c r="C51" i="5"/>
  <c r="D51" i="5"/>
  <c r="E51" i="5"/>
  <c r="N51" i="5"/>
  <c r="AB51" i="5"/>
  <c r="Y51" i="5"/>
  <c r="AE51" i="5"/>
  <c r="AF51" i="5" s="1"/>
  <c r="C52" i="5"/>
  <c r="D52" i="5"/>
  <c r="E52" i="5"/>
  <c r="N52" i="5"/>
  <c r="Y52" i="5"/>
  <c r="AB52" i="5"/>
  <c r="AE52" i="5"/>
  <c r="AF52" i="5" s="1"/>
  <c r="Y113" i="5"/>
  <c r="Y92" i="5"/>
  <c r="Y87" i="5"/>
  <c r="Y75" i="5"/>
  <c r="Y65" i="5"/>
  <c r="Y64" i="5"/>
  <c r="Y63" i="5"/>
  <c r="Y62" i="5"/>
  <c r="Y56" i="5"/>
  <c r="Y50" i="5"/>
  <c r="Y33" i="5"/>
  <c r="Y34" i="5"/>
  <c r="Y35" i="5"/>
  <c r="Y36" i="5"/>
  <c r="Y37" i="5"/>
  <c r="Y38" i="5"/>
  <c r="Y39" i="5"/>
  <c r="Y40" i="5"/>
  <c r="Y41" i="5"/>
  <c r="Y42" i="5"/>
  <c r="Y43" i="5"/>
  <c r="Y44" i="5"/>
  <c r="Y45" i="5"/>
  <c r="Y46" i="5"/>
  <c r="Y32" i="5"/>
  <c r="Y7" i="5"/>
  <c r="Y8" i="5"/>
  <c r="Y9" i="5"/>
  <c r="Y10" i="5"/>
  <c r="Y11" i="5"/>
  <c r="Y12" i="5"/>
  <c r="Y13" i="5"/>
  <c r="Y14" i="5"/>
  <c r="Y15" i="5"/>
  <c r="Y16" i="5"/>
  <c r="Y17" i="5"/>
  <c r="Y18" i="5"/>
  <c r="Y19" i="5"/>
  <c r="Y20" i="5"/>
  <c r="Y21" i="5"/>
  <c r="Y22" i="5"/>
  <c r="Y23" i="5"/>
  <c r="Y24" i="5"/>
  <c r="Y25" i="5"/>
  <c r="Y26" i="5"/>
  <c r="Y27" i="5"/>
  <c r="Y28" i="5"/>
  <c r="B35" i="5"/>
  <c r="C35" i="5"/>
  <c r="D35" i="5"/>
  <c r="E35" i="5"/>
  <c r="N35" i="5"/>
  <c r="AB35" i="5"/>
  <c r="U35" i="5"/>
  <c r="C36" i="5"/>
  <c r="D36" i="5"/>
  <c r="E36" i="5"/>
  <c r="N36" i="5"/>
  <c r="AB36" i="5"/>
  <c r="C37" i="5"/>
  <c r="D37" i="5"/>
  <c r="E37" i="5"/>
  <c r="N37" i="5"/>
  <c r="T37" i="5"/>
  <c r="U37" i="5"/>
  <c r="AB37" i="5"/>
  <c r="C38" i="5"/>
  <c r="D38" i="5"/>
  <c r="E38" i="5"/>
  <c r="N38" i="5"/>
  <c r="U38" i="5"/>
  <c r="AB38" i="5"/>
  <c r="C39" i="5"/>
  <c r="D39" i="5"/>
  <c r="E39" i="5"/>
  <c r="N39" i="5"/>
  <c r="AB39" i="5"/>
  <c r="C40" i="5"/>
  <c r="D40" i="5"/>
  <c r="E40" i="5"/>
  <c r="N40" i="5"/>
  <c r="AB40" i="5"/>
  <c r="C41" i="5"/>
  <c r="D41" i="5"/>
  <c r="E41" i="5"/>
  <c r="N41" i="5"/>
  <c r="AB41" i="5"/>
  <c r="C42" i="5"/>
  <c r="D42" i="5"/>
  <c r="E42" i="5"/>
  <c r="N42" i="5"/>
  <c r="U42" i="5"/>
  <c r="AB42" i="5"/>
  <c r="C43" i="5"/>
  <c r="D43" i="5"/>
  <c r="E43" i="5"/>
  <c r="N43" i="5"/>
  <c r="U43" i="5"/>
  <c r="AB43" i="5"/>
  <c r="C44" i="5"/>
  <c r="D44" i="5"/>
  <c r="E44" i="5"/>
  <c r="N44" i="5"/>
  <c r="AB44" i="5"/>
  <c r="T44" i="5"/>
  <c r="C45" i="5"/>
  <c r="D45" i="5"/>
  <c r="E45" i="5"/>
  <c r="N45" i="5"/>
  <c r="U45" i="5"/>
  <c r="AB45" i="5"/>
  <c r="C46" i="5"/>
  <c r="D46" i="5"/>
  <c r="E46" i="5"/>
  <c r="N46" i="5"/>
  <c r="U46" i="5"/>
  <c r="AB46" i="5"/>
  <c r="C18" i="5"/>
  <c r="D18" i="5"/>
  <c r="E18" i="5"/>
  <c r="N18" i="5"/>
  <c r="T18" i="5"/>
  <c r="AB18" i="5"/>
  <c r="AE18" i="5"/>
  <c r="AF18" i="5" s="1"/>
  <c r="C19" i="5"/>
  <c r="D19" i="5"/>
  <c r="E19" i="5"/>
  <c r="N19" i="5"/>
  <c r="T19" i="5"/>
  <c r="AB19" i="5"/>
  <c r="AE19" i="5"/>
  <c r="AF19" i="5" s="1"/>
  <c r="C20" i="5"/>
  <c r="D20" i="5"/>
  <c r="E20" i="5"/>
  <c r="N20" i="5"/>
  <c r="AB20" i="5"/>
  <c r="AE20" i="5"/>
  <c r="AF20" i="5" s="1"/>
  <c r="C21" i="5"/>
  <c r="D21" i="5"/>
  <c r="E21" i="5"/>
  <c r="N21" i="5"/>
  <c r="T21" i="5"/>
  <c r="AB21" i="5"/>
  <c r="AE21" i="5"/>
  <c r="AF21" i="5" s="1"/>
  <c r="C22" i="5"/>
  <c r="D22" i="5"/>
  <c r="E22" i="5"/>
  <c r="N22" i="5"/>
  <c r="AB22" i="5"/>
  <c r="AE22" i="5"/>
  <c r="AF22" i="5" s="1"/>
  <c r="C23" i="5"/>
  <c r="D23" i="5"/>
  <c r="E23" i="5"/>
  <c r="N23" i="5"/>
  <c r="U23" i="5"/>
  <c r="T23" i="5"/>
  <c r="AB23" i="5"/>
  <c r="AE23" i="5"/>
  <c r="AF23" i="5" s="1"/>
  <c r="C24" i="5"/>
  <c r="D24" i="5"/>
  <c r="E24" i="5"/>
  <c r="N24" i="5"/>
  <c r="AB24" i="5"/>
  <c r="AE24" i="5"/>
  <c r="AF24" i="5" s="1"/>
  <c r="C25" i="5"/>
  <c r="D25" i="5"/>
  <c r="E25" i="5"/>
  <c r="N25" i="5"/>
  <c r="AB25" i="5"/>
  <c r="T25" i="5"/>
  <c r="AE25" i="5"/>
  <c r="AF25" i="5" s="1"/>
  <c r="C26" i="5"/>
  <c r="D26" i="5"/>
  <c r="E26" i="5"/>
  <c r="N26" i="5"/>
  <c r="U26" i="5"/>
  <c r="AB26" i="5"/>
  <c r="AE26" i="5"/>
  <c r="AF26" i="5" s="1"/>
  <c r="AG26" i="5"/>
  <c r="C27" i="5"/>
  <c r="D27" i="5"/>
  <c r="E27" i="5"/>
  <c r="N27" i="5"/>
  <c r="AB27" i="5"/>
  <c r="AE27" i="5"/>
  <c r="AF27" i="5" s="1"/>
  <c r="C28" i="5"/>
  <c r="D28" i="5"/>
  <c r="E28" i="5"/>
  <c r="N28" i="5"/>
  <c r="U28" i="5"/>
  <c r="AB28" i="5"/>
  <c r="AE28" i="5"/>
  <c r="AF28" i="5" s="1"/>
  <c r="B18" i="5"/>
  <c r="F104" i="5"/>
  <c r="F106" i="5"/>
  <c r="F116" i="5"/>
  <c r="F118" i="5"/>
  <c r="O3" i="4"/>
  <c r="O4" i="4"/>
  <c r="O5" i="4"/>
  <c r="O6" i="4"/>
  <c r="O7" i="4"/>
  <c r="O8" i="4"/>
  <c r="O9" i="4"/>
  <c r="O10" i="4"/>
  <c r="O11" i="4"/>
  <c r="O12" i="4"/>
  <c r="O13" i="4"/>
  <c r="O14" i="4"/>
  <c r="O15" i="4"/>
  <c r="T15" i="4"/>
  <c r="U15" i="4"/>
  <c r="F19" i="5"/>
  <c r="O16" i="4"/>
  <c r="O17" i="4"/>
  <c r="F21" i="5"/>
  <c r="O18" i="4"/>
  <c r="F22" i="5"/>
  <c r="O19" i="4"/>
  <c r="F23" i="5"/>
  <c r="O20" i="4"/>
  <c r="O21" i="4"/>
  <c r="F25" i="5"/>
  <c r="O22" i="4"/>
  <c r="O23" i="4"/>
  <c r="F27" i="5"/>
  <c r="O24" i="4"/>
  <c r="O25" i="4"/>
  <c r="O26" i="4"/>
  <c r="O27" i="4"/>
  <c r="O28" i="4"/>
  <c r="O29" i="4"/>
  <c r="O30" i="4"/>
  <c r="O31" i="4"/>
  <c r="F35" i="5"/>
  <c r="O32" i="4"/>
  <c r="T32" i="4"/>
  <c r="U32" i="4"/>
  <c r="O33" i="4"/>
  <c r="O34" i="4"/>
  <c r="F38" i="5"/>
  <c r="O35" i="4"/>
  <c r="O36" i="4"/>
  <c r="F40" i="5"/>
  <c r="O37" i="4"/>
  <c r="O38" i="4"/>
  <c r="F42" i="5"/>
  <c r="O39" i="4"/>
  <c r="O40" i="4"/>
  <c r="F44" i="5"/>
  <c r="O41" i="4"/>
  <c r="O42" i="4"/>
  <c r="F46" i="5"/>
  <c r="O43" i="4"/>
  <c r="O44" i="4"/>
  <c r="O45" i="4"/>
  <c r="O46" i="4"/>
  <c r="O47" i="4"/>
  <c r="O48" i="4"/>
  <c r="T48" i="4"/>
  <c r="U48" i="4"/>
  <c r="F52" i="5"/>
  <c r="O49" i="4"/>
  <c r="O50" i="4"/>
  <c r="O51" i="4"/>
  <c r="O52" i="4"/>
  <c r="O53" i="4"/>
  <c r="O54" i="4"/>
  <c r="F58" i="5"/>
  <c r="O55" i="4"/>
  <c r="T55" i="4"/>
  <c r="U55" i="4"/>
  <c r="O56" i="4"/>
  <c r="O57" i="4"/>
  <c r="O58" i="4"/>
  <c r="O59" i="4"/>
  <c r="O60" i="4"/>
  <c r="O61" i="4"/>
  <c r="O62" i="4"/>
  <c r="F66" i="5"/>
  <c r="O63" i="4"/>
  <c r="O64" i="4"/>
  <c r="F68" i="5"/>
  <c r="O65" i="4"/>
  <c r="O66" i="4"/>
  <c r="F70" i="5"/>
  <c r="O67" i="4"/>
  <c r="O68" i="4"/>
  <c r="O73" i="4"/>
  <c r="O74" i="4"/>
  <c r="F78" i="5"/>
  <c r="O75" i="4"/>
  <c r="T75" i="4"/>
  <c r="U75" i="4"/>
  <c r="F79" i="5"/>
  <c r="O76" i="4"/>
  <c r="F80" i="5"/>
  <c r="O77" i="4"/>
  <c r="O78" i="4"/>
  <c r="F82" i="5"/>
  <c r="O79" i="4"/>
  <c r="O80" i="4"/>
  <c r="F84" i="5"/>
  <c r="O81" i="4"/>
  <c r="O82" i="4"/>
  <c r="F86" i="5"/>
  <c r="O83" i="4"/>
  <c r="O84" i="4"/>
  <c r="F88" i="5"/>
  <c r="O85" i="4"/>
  <c r="F89" i="5"/>
  <c r="O86" i="4"/>
  <c r="T86" i="4"/>
  <c r="U86" i="4"/>
  <c r="O87" i="4"/>
  <c r="O88" i="4"/>
  <c r="O89" i="4"/>
  <c r="F93" i="5"/>
  <c r="O90" i="4"/>
  <c r="F94" i="5"/>
  <c r="O91" i="4"/>
  <c r="F95" i="5"/>
  <c r="O92" i="4"/>
  <c r="F96" i="5"/>
  <c r="O93" i="4"/>
  <c r="F97" i="5"/>
  <c r="O94" i="4"/>
  <c r="F98" i="5"/>
  <c r="O95" i="4"/>
  <c r="F99" i="5"/>
  <c r="O96" i="4"/>
  <c r="F100" i="5"/>
  <c r="O97" i="4"/>
  <c r="O98" i="4"/>
  <c r="O99" i="4"/>
  <c r="T99" i="4"/>
  <c r="U99" i="4"/>
  <c r="O100" i="4"/>
  <c r="O101" i="4"/>
  <c r="O102" i="4"/>
  <c r="O103" i="4"/>
  <c r="O104" i="4"/>
  <c r="O105" i="4"/>
  <c r="O106" i="4"/>
  <c r="O107" i="4"/>
  <c r="O108" i="4"/>
  <c r="O109" i="4"/>
  <c r="O110" i="4"/>
  <c r="O111" i="4"/>
  <c r="O112" i="4"/>
  <c r="O113" i="4"/>
  <c r="T113" i="4"/>
  <c r="U113" i="4"/>
  <c r="O114" i="4"/>
  <c r="O115" i="4"/>
  <c r="O116" i="4"/>
  <c r="O117" i="4"/>
  <c r="O118" i="4"/>
  <c r="O119" i="4"/>
  <c r="AB15" i="4"/>
  <c r="F92" i="5" l="1"/>
  <c r="F64" i="5"/>
  <c r="F87" i="5"/>
  <c r="F83" i="5"/>
  <c r="F69" i="5"/>
  <c r="F65" i="5"/>
  <c r="S119" i="4"/>
  <c r="F121" i="5"/>
  <c r="F117" i="5"/>
  <c r="S111" i="4"/>
  <c r="F113" i="5"/>
  <c r="F109" i="5"/>
  <c r="Q102" i="4"/>
  <c r="F105" i="5"/>
  <c r="F114" i="5"/>
  <c r="F101" i="5"/>
  <c r="S88" i="4"/>
  <c r="F90" i="5"/>
  <c r="F62" i="5"/>
  <c r="F120" i="5"/>
  <c r="Q109" i="4"/>
  <c r="F112" i="5"/>
  <c r="F108" i="5"/>
  <c r="S107" i="4"/>
  <c r="F110" i="5"/>
  <c r="F91" i="5"/>
  <c r="F85" i="5"/>
  <c r="F81" i="5"/>
  <c r="F71" i="5"/>
  <c r="F67" i="5"/>
  <c r="F63" i="5"/>
  <c r="F119" i="5"/>
  <c r="F115" i="5"/>
  <c r="F111" i="5"/>
  <c r="F107" i="5"/>
  <c r="S100" i="4"/>
  <c r="F103" i="5"/>
  <c r="AG22" i="5"/>
  <c r="AG18" i="5"/>
  <c r="AF96" i="5"/>
  <c r="AF102" i="5"/>
  <c r="AG20" i="5"/>
  <c r="AG28" i="5"/>
  <c r="T27" i="5"/>
  <c r="T43" i="5"/>
  <c r="T39" i="5"/>
  <c r="U77" i="5"/>
  <c r="T102" i="5"/>
  <c r="T98" i="5"/>
  <c r="T97" i="5"/>
  <c r="T46" i="5"/>
  <c r="T42" i="5"/>
  <c r="T36" i="5"/>
  <c r="T79" i="5"/>
  <c r="U58" i="5"/>
  <c r="U96" i="5"/>
  <c r="T95" i="5"/>
  <c r="U116" i="5"/>
  <c r="U115" i="5"/>
  <c r="T28" i="5"/>
  <c r="U27" i="5"/>
  <c r="T26" i="5"/>
  <c r="U25" i="5"/>
  <c r="AG24" i="5"/>
  <c r="T24" i="5"/>
  <c r="T22" i="5"/>
  <c r="U21" i="5"/>
  <c r="T20" i="5"/>
  <c r="U19" i="5"/>
  <c r="U44" i="5"/>
  <c r="U41" i="5"/>
  <c r="U102" i="5"/>
  <c r="AF94" i="5"/>
  <c r="U93" i="5"/>
  <c r="T114" i="5"/>
  <c r="T45" i="5"/>
  <c r="T80" i="5"/>
  <c r="AF106" i="5"/>
  <c r="U106" i="5"/>
  <c r="AG105" i="5"/>
  <c r="T104" i="5"/>
  <c r="AF98" i="5"/>
  <c r="U97" i="5"/>
  <c r="T94" i="5"/>
  <c r="T93" i="5"/>
  <c r="T115" i="5"/>
  <c r="T40" i="5"/>
  <c r="U39" i="5"/>
  <c r="U36" i="5"/>
  <c r="AF100" i="5"/>
  <c r="T35" i="5"/>
  <c r="U80" i="5"/>
  <c r="AF103" i="5"/>
  <c r="U103" i="5"/>
  <c r="AF101" i="5"/>
  <c r="AF97" i="5"/>
  <c r="AF93" i="5"/>
  <c r="U24" i="5"/>
  <c r="U22" i="5"/>
  <c r="U20" i="5"/>
  <c r="U18" i="5"/>
  <c r="U40" i="5"/>
  <c r="T38" i="5"/>
  <c r="T52" i="5"/>
  <c r="T88" i="5"/>
  <c r="U99" i="5"/>
  <c r="U95" i="5"/>
  <c r="T118" i="5"/>
  <c r="T117" i="5"/>
  <c r="T116" i="5"/>
  <c r="T41" i="5"/>
  <c r="U79" i="5"/>
  <c r="T89" i="5"/>
  <c r="U104" i="5"/>
  <c r="U98" i="5"/>
  <c r="U94" i="5"/>
  <c r="W51" i="4"/>
  <c r="R66" i="4"/>
  <c r="Q42" i="4"/>
  <c r="W86" i="4"/>
  <c r="R53" i="4"/>
  <c r="Q82" i="4"/>
  <c r="R36" i="4"/>
  <c r="R90" i="4"/>
  <c r="Q78" i="4"/>
  <c r="Q44" i="4"/>
  <c r="R15" i="4"/>
  <c r="R7" i="4"/>
  <c r="W5" i="4"/>
  <c r="S115" i="4"/>
  <c r="R103" i="4"/>
  <c r="R94" i="4"/>
  <c r="Q80" i="4"/>
  <c r="R51" i="4"/>
  <c r="W47" i="4"/>
  <c r="R42" i="4"/>
  <c r="R111" i="4"/>
  <c r="Q84" i="4"/>
  <c r="R47" i="4"/>
  <c r="Q38" i="4"/>
  <c r="R3" i="4"/>
  <c r="R58" i="4"/>
  <c r="R31" i="4"/>
  <c r="W29" i="4"/>
  <c r="S108" i="4"/>
  <c r="Q104" i="4"/>
  <c r="Q96" i="4"/>
  <c r="W53" i="4"/>
  <c r="R38" i="4"/>
  <c r="F26" i="5"/>
  <c r="R60" i="4"/>
  <c r="W60" i="4"/>
  <c r="W58" i="4"/>
  <c r="W48" i="4"/>
  <c r="Q36" i="4"/>
  <c r="R34" i="4"/>
  <c r="R23" i="4"/>
  <c r="W21" i="4"/>
  <c r="F41" i="5"/>
  <c r="Q92" i="4"/>
  <c r="R68" i="4"/>
  <c r="W50" i="4"/>
  <c r="W13" i="4"/>
  <c r="Q88" i="4"/>
  <c r="R78" i="4"/>
  <c r="R57" i="4"/>
  <c r="R82" i="4"/>
  <c r="S62" i="4"/>
  <c r="R56" i="4"/>
  <c r="W54" i="4"/>
  <c r="F57" i="5"/>
  <c r="Q93" i="4"/>
  <c r="Q40" i="4"/>
  <c r="F43" i="5"/>
  <c r="W88" i="4"/>
  <c r="W78" i="4"/>
  <c r="W62" i="4"/>
  <c r="W57" i="4"/>
  <c r="S47" i="4"/>
  <c r="R33" i="4"/>
  <c r="Q34" i="4"/>
  <c r="F59" i="5"/>
  <c r="R97" i="4"/>
  <c r="R98" i="4"/>
  <c r="Q76" i="4"/>
  <c r="Q74" i="4"/>
  <c r="S59" i="4"/>
  <c r="S53" i="4"/>
  <c r="Q49" i="4"/>
  <c r="R27" i="4"/>
  <c r="W112" i="4"/>
  <c r="W100" i="4"/>
  <c r="W31" i="4"/>
  <c r="W23" i="4"/>
  <c r="W15" i="4"/>
  <c r="W7" i="4"/>
  <c r="F18" i="5"/>
  <c r="W33" i="4"/>
  <c r="W25" i="4"/>
  <c r="W17" i="4"/>
  <c r="F28" i="5"/>
  <c r="F24" i="5"/>
  <c r="F20" i="5"/>
  <c r="F36" i="5"/>
  <c r="F45" i="5"/>
  <c r="F39" i="5"/>
  <c r="F37" i="5"/>
  <c r="F51" i="5"/>
  <c r="U118" i="5"/>
  <c r="U117" i="5"/>
  <c r="AG118" i="5"/>
  <c r="AG117" i="5"/>
  <c r="AG116" i="5"/>
  <c r="AG115" i="5"/>
  <c r="AG114" i="5"/>
  <c r="AG89" i="5"/>
  <c r="AG88" i="5"/>
  <c r="AG80" i="5"/>
  <c r="AG79" i="5"/>
  <c r="AG78" i="5"/>
  <c r="AG77" i="5"/>
  <c r="AG76" i="5"/>
  <c r="AG59" i="5"/>
  <c r="AG58" i="5"/>
  <c r="AG57" i="5"/>
  <c r="T51" i="5"/>
  <c r="U52" i="5"/>
  <c r="U51" i="5"/>
  <c r="AG52" i="5"/>
  <c r="AG51" i="5"/>
  <c r="AG27" i="5"/>
  <c r="AG25" i="5"/>
  <c r="AG23" i="5"/>
  <c r="AG21" i="5"/>
  <c r="AG19" i="5"/>
  <c r="R114" i="4"/>
  <c r="R106" i="4"/>
  <c r="Q113" i="4"/>
  <c r="S114" i="4"/>
  <c r="Q89" i="4"/>
  <c r="Q119" i="4"/>
  <c r="R119" i="4"/>
  <c r="R117" i="4"/>
  <c r="Q114" i="4"/>
  <c r="W114" i="4"/>
  <c r="R112" i="4"/>
  <c r="Q111" i="4"/>
  <c r="S112" i="4"/>
  <c r="Q106" i="4"/>
  <c r="W106" i="4"/>
  <c r="Q103" i="4"/>
  <c r="S89" i="4"/>
  <c r="Q105" i="4"/>
  <c r="S106" i="4"/>
  <c r="R113" i="4"/>
  <c r="Q107" i="4"/>
  <c r="R105" i="4"/>
  <c r="W102" i="4"/>
  <c r="Q99" i="4"/>
  <c r="R89" i="4"/>
  <c r="R118" i="4"/>
  <c r="Q117" i="4"/>
  <c r="Q112" i="4"/>
  <c r="S113" i="4"/>
  <c r="R107" i="4"/>
  <c r="R99" i="4"/>
  <c r="R65" i="4"/>
  <c r="R63" i="4"/>
  <c r="R88" i="4"/>
  <c r="Q77" i="4"/>
  <c r="R30" i="4"/>
  <c r="R22" i="4"/>
  <c r="S14" i="4"/>
  <c r="S6" i="4"/>
  <c r="W119" i="4"/>
  <c r="W117" i="4"/>
  <c r="W113" i="4"/>
  <c r="W111" i="4"/>
  <c r="W105" i="4"/>
  <c r="W103" i="4"/>
  <c r="W99" i="4"/>
  <c r="Q94" i="4"/>
  <c r="W89" i="4"/>
  <c r="Q87" i="4"/>
  <c r="Q79" i="4"/>
  <c r="R87" i="4"/>
  <c r="W87" i="4"/>
  <c r="S83" i="4"/>
  <c r="R62" i="4"/>
  <c r="Q62" i="4"/>
  <c r="Q60" i="4"/>
  <c r="Q54" i="4"/>
  <c r="S54" i="4"/>
  <c r="Q48" i="4"/>
  <c r="Q46" i="4"/>
  <c r="S46" i="4"/>
  <c r="S43" i="4"/>
  <c r="R41" i="4"/>
  <c r="S39" i="4"/>
  <c r="S37" i="4"/>
  <c r="Q29" i="4"/>
  <c r="Q21" i="4"/>
  <c r="Q13" i="4"/>
  <c r="Q5" i="4"/>
  <c r="S58" i="4"/>
  <c r="R35" i="4"/>
  <c r="Q58" i="4"/>
  <c r="Q57" i="4"/>
  <c r="Q53" i="4"/>
  <c r="Q51" i="4"/>
  <c r="Q47" i="4"/>
  <c r="W46" i="4"/>
  <c r="R44" i="4"/>
  <c r="W42" i="4"/>
  <c r="W40" i="4"/>
  <c r="W38" i="4"/>
  <c r="W36" i="4"/>
  <c r="W34" i="4"/>
  <c r="S32" i="4"/>
  <c r="Q31" i="4"/>
  <c r="R25" i="4"/>
  <c r="Q23" i="4"/>
  <c r="R17" i="4"/>
  <c r="S16" i="4"/>
  <c r="Q15" i="4"/>
  <c r="R9" i="4"/>
  <c r="R8" i="4"/>
  <c r="Q7" i="4"/>
  <c r="R54" i="4"/>
  <c r="R50" i="4"/>
  <c r="R46" i="4"/>
  <c r="W44" i="4"/>
  <c r="Q33" i="4"/>
  <c r="R26" i="4"/>
  <c r="Q25" i="4"/>
  <c r="R18" i="4"/>
  <c r="Q17" i="4"/>
  <c r="S10" i="4"/>
  <c r="Q9" i="4"/>
  <c r="W9" i="4"/>
  <c r="S34" i="4"/>
  <c r="R29" i="4"/>
  <c r="R28" i="4"/>
  <c r="R21" i="4"/>
  <c r="R13" i="4"/>
  <c r="R12" i="4"/>
  <c r="R5" i="4"/>
  <c r="Q3" i="4"/>
  <c r="W3" i="4"/>
  <c r="L13" i="3"/>
  <c r="S61" i="4" l="1"/>
  <c r="W110" i="4"/>
  <c r="Q61" i="4"/>
  <c r="R102" i="4"/>
  <c r="R110" i="4"/>
  <c r="Q110" i="4"/>
  <c r="Q118" i="4"/>
  <c r="R109" i="4"/>
  <c r="W82" i="4"/>
  <c r="W107" i="4"/>
  <c r="W118" i="4"/>
  <c r="S110" i="4"/>
  <c r="S103" i="4"/>
  <c r="S81" i="4"/>
  <c r="W61" i="4"/>
  <c r="W109" i="4"/>
  <c r="R84" i="4"/>
  <c r="S118" i="4"/>
  <c r="R52" i="4"/>
  <c r="Q50" i="4"/>
  <c r="W116" i="4"/>
  <c r="R100" i="4"/>
  <c r="R48" i="4"/>
  <c r="S51" i="4"/>
  <c r="Q90" i="4"/>
  <c r="Q100" i="4"/>
  <c r="S90" i="4"/>
  <c r="W90" i="4"/>
  <c r="S95" i="4"/>
  <c r="W64" i="4"/>
  <c r="W85" i="4"/>
  <c r="S101" i="4"/>
  <c r="S73" i="4"/>
  <c r="S97" i="4"/>
  <c r="S91" i="4"/>
  <c r="W94" i="4"/>
  <c r="W84" i="4"/>
  <c r="R96" i="4"/>
  <c r="W92" i="4"/>
  <c r="S75" i="4"/>
  <c r="S85" i="4"/>
  <c r="R92" i="4"/>
  <c r="Q95" i="4"/>
  <c r="R101" i="4"/>
  <c r="W66" i="4"/>
  <c r="S30" i="4"/>
  <c r="S50" i="4"/>
  <c r="S60" i="4"/>
  <c r="S87" i="4"/>
  <c r="S105" i="4"/>
  <c r="R115" i="4"/>
  <c r="S104" i="4"/>
  <c r="W80" i="4"/>
  <c r="R86" i="4"/>
  <c r="Q86" i="4"/>
  <c r="R80" i="4"/>
  <c r="Q66" i="4"/>
  <c r="W115" i="4"/>
  <c r="S102" i="4"/>
  <c r="W108" i="4"/>
  <c r="R108" i="4"/>
  <c r="W101" i="4"/>
  <c r="Q101" i="4"/>
  <c r="S109" i="4"/>
  <c r="S116" i="4"/>
  <c r="W11" i="4"/>
  <c r="R37" i="4"/>
  <c r="S48" i="4"/>
  <c r="S67" i="4"/>
  <c r="Q108" i="4"/>
  <c r="Q115" i="4"/>
  <c r="W98" i="4"/>
  <c r="Q11" i="4"/>
  <c r="S57" i="4"/>
  <c r="R45" i="4"/>
  <c r="R116" i="4"/>
  <c r="S117" i="4"/>
  <c r="R11" i="4"/>
  <c r="R40" i="4"/>
  <c r="S49" i="4"/>
  <c r="Q116" i="4"/>
  <c r="W55" i="4"/>
  <c r="S86" i="4"/>
  <c r="R43" i="4"/>
  <c r="Q64" i="4"/>
  <c r="R64" i="4"/>
  <c r="R85" i="4"/>
  <c r="S12" i="4"/>
  <c r="S56" i="4"/>
  <c r="W59" i="4"/>
  <c r="W74" i="4"/>
  <c r="R91" i="4"/>
  <c r="S92" i="4"/>
  <c r="Q98" i="4"/>
  <c r="R104" i="4"/>
  <c r="W19" i="4"/>
  <c r="Q27" i="4"/>
  <c r="W104" i="4"/>
  <c r="Q91" i="4"/>
  <c r="W27" i="4"/>
  <c r="S65" i="4"/>
  <c r="Q85" i="4"/>
  <c r="W91" i="4"/>
  <c r="S99" i="4"/>
  <c r="S63" i="4"/>
  <c r="W95" i="4"/>
  <c r="W68" i="4"/>
  <c r="Q19" i="4"/>
  <c r="S52" i="4"/>
  <c r="Q68" i="4"/>
  <c r="R75" i="4"/>
  <c r="S98" i="4"/>
  <c r="S96" i="4"/>
  <c r="R95" i="4"/>
  <c r="W96" i="4"/>
  <c r="W93" i="4"/>
  <c r="W97" i="4"/>
  <c r="Q97" i="4"/>
  <c r="R93" i="4"/>
  <c r="S20" i="4"/>
  <c r="S8" i="4"/>
  <c r="Q52" i="4"/>
  <c r="Q56" i="4"/>
  <c r="R16" i="4"/>
  <c r="R77" i="4"/>
  <c r="R73" i="4"/>
  <c r="S94" i="4"/>
  <c r="S93" i="4"/>
  <c r="R19" i="4"/>
  <c r="R76" i="4"/>
  <c r="W56" i="4"/>
  <c r="R14" i="4"/>
  <c r="R49" i="4"/>
  <c r="W49" i="4"/>
  <c r="Q59" i="4"/>
  <c r="R59" i="4"/>
  <c r="W52" i="4"/>
  <c r="S26" i="4"/>
  <c r="Q55" i="4"/>
  <c r="S77" i="4"/>
  <c r="W76" i="4"/>
  <c r="S55" i="4"/>
  <c r="R61" i="4"/>
  <c r="R74" i="4"/>
  <c r="R55" i="4"/>
  <c r="W35" i="4"/>
  <c r="S36" i="4"/>
  <c r="Q35" i="4"/>
  <c r="W4" i="4"/>
  <c r="Q4" i="4"/>
  <c r="S5" i="4"/>
  <c r="W18" i="4"/>
  <c r="Q18" i="4"/>
  <c r="S19" i="4"/>
  <c r="W32" i="4"/>
  <c r="Q32" i="4"/>
  <c r="S33" i="4"/>
  <c r="S35" i="4"/>
  <c r="W79" i="4"/>
  <c r="S80" i="4"/>
  <c r="W77" i="4"/>
  <c r="S78" i="4"/>
  <c r="R79" i="4"/>
  <c r="W28" i="4"/>
  <c r="Q28" i="4"/>
  <c r="S29" i="4"/>
  <c r="W24" i="4"/>
  <c r="Q24" i="4"/>
  <c r="S25" i="4"/>
  <c r="W43" i="4"/>
  <c r="S44" i="4"/>
  <c r="Q43" i="4"/>
  <c r="W22" i="4"/>
  <c r="S23" i="4"/>
  <c r="Q22" i="4"/>
  <c r="W67" i="4"/>
  <c r="Q67" i="4"/>
  <c r="S68" i="4"/>
  <c r="S4" i="4"/>
  <c r="W20" i="4"/>
  <c r="Q20" i="4"/>
  <c r="S21" i="4"/>
  <c r="R4" i="4"/>
  <c r="W10" i="4"/>
  <c r="Q10" i="4"/>
  <c r="S11" i="4"/>
  <c r="S18" i="4"/>
  <c r="R20" i="4"/>
  <c r="W26" i="4"/>
  <c r="Q26" i="4"/>
  <c r="S27" i="4"/>
  <c r="R10" i="4"/>
  <c r="W16" i="4"/>
  <c r="Q16" i="4"/>
  <c r="S17" i="4"/>
  <c r="R24" i="4"/>
  <c r="S79" i="4"/>
  <c r="W39" i="4"/>
  <c r="S40" i="4"/>
  <c r="Q39" i="4"/>
  <c r="W6" i="4"/>
  <c r="S7" i="4"/>
  <c r="Q6" i="4"/>
  <c r="W63" i="4"/>
  <c r="S64" i="4"/>
  <c r="Q63" i="4"/>
  <c r="R6" i="4"/>
  <c r="W12" i="4"/>
  <c r="Q12" i="4"/>
  <c r="S13" i="4"/>
  <c r="S28" i="4"/>
  <c r="W8" i="4"/>
  <c r="Q8" i="4"/>
  <c r="S9" i="4"/>
  <c r="S24" i="4"/>
  <c r="R39" i="4"/>
  <c r="S22" i="4"/>
  <c r="W37" i="4"/>
  <c r="S38" i="4"/>
  <c r="Q37" i="4"/>
  <c r="W41" i="4"/>
  <c r="S42" i="4"/>
  <c r="Q41" i="4"/>
  <c r="W45" i="4"/>
  <c r="S45" i="4"/>
  <c r="Q45" i="4"/>
  <c r="W83" i="4"/>
  <c r="Q83" i="4"/>
  <c r="S84" i="4"/>
  <c r="R32" i="4"/>
  <c r="S41" i="4"/>
  <c r="W73" i="4"/>
  <c r="S74" i="4"/>
  <c r="Q73" i="4"/>
  <c r="W81" i="4"/>
  <c r="Q81" i="4"/>
  <c r="S82" i="4"/>
  <c r="R67" i="4"/>
  <c r="R83" i="4"/>
  <c r="W75" i="4"/>
  <c r="Q75" i="4"/>
  <c r="S76" i="4"/>
  <c r="W14" i="4"/>
  <c r="S15" i="4"/>
  <c r="Q14" i="4"/>
  <c r="W30" i="4"/>
  <c r="S31" i="4"/>
  <c r="Q30" i="4"/>
  <c r="R81" i="4"/>
  <c r="W65" i="4"/>
  <c r="S66" i="4"/>
  <c r="Q65" i="4"/>
  <c r="Y32" i="3"/>
  <c r="X32" i="3"/>
  <c r="S84" i="10" l="1"/>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L84" i="10"/>
  <c r="L85" i="10"/>
  <c r="L86" i="10"/>
  <c r="L87" i="10"/>
  <c r="L88" i="10"/>
  <c r="L89" i="10"/>
  <c r="L90" i="10"/>
  <c r="L91" i="10"/>
  <c r="L92" i="10"/>
  <c r="L93" i="10"/>
  <c r="L94" i="10"/>
  <c r="L95" i="10"/>
  <c r="L96" i="10"/>
  <c r="L97" i="10"/>
  <c r="L98" i="10"/>
  <c r="L99" i="10"/>
  <c r="L100" i="10"/>
  <c r="L101" i="10"/>
  <c r="L102" i="10"/>
  <c r="L103" i="10"/>
  <c r="L104" i="10"/>
  <c r="L105" i="10"/>
  <c r="L106" i="10"/>
  <c r="L107" i="10"/>
  <c r="L108" i="10"/>
  <c r="L109" i="10"/>
  <c r="L110" i="10"/>
  <c r="L111" i="10"/>
  <c r="L112" i="10"/>
  <c r="L113" i="10"/>
  <c r="L114" i="10"/>
  <c r="L4" i="10"/>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3" i="10"/>
  <c r="K84" i="10"/>
  <c r="K85" i="10"/>
  <c r="K100" i="10"/>
  <c r="K101" i="10"/>
  <c r="K103" i="10"/>
  <c r="K104" i="10"/>
  <c r="K108" i="10"/>
  <c r="K109" i="10"/>
  <c r="K110" i="10"/>
  <c r="K112" i="10"/>
  <c r="K4" i="10"/>
  <c r="K10" i="10"/>
  <c r="K27" i="10"/>
  <c r="K28" i="10"/>
  <c r="K29" i="10"/>
  <c r="K30" i="10"/>
  <c r="K32" i="10"/>
  <c r="K33" i="10"/>
  <c r="K44" i="10"/>
  <c r="K45" i="10"/>
  <c r="K50" i="10"/>
  <c r="K56" i="10"/>
  <c r="K62" i="10"/>
  <c r="K63" i="10"/>
  <c r="K66" i="10"/>
  <c r="K67" i="10"/>
  <c r="K68" i="10"/>
  <c r="K69" i="10"/>
  <c r="K77" i="10"/>
  <c r="K78" i="10"/>
  <c r="K79" i="10"/>
  <c r="K80" i="10"/>
  <c r="S51" i="10"/>
  <c r="S48" i="10"/>
  <c r="S20" i="10"/>
  <c r="S3" i="10"/>
  <c r="H22" i="9"/>
  <c r="P15" i="9" s="1"/>
  <c r="G22" i="9"/>
  <c r="O15" i="9" s="1"/>
  <c r="E22" i="9"/>
  <c r="M15" i="9" s="1"/>
  <c r="D22" i="9"/>
  <c r="B22" i="9"/>
  <c r="J15" i="9" s="1"/>
  <c r="H18" i="9"/>
  <c r="P14" i="9" s="1"/>
  <c r="G18" i="9"/>
  <c r="D18" i="9"/>
  <c r="L14" i="9" s="1"/>
  <c r="C18" i="9"/>
  <c r="K14" i="9" s="1"/>
  <c r="B18" i="9"/>
  <c r="J14" i="9" s="1"/>
  <c r="H10" i="9"/>
  <c r="H11" i="9"/>
  <c r="P11" i="9" s="1"/>
  <c r="H9" i="9"/>
  <c r="P9" i="9" s="1"/>
  <c r="G10" i="9"/>
  <c r="G11" i="9"/>
  <c r="G9" i="9"/>
  <c r="O9" i="9" s="1"/>
  <c r="E10" i="9"/>
  <c r="M12" i="9" s="1"/>
  <c r="E11" i="9"/>
  <c r="M11" i="9" s="1"/>
  <c r="E9" i="9"/>
  <c r="M9" i="9" s="1"/>
  <c r="D10" i="9"/>
  <c r="D11" i="9"/>
  <c r="D9" i="9"/>
  <c r="B10" i="9"/>
  <c r="J10" i="9" s="1"/>
  <c r="B11" i="9"/>
  <c r="J13" i="9" s="1"/>
  <c r="B9" i="9"/>
  <c r="J9" i="9" s="1"/>
  <c r="C10" i="9"/>
  <c r="K12" i="9" s="1"/>
  <c r="C11" i="9"/>
  <c r="C9" i="9"/>
  <c r="K9" i="9" s="1"/>
  <c r="N15" i="9"/>
  <c r="L15" i="9"/>
  <c r="O14" i="9"/>
  <c r="N14" i="9"/>
  <c r="N13" i="9"/>
  <c r="L13" i="9"/>
  <c r="P12" i="9"/>
  <c r="N12" i="9"/>
  <c r="J12" i="9"/>
  <c r="N11" i="9"/>
  <c r="M13" i="9"/>
  <c r="L11" i="9"/>
  <c r="K13" i="9"/>
  <c r="P10" i="9"/>
  <c r="N10" i="9"/>
  <c r="K10" i="9"/>
  <c r="L12" i="9"/>
  <c r="N9" i="9"/>
  <c r="L9" i="9"/>
  <c r="J11" i="9" l="1"/>
  <c r="O12" i="9"/>
  <c r="O10" i="9"/>
  <c r="P13" i="9"/>
  <c r="L10" i="9"/>
  <c r="K11" i="9"/>
  <c r="M10" i="9"/>
  <c r="B3" i="7"/>
  <c r="B4" i="7"/>
  <c r="B5" i="7"/>
  <c r="B6" i="7"/>
  <c r="B7" i="7"/>
  <c r="B8" i="7"/>
  <c r="B9" i="7"/>
  <c r="B10" i="7"/>
  <c r="B11" i="7"/>
  <c r="B12" i="7"/>
  <c r="B13" i="7"/>
  <c r="B14" i="7"/>
  <c r="B15" i="7"/>
  <c r="B16" i="7"/>
  <c r="B17" i="7"/>
  <c r="B18" i="7"/>
  <c r="B19" i="7"/>
  <c r="B20" i="7"/>
  <c r="B21" i="7"/>
  <c r="B22" i="7"/>
  <c r="B23" i="7"/>
  <c r="B24" i="7"/>
  <c r="B25" i="7"/>
  <c r="B26" i="7"/>
  <c r="B27" i="7"/>
  <c r="B28" i="7"/>
  <c r="B29" i="7"/>
  <c r="B30" i="7"/>
  <c r="B31" i="7"/>
  <c r="B32" i="7"/>
  <c r="B33" i="7"/>
  <c r="B34" i="7"/>
  <c r="B35" i="7"/>
  <c r="B36" i="7"/>
  <c r="B37" i="7"/>
  <c r="B38" i="7"/>
  <c r="B39" i="7"/>
  <c r="B40" i="7"/>
  <c r="B41" i="7"/>
  <c r="B42" i="7"/>
  <c r="B43" i="7"/>
  <c r="B44" i="7"/>
  <c r="B45" i="7"/>
  <c r="B46" i="7"/>
  <c r="B47" i="7"/>
  <c r="B48" i="7"/>
  <c r="B49" i="7"/>
  <c r="B50" i="7"/>
  <c r="B51" i="7"/>
  <c r="B52" i="7"/>
  <c r="B53" i="7"/>
  <c r="B54" i="7"/>
  <c r="B55" i="7"/>
  <c r="B56" i="7"/>
  <c r="B57" i="7"/>
  <c r="B58" i="7"/>
  <c r="B59" i="7"/>
  <c r="B60" i="7"/>
  <c r="B61" i="7"/>
  <c r="B62" i="7"/>
  <c r="B63" i="7"/>
  <c r="B64" i="7"/>
  <c r="B65" i="7"/>
  <c r="B66" i="7"/>
  <c r="B67" i="7"/>
  <c r="B68" i="7"/>
  <c r="B69" i="7"/>
  <c r="B70" i="7"/>
  <c r="B71" i="7"/>
  <c r="B72" i="7"/>
  <c r="B73" i="7"/>
  <c r="B74" i="7"/>
  <c r="B75" i="7"/>
  <c r="B76" i="7"/>
  <c r="B77" i="7"/>
  <c r="B78" i="7"/>
  <c r="B79" i="7"/>
  <c r="B80" i="7"/>
  <c r="B81" i="7"/>
  <c r="B82" i="7"/>
  <c r="B83" i="7"/>
  <c r="B84" i="7"/>
  <c r="B85" i="7"/>
  <c r="B86" i="7"/>
  <c r="B87" i="7"/>
  <c r="B88" i="7"/>
  <c r="B89" i="7"/>
  <c r="B90" i="7"/>
  <c r="B91" i="7"/>
  <c r="B92" i="7"/>
  <c r="B93" i="7"/>
  <c r="B94" i="7"/>
  <c r="B95" i="7"/>
  <c r="B96" i="7"/>
  <c r="B97" i="7"/>
  <c r="B98" i="7"/>
  <c r="B99" i="7"/>
  <c r="B100" i="7"/>
  <c r="B101" i="7"/>
  <c r="B102" i="7"/>
  <c r="B103" i="7"/>
  <c r="B104" i="7"/>
  <c r="B105" i="7"/>
  <c r="B106" i="7"/>
  <c r="B107" i="7"/>
  <c r="B108" i="7"/>
  <c r="B109" i="7"/>
  <c r="B110" i="7"/>
  <c r="B111" i="7"/>
  <c r="B112" i="7"/>
  <c r="B113" i="7"/>
  <c r="B2" i="7"/>
  <c r="AB6" i="5"/>
  <c r="AB85" i="5"/>
  <c r="O19" i="3"/>
  <c r="P19" i="3" s="1"/>
  <c r="O20" i="3"/>
  <c r="P20" i="3" s="1"/>
  <c r="O18" i="3"/>
  <c r="P18" i="3" s="1"/>
  <c r="O27" i="3"/>
  <c r="P27" i="3" s="1"/>
  <c r="O26" i="3"/>
  <c r="P26" i="3" s="1"/>
  <c r="O25" i="3"/>
  <c r="P25" i="3" s="1"/>
  <c r="L26" i="3"/>
  <c r="L27" i="3"/>
  <c r="L25" i="3"/>
  <c r="F27" i="3"/>
  <c r="F26" i="3"/>
  <c r="F25" i="3"/>
  <c r="F19" i="3"/>
  <c r="F20" i="3"/>
  <c r="F18" i="3"/>
  <c r="E26" i="3"/>
  <c r="E27" i="3"/>
  <c r="K27" i="3" s="1"/>
  <c r="E25" i="3"/>
  <c r="E19" i="3"/>
  <c r="K19" i="3" s="1"/>
  <c r="E20" i="3"/>
  <c r="E18" i="3"/>
  <c r="K18" i="3" s="1"/>
  <c r="O13" i="9" l="1"/>
  <c r="O11" i="9"/>
  <c r="G27" i="3"/>
  <c r="J27" i="3" s="1"/>
  <c r="K26" i="3"/>
  <c r="G25" i="3"/>
  <c r="J25" i="3" s="1"/>
  <c r="K25" i="3"/>
  <c r="G26" i="3"/>
  <c r="J26" i="3" s="1"/>
  <c r="G19" i="3"/>
  <c r="J19" i="3" s="1"/>
  <c r="G20" i="3"/>
  <c r="J20" i="3" s="1"/>
  <c r="K20" i="3"/>
  <c r="G18" i="3"/>
  <c r="J18" i="3" s="1"/>
  <c r="K43" i="10"/>
  <c r="AE64" i="5"/>
  <c r="K60" i="10" s="1"/>
  <c r="AE65" i="5"/>
  <c r="K61" i="10" s="1"/>
  <c r="K42" i="10"/>
  <c r="C122" i="5" l="1"/>
  <c r="D122" i="5"/>
  <c r="E122" i="5"/>
  <c r="C114" i="10"/>
  <c r="B114" i="10" s="1"/>
  <c r="N122" i="5"/>
  <c r="AB122" i="5"/>
  <c r="AE122" i="5"/>
  <c r="K114" i="10" s="1"/>
  <c r="AF122" i="5"/>
  <c r="C121" i="5"/>
  <c r="D121" i="5"/>
  <c r="E121" i="5"/>
  <c r="C113" i="10"/>
  <c r="B113" i="10" s="1"/>
  <c r="N121" i="5"/>
  <c r="AB121" i="5"/>
  <c r="AE121" i="5"/>
  <c r="K113" i="10" s="1"/>
  <c r="C110" i="10"/>
  <c r="C119" i="5"/>
  <c r="D119" i="5"/>
  <c r="E119" i="5"/>
  <c r="C111" i="10"/>
  <c r="B111" i="10" s="1"/>
  <c r="N119" i="5"/>
  <c r="AB119" i="5"/>
  <c r="AE119" i="5"/>
  <c r="C120" i="5"/>
  <c r="D120" i="5"/>
  <c r="E120" i="5"/>
  <c r="C112" i="10"/>
  <c r="N120" i="5"/>
  <c r="C107" i="10"/>
  <c r="C108" i="10"/>
  <c r="C109" i="10"/>
  <c r="C91" i="5"/>
  <c r="D91" i="5"/>
  <c r="E91" i="5"/>
  <c r="C85" i="10"/>
  <c r="B85" i="10" s="1"/>
  <c r="N91" i="5"/>
  <c r="AB91" i="5"/>
  <c r="C92" i="5"/>
  <c r="D92" i="5"/>
  <c r="E92" i="5"/>
  <c r="C86" i="10"/>
  <c r="N92" i="5"/>
  <c r="AB92" i="5"/>
  <c r="AE92" i="5"/>
  <c r="K86" i="10" s="1"/>
  <c r="C87" i="10"/>
  <c r="K87" i="10"/>
  <c r="C88" i="10"/>
  <c r="C89" i="10"/>
  <c r="C90" i="10"/>
  <c r="K90" i="10"/>
  <c r="C91" i="10"/>
  <c r="K91" i="10"/>
  <c r="C92" i="10"/>
  <c r="C93" i="10"/>
  <c r="C94" i="10"/>
  <c r="K94" i="10"/>
  <c r="C95" i="10"/>
  <c r="C96" i="10"/>
  <c r="C97" i="10"/>
  <c r="K97" i="10"/>
  <c r="C98" i="10"/>
  <c r="K98" i="10"/>
  <c r="C99" i="10"/>
  <c r="C107" i="5"/>
  <c r="D107" i="5"/>
  <c r="E107" i="5"/>
  <c r="C100" i="10"/>
  <c r="B100" i="10" s="1"/>
  <c r="N107" i="5"/>
  <c r="AB107" i="5"/>
  <c r="C108" i="5"/>
  <c r="D108" i="5"/>
  <c r="E108" i="5"/>
  <c r="C101" i="10"/>
  <c r="B101" i="10" s="1"/>
  <c r="N108" i="5"/>
  <c r="AB108" i="5"/>
  <c r="C109" i="5"/>
  <c r="D109" i="5"/>
  <c r="E109" i="5"/>
  <c r="C102" i="10"/>
  <c r="B102" i="10" s="1"/>
  <c r="N109" i="5"/>
  <c r="AB109" i="5"/>
  <c r="AE109" i="5"/>
  <c r="C110" i="5"/>
  <c r="D110" i="5"/>
  <c r="E110" i="5"/>
  <c r="C103" i="10"/>
  <c r="N110" i="5"/>
  <c r="C111" i="5"/>
  <c r="D111" i="5"/>
  <c r="E111" i="5"/>
  <c r="C104" i="10"/>
  <c r="N111" i="5"/>
  <c r="C112" i="5"/>
  <c r="D112" i="5"/>
  <c r="E112" i="5"/>
  <c r="C105" i="10"/>
  <c r="B105" i="10" s="1"/>
  <c r="N112" i="5"/>
  <c r="AB112" i="5"/>
  <c r="AE112" i="5"/>
  <c r="K105" i="10" s="1"/>
  <c r="C113" i="5"/>
  <c r="D113" i="5"/>
  <c r="E113" i="5"/>
  <c r="C106" i="10"/>
  <c r="N113" i="5"/>
  <c r="AB113" i="5"/>
  <c r="AE113" i="5"/>
  <c r="K106" i="10" s="1"/>
  <c r="A26" i="4"/>
  <c r="A27" i="4" s="1"/>
  <c r="A29" i="4" s="1"/>
  <c r="A30" i="4" s="1"/>
  <c r="A31" i="4" s="1"/>
  <c r="A33" i="4" s="1"/>
  <c r="A34" i="4" s="1"/>
  <c r="A35" i="4" s="1"/>
  <c r="A36" i="4" s="1"/>
  <c r="A37" i="4" s="1"/>
  <c r="A38" i="4" s="1"/>
  <c r="A39" i="4" s="1"/>
  <c r="A40" i="4" s="1"/>
  <c r="A41" i="4" s="1"/>
  <c r="A42" i="4" s="1"/>
  <c r="A44" i="4" s="1"/>
  <c r="A45" i="4" s="1"/>
  <c r="A47" i="4" s="1"/>
  <c r="A49" i="4" s="1"/>
  <c r="A51" i="4" s="1"/>
  <c r="A53" i="4" s="1"/>
  <c r="A54" i="4" s="1"/>
  <c r="A56" i="4" s="1"/>
  <c r="B88" i="4"/>
  <c r="B104" i="4"/>
  <c r="B105" i="4"/>
  <c r="B106" i="4"/>
  <c r="B109" i="4"/>
  <c r="B116" i="4"/>
  <c r="B118" i="4"/>
  <c r="A60" i="4" l="1"/>
  <c r="A61" i="4" s="1"/>
  <c r="A62" i="4" s="1"/>
  <c r="A65" i="4" s="1"/>
  <c r="A67" i="4" s="1"/>
  <c r="A68" i="4" s="1"/>
  <c r="A70" i="4" s="1"/>
  <c r="A71" i="4" s="1"/>
  <c r="A72" i="4" s="1"/>
  <c r="A73" i="4" s="1"/>
  <c r="A74" i="4" s="1"/>
  <c r="A76" i="4" s="1"/>
  <c r="A77" i="4" s="1"/>
  <c r="A79" i="4" s="1"/>
  <c r="A80" i="4" s="1"/>
  <c r="A81" i="4" s="1"/>
  <c r="A83" i="4" s="1"/>
  <c r="A84" i="4" s="1"/>
  <c r="A85" i="4" s="1"/>
  <c r="A89" i="4" s="1"/>
  <c r="A90" i="4" s="1"/>
  <c r="A91" i="4" s="1"/>
  <c r="A92" i="4" s="1"/>
  <c r="A93" i="4" s="1"/>
  <c r="A94" i="4" s="1"/>
  <c r="A95" i="4" s="1"/>
  <c r="A96" i="4" s="1"/>
  <c r="A97" i="4" s="1"/>
  <c r="A98" i="4" s="1"/>
  <c r="A100" i="4" s="1"/>
  <c r="A101" i="4" s="1"/>
  <c r="A102" i="4" s="1"/>
  <c r="A103" i="4" s="1"/>
  <c r="A107" i="4" s="1"/>
  <c r="A108" i="4" s="1"/>
  <c r="A110" i="4" s="1"/>
  <c r="A111" i="4" s="1"/>
  <c r="A112" i="4" s="1"/>
  <c r="A114" i="4" s="1"/>
  <c r="A115" i="4" s="1"/>
  <c r="A117" i="4" s="1"/>
  <c r="A119" i="4" s="1"/>
  <c r="A59" i="4"/>
  <c r="AF119" i="5"/>
  <c r="K111" i="10"/>
  <c r="T118" i="4"/>
  <c r="U118" i="4"/>
  <c r="T109" i="4"/>
  <c r="U109" i="4"/>
  <c r="B109" i="5"/>
  <c r="A102" i="10" s="1"/>
  <c r="J102" i="10" s="1"/>
  <c r="T106" i="4"/>
  <c r="U106" i="4"/>
  <c r="B119" i="5"/>
  <c r="A111" i="10" s="1"/>
  <c r="Q111" i="10" s="1"/>
  <c r="U116" i="4"/>
  <c r="T116" i="4"/>
  <c r="T104" i="4"/>
  <c r="U104" i="4"/>
  <c r="B108" i="5"/>
  <c r="A101" i="10" s="1"/>
  <c r="Q101" i="10" s="1"/>
  <c r="T105" i="4"/>
  <c r="U105" i="4"/>
  <c r="T88" i="4"/>
  <c r="U88" i="4"/>
  <c r="B121" i="5"/>
  <c r="A113" i="10" s="1"/>
  <c r="Q113" i="10" s="1"/>
  <c r="K99" i="10"/>
  <c r="AF109" i="5"/>
  <c r="K102" i="10"/>
  <c r="K95" i="10"/>
  <c r="K88" i="10"/>
  <c r="K107" i="10"/>
  <c r="K96" i="10"/>
  <c r="K89" i="10"/>
  <c r="AG113" i="5"/>
  <c r="AF113" i="5"/>
  <c r="AF112" i="5"/>
  <c r="K93" i="10"/>
  <c r="K92" i="10"/>
  <c r="B92" i="10"/>
  <c r="B91" i="5"/>
  <c r="A85" i="10" s="1"/>
  <c r="J85" i="10" s="1"/>
  <c r="B112" i="5"/>
  <c r="A105" i="10" s="1"/>
  <c r="J105" i="10" s="1"/>
  <c r="B107" i="5"/>
  <c r="A100" i="10" s="1"/>
  <c r="J100" i="10" s="1"/>
  <c r="B104" i="10"/>
  <c r="B97" i="10"/>
  <c r="B96" i="10"/>
  <c r="B90" i="10"/>
  <c r="B89" i="10"/>
  <c r="B108" i="10"/>
  <c r="B107" i="10"/>
  <c r="B110" i="10"/>
  <c r="B103" i="10"/>
  <c r="B98" i="10"/>
  <c r="B93" i="10"/>
  <c r="B91" i="10"/>
  <c r="B109" i="10"/>
  <c r="B112" i="10"/>
  <c r="B106" i="10"/>
  <c r="Q100" i="10"/>
  <c r="B99" i="10"/>
  <c r="B94" i="10"/>
  <c r="B86" i="10"/>
  <c r="B95" i="10"/>
  <c r="B88" i="10"/>
  <c r="B87" i="10"/>
  <c r="AG122" i="5"/>
  <c r="AF121" i="5"/>
  <c r="AG121" i="5"/>
  <c r="AG119" i="5"/>
  <c r="AG109" i="5"/>
  <c r="AF92" i="5"/>
  <c r="AG92" i="5"/>
  <c r="AG112" i="5"/>
  <c r="AE53" i="5"/>
  <c r="AE55" i="5"/>
  <c r="K51" i="10" s="1"/>
  <c r="AE56" i="5"/>
  <c r="AE60" i="5"/>
  <c r="AE61" i="5"/>
  <c r="AE62" i="5"/>
  <c r="AE63" i="5"/>
  <c r="K59" i="10" s="1"/>
  <c r="AE68" i="5"/>
  <c r="K64" i="10" s="1"/>
  <c r="AE69" i="5"/>
  <c r="AE74" i="5"/>
  <c r="AE75" i="5"/>
  <c r="K71" i="10" s="1"/>
  <c r="K72" i="10"/>
  <c r="K73" i="10"/>
  <c r="K74" i="10"/>
  <c r="K75" i="10"/>
  <c r="AE81" i="5"/>
  <c r="AE86" i="5"/>
  <c r="K81" i="10" s="1"/>
  <c r="AE87" i="5"/>
  <c r="K82" i="10" s="1"/>
  <c r="K83" i="10"/>
  <c r="K40" i="10"/>
  <c r="K35" i="10"/>
  <c r="K5" i="10"/>
  <c r="AE7" i="5"/>
  <c r="K6" i="10" s="1"/>
  <c r="AE8" i="5"/>
  <c r="K7" i="10" s="1"/>
  <c r="AB53" i="5"/>
  <c r="AB55" i="5"/>
  <c r="AB56" i="5"/>
  <c r="AB60" i="5"/>
  <c r="AB61" i="5"/>
  <c r="AB62" i="5"/>
  <c r="AB63" i="5"/>
  <c r="AB64" i="5"/>
  <c r="AB65" i="5"/>
  <c r="AB68" i="5"/>
  <c r="AB69" i="5"/>
  <c r="AB74" i="5"/>
  <c r="AB75" i="5"/>
  <c r="AB81" i="5"/>
  <c r="AB86" i="5"/>
  <c r="AB87" i="5"/>
  <c r="AB7" i="5"/>
  <c r="AB8" i="5"/>
  <c r="AB9" i="5"/>
  <c r="AE9" i="5"/>
  <c r="K8" i="10" s="1"/>
  <c r="AB10" i="5"/>
  <c r="AE10" i="5"/>
  <c r="K9" i="10" s="1"/>
  <c r="AB11" i="5"/>
  <c r="AF11" i="5"/>
  <c r="AG11" i="5"/>
  <c r="AB12" i="5"/>
  <c r="AE12" i="5"/>
  <c r="K11" i="10" s="1"/>
  <c r="AB13" i="5"/>
  <c r="AE13" i="5"/>
  <c r="K12" i="10" s="1"/>
  <c r="AB14" i="5"/>
  <c r="AE14" i="5"/>
  <c r="K13" i="10" s="1"/>
  <c r="AB15" i="5"/>
  <c r="AE15" i="5"/>
  <c r="K14" i="10" s="1"/>
  <c r="AB16" i="5"/>
  <c r="AE16" i="5"/>
  <c r="K15" i="10" s="1"/>
  <c r="AB17" i="5"/>
  <c r="AE17" i="5"/>
  <c r="K16" i="10" s="1"/>
  <c r="K17" i="10"/>
  <c r="K18" i="10"/>
  <c r="K19" i="10"/>
  <c r="K20" i="10"/>
  <c r="K21" i="10"/>
  <c r="K22" i="10"/>
  <c r="K23" i="10"/>
  <c r="K24" i="10"/>
  <c r="AB31" i="5"/>
  <c r="AB32" i="5"/>
  <c r="AB33" i="5"/>
  <c r="AE33" i="5"/>
  <c r="AB34" i="5"/>
  <c r="AF34" i="5"/>
  <c r="AG34" i="5"/>
  <c r="K36" i="10"/>
  <c r="K39" i="10"/>
  <c r="K41" i="10"/>
  <c r="AB49" i="5"/>
  <c r="AE49" i="5"/>
  <c r="AB50" i="5"/>
  <c r="AE50" i="5"/>
  <c r="AG50" i="5" s="1"/>
  <c r="AB66" i="5"/>
  <c r="AB67" i="5"/>
  <c r="AB90" i="5"/>
  <c r="N53" i="5"/>
  <c r="N54" i="5"/>
  <c r="N55" i="5"/>
  <c r="N56" i="5"/>
  <c r="N60" i="5"/>
  <c r="N61" i="5"/>
  <c r="N62" i="5"/>
  <c r="N63" i="5"/>
  <c r="N64" i="5"/>
  <c r="N65" i="5"/>
  <c r="N66" i="5"/>
  <c r="N67" i="5"/>
  <c r="N68" i="5"/>
  <c r="N69" i="5"/>
  <c r="N70" i="5"/>
  <c r="N71" i="5"/>
  <c r="N72" i="5"/>
  <c r="N73" i="5"/>
  <c r="N74" i="5"/>
  <c r="N75" i="5"/>
  <c r="N81" i="5"/>
  <c r="N82" i="5"/>
  <c r="N83" i="5"/>
  <c r="N84" i="5"/>
  <c r="N85" i="5"/>
  <c r="N86" i="5"/>
  <c r="N87" i="5"/>
  <c r="N90" i="5"/>
  <c r="C47" i="5"/>
  <c r="D47" i="5"/>
  <c r="E47" i="5"/>
  <c r="C48" i="5"/>
  <c r="D48" i="5"/>
  <c r="E48" i="5"/>
  <c r="C49" i="5"/>
  <c r="D49" i="5"/>
  <c r="E49" i="5"/>
  <c r="C50" i="5"/>
  <c r="D50" i="5"/>
  <c r="E50" i="5"/>
  <c r="C53" i="5"/>
  <c r="D53" i="5"/>
  <c r="E53" i="5"/>
  <c r="C54" i="5"/>
  <c r="D54" i="5"/>
  <c r="E54" i="5"/>
  <c r="C55" i="5"/>
  <c r="D55" i="5"/>
  <c r="E55" i="5"/>
  <c r="C56" i="5"/>
  <c r="D56" i="5"/>
  <c r="E56" i="5"/>
  <c r="C60" i="5"/>
  <c r="D60" i="5"/>
  <c r="E60" i="5"/>
  <c r="C61" i="5"/>
  <c r="D61" i="5"/>
  <c r="E61" i="5"/>
  <c r="C62" i="5"/>
  <c r="D62" i="5"/>
  <c r="E62" i="5"/>
  <c r="C63" i="5"/>
  <c r="D63" i="5"/>
  <c r="E63" i="5"/>
  <c r="C64" i="5"/>
  <c r="D64" i="5"/>
  <c r="E64" i="5"/>
  <c r="C65" i="5"/>
  <c r="D65" i="5"/>
  <c r="E65" i="5"/>
  <c r="C66" i="5"/>
  <c r="D66" i="5"/>
  <c r="E66" i="5"/>
  <c r="C67" i="5"/>
  <c r="D67" i="5"/>
  <c r="E67" i="5"/>
  <c r="C68" i="5"/>
  <c r="D68" i="5"/>
  <c r="E68" i="5"/>
  <c r="C69" i="5"/>
  <c r="D69" i="5"/>
  <c r="E69" i="5"/>
  <c r="C70" i="5"/>
  <c r="D70" i="5"/>
  <c r="E70" i="5"/>
  <c r="C71" i="5"/>
  <c r="D71" i="5"/>
  <c r="E71" i="5"/>
  <c r="C81" i="5"/>
  <c r="D81" i="5"/>
  <c r="E81" i="5"/>
  <c r="C82" i="5"/>
  <c r="D82" i="5"/>
  <c r="E82" i="5"/>
  <c r="C83" i="5"/>
  <c r="D83" i="5"/>
  <c r="E83" i="5"/>
  <c r="C84" i="5"/>
  <c r="D84" i="5"/>
  <c r="E84" i="5"/>
  <c r="C85" i="5"/>
  <c r="D85" i="5"/>
  <c r="E85" i="5"/>
  <c r="C86" i="5"/>
  <c r="D86" i="5"/>
  <c r="E86" i="5"/>
  <c r="C87" i="5"/>
  <c r="D87" i="5"/>
  <c r="E87" i="5"/>
  <c r="C90" i="5"/>
  <c r="D90" i="5"/>
  <c r="E90" i="5"/>
  <c r="C84" i="10"/>
  <c r="B84" i="10" s="1"/>
  <c r="F54" i="5"/>
  <c r="C50" i="10" s="1"/>
  <c r="B50" i="10" s="1"/>
  <c r="F56" i="5"/>
  <c r="C52" i="10" s="1"/>
  <c r="C54" i="10"/>
  <c r="C56" i="10"/>
  <c r="C58" i="10"/>
  <c r="C60" i="10"/>
  <c r="C62" i="10"/>
  <c r="B62" i="10" s="1"/>
  <c r="C64" i="10"/>
  <c r="C66" i="10"/>
  <c r="C68" i="10"/>
  <c r="C70" i="10"/>
  <c r="B70" i="10" s="1"/>
  <c r="C72" i="10"/>
  <c r="C74" i="10"/>
  <c r="B74" i="10" s="1"/>
  <c r="C76" i="10"/>
  <c r="B76" i="10" s="1"/>
  <c r="C78" i="10"/>
  <c r="C80" i="10"/>
  <c r="B80" i="10" s="1"/>
  <c r="C82" i="10"/>
  <c r="B79" i="4"/>
  <c r="B26" i="4"/>
  <c r="B34" i="4"/>
  <c r="B36" i="4"/>
  <c r="B41" i="4"/>
  <c r="B42" i="4"/>
  <c r="B43" i="4"/>
  <c r="B44" i="4"/>
  <c r="B46" i="4"/>
  <c r="B54" i="4"/>
  <c r="B57" i="4"/>
  <c r="B2" i="4"/>
  <c r="J111" i="10" l="1"/>
  <c r="B90" i="4"/>
  <c r="U90" i="4" s="1"/>
  <c r="B62" i="4"/>
  <c r="B65" i="5" s="1"/>
  <c r="A61" i="10" s="1"/>
  <c r="J61" i="10" s="1"/>
  <c r="B85" i="4"/>
  <c r="B88" i="5" s="1"/>
  <c r="A83" i="10" s="1"/>
  <c r="J83" i="10" s="1"/>
  <c r="O83" i="10" s="1"/>
  <c r="S83" i="10" s="1"/>
  <c r="B61" i="4"/>
  <c r="B81" i="4"/>
  <c r="B84" i="5" s="1"/>
  <c r="A79" i="10" s="1"/>
  <c r="J79" i="10" s="1"/>
  <c r="N79" i="10" s="1"/>
  <c r="Q102" i="10"/>
  <c r="H102" i="10" s="1"/>
  <c r="J101" i="10"/>
  <c r="AF12" i="5"/>
  <c r="J113" i="10"/>
  <c r="AG10" i="5"/>
  <c r="AG9" i="5"/>
  <c r="B82" i="10"/>
  <c r="B66" i="10"/>
  <c r="B58" i="10"/>
  <c r="AF10" i="5"/>
  <c r="AF9" i="5"/>
  <c r="U26" i="4"/>
  <c r="T26" i="4"/>
  <c r="U85" i="4"/>
  <c r="T54" i="4"/>
  <c r="B57" i="5"/>
  <c r="A53" i="10" s="1"/>
  <c r="J53" i="10" s="1"/>
  <c r="N53" i="10" s="1"/>
  <c r="U54" i="4"/>
  <c r="U62" i="4"/>
  <c r="U46" i="4"/>
  <c r="T46" i="4"/>
  <c r="U41" i="4"/>
  <c r="B44" i="5"/>
  <c r="A41" i="10" s="1"/>
  <c r="J41" i="10" s="1"/>
  <c r="N41" i="10" s="1"/>
  <c r="T41" i="4"/>
  <c r="T61" i="4"/>
  <c r="U61" i="4"/>
  <c r="T44" i="4"/>
  <c r="U44" i="4"/>
  <c r="B39" i="5"/>
  <c r="T36" i="4"/>
  <c r="U36" i="4"/>
  <c r="B93" i="5"/>
  <c r="A87" i="10" s="1"/>
  <c r="U42" i="4"/>
  <c r="B45" i="5"/>
  <c r="A42" i="10" s="1"/>
  <c r="J42" i="10" s="1"/>
  <c r="O42" i="10" s="1"/>
  <c r="S42" i="10" s="1"/>
  <c r="T42" i="4"/>
  <c r="U57" i="4"/>
  <c r="T57" i="4"/>
  <c r="T43" i="4"/>
  <c r="B46" i="5"/>
  <c r="A43" i="10" s="1"/>
  <c r="J43" i="10" s="1"/>
  <c r="P43" i="10" s="1"/>
  <c r="Q43" i="10" s="1"/>
  <c r="U43" i="4"/>
  <c r="U34" i="4"/>
  <c r="B37" i="5"/>
  <c r="T34" i="4"/>
  <c r="T79" i="4"/>
  <c r="U79" i="4"/>
  <c r="B78" i="10"/>
  <c r="B54" i="10"/>
  <c r="AF87" i="5"/>
  <c r="AF86" i="5"/>
  <c r="AG86" i="5"/>
  <c r="AG87" i="5"/>
  <c r="Q85" i="10"/>
  <c r="R85" i="10" s="1"/>
  <c r="AF55" i="5"/>
  <c r="Q105" i="10"/>
  <c r="H105" i="10" s="1"/>
  <c r="AG55" i="5"/>
  <c r="B68" i="10"/>
  <c r="B60" i="10"/>
  <c r="B52" i="10"/>
  <c r="B47" i="5"/>
  <c r="A44" i="10" s="1"/>
  <c r="J44" i="10" s="1"/>
  <c r="B64" i="5"/>
  <c r="A60" i="10" s="1"/>
  <c r="J60" i="10" s="1"/>
  <c r="N60" i="10" s="1"/>
  <c r="B49" i="5"/>
  <c r="A46" i="10" s="1"/>
  <c r="Q46" i="10" s="1"/>
  <c r="H46" i="10" s="1"/>
  <c r="B72" i="10"/>
  <c r="B64" i="10"/>
  <c r="B56" i="10"/>
  <c r="K48" i="10"/>
  <c r="K38" i="10"/>
  <c r="K54" i="10"/>
  <c r="AG53" i="5"/>
  <c r="K49" i="10"/>
  <c r="R113" i="10"/>
  <c r="H113" i="10"/>
  <c r="AF49" i="5"/>
  <c r="K46" i="10"/>
  <c r="K25" i="10"/>
  <c r="AG74" i="5"/>
  <c r="K70" i="10"/>
  <c r="AG62" i="5"/>
  <c r="K58" i="10"/>
  <c r="K53" i="10"/>
  <c r="AF75" i="5"/>
  <c r="AG75" i="5"/>
  <c r="H111" i="10"/>
  <c r="R111" i="10"/>
  <c r="H101" i="10"/>
  <c r="I101" i="10" s="1"/>
  <c r="R101" i="10"/>
  <c r="H100" i="10"/>
  <c r="I100" i="10" s="1"/>
  <c r="R100" i="10"/>
  <c r="AF50" i="5"/>
  <c r="K47" i="10"/>
  <c r="K37" i="10"/>
  <c r="AG15" i="5"/>
  <c r="AG14" i="5"/>
  <c r="AF69" i="5"/>
  <c r="K65" i="10"/>
  <c r="AG61" i="5"/>
  <c r="K57" i="10"/>
  <c r="AG56" i="5"/>
  <c r="K52" i="10"/>
  <c r="AF68" i="5"/>
  <c r="AG68" i="5"/>
  <c r="K34" i="10"/>
  <c r="AF33" i="5"/>
  <c r="K31" i="10"/>
  <c r="K26" i="10"/>
  <c r="AF16" i="5"/>
  <c r="AF15" i="5"/>
  <c r="AF14" i="5"/>
  <c r="AG81" i="5"/>
  <c r="K76" i="10"/>
  <c r="AG60" i="5"/>
  <c r="K55" i="10"/>
  <c r="AF63" i="5"/>
  <c r="AG63" i="5"/>
  <c r="AF81" i="5"/>
  <c r="AF74" i="5"/>
  <c r="AG69" i="5"/>
  <c r="AF60" i="5"/>
  <c r="AF56" i="5"/>
  <c r="AF62" i="5"/>
  <c r="AG49" i="5"/>
  <c r="AF61" i="5"/>
  <c r="AF53" i="5"/>
  <c r="B92" i="4"/>
  <c r="B82" i="5"/>
  <c r="A77" i="10" s="1"/>
  <c r="J77" i="10" s="1"/>
  <c r="B60" i="5"/>
  <c r="A55" i="10" s="1"/>
  <c r="J55" i="10" s="1"/>
  <c r="C71" i="10"/>
  <c r="B71" i="10" s="1"/>
  <c r="C55" i="10"/>
  <c r="B55" i="10" s="1"/>
  <c r="F55" i="5"/>
  <c r="C51" i="10" s="1"/>
  <c r="B51" i="10" s="1"/>
  <c r="C77" i="10"/>
  <c r="B77" i="10" s="1"/>
  <c r="C81" i="10"/>
  <c r="B81" i="10" s="1"/>
  <c r="C75" i="10"/>
  <c r="B75" i="10" s="1"/>
  <c r="C59" i="10"/>
  <c r="B59" i="10" s="1"/>
  <c r="C69" i="10"/>
  <c r="B69" i="10" s="1"/>
  <c r="C61" i="10"/>
  <c r="B61" i="10" s="1"/>
  <c r="C83" i="10"/>
  <c r="B83" i="10" s="1"/>
  <c r="C67" i="10"/>
  <c r="B67" i="10" s="1"/>
  <c r="C53" i="10"/>
  <c r="B53" i="10" s="1"/>
  <c r="C38" i="10"/>
  <c r="B38" i="10" s="1"/>
  <c r="C73" i="10"/>
  <c r="B73" i="10" s="1"/>
  <c r="C65" i="10"/>
  <c r="B65" i="10" s="1"/>
  <c r="C57" i="10"/>
  <c r="B57" i="10" s="1"/>
  <c r="C79" i="10"/>
  <c r="B79" i="10" s="1"/>
  <c r="C63" i="10"/>
  <c r="B63" i="10" s="1"/>
  <c r="F53" i="5"/>
  <c r="C49" i="10" s="1"/>
  <c r="B49" i="10" s="1"/>
  <c r="AG17" i="5"/>
  <c r="AF17" i="5"/>
  <c r="AG13" i="5"/>
  <c r="AF13" i="5"/>
  <c r="AG33" i="5"/>
  <c r="AG8" i="5"/>
  <c r="AF8" i="5"/>
  <c r="AG16" i="5"/>
  <c r="AG12" i="5"/>
  <c r="T38" i="3"/>
  <c r="T33" i="3"/>
  <c r="R102" i="10" l="1"/>
  <c r="I102" i="10" s="1"/>
  <c r="T62" i="4"/>
  <c r="T85" i="4"/>
  <c r="U81" i="4"/>
  <c r="T90" i="4"/>
  <c r="T81" i="4"/>
  <c r="O60" i="10"/>
  <c r="S60" i="10" s="1"/>
  <c r="B95" i="5"/>
  <c r="A89" i="10" s="1"/>
  <c r="T92" i="4"/>
  <c r="U92" i="4"/>
  <c r="H85" i="10"/>
  <c r="I85" i="10" s="1"/>
  <c r="R105" i="10"/>
  <c r="I105" i="10" s="1"/>
  <c r="N83" i="10"/>
  <c r="J46" i="10"/>
  <c r="O46" i="10" s="1"/>
  <c r="S46" i="10" s="1"/>
  <c r="R46" i="10" s="1"/>
  <c r="I46" i="10" s="1"/>
  <c r="O53" i="10"/>
  <c r="S53" i="10" s="1"/>
  <c r="O79" i="10"/>
  <c r="S79" i="10" s="1"/>
  <c r="O41" i="10"/>
  <c r="S41" i="10" s="1"/>
  <c r="N42" i="10"/>
  <c r="I113" i="10"/>
  <c r="J87" i="10"/>
  <c r="Q87" i="10"/>
  <c r="P55" i="10"/>
  <c r="Q55" i="10" s="1"/>
  <c r="I111" i="10"/>
  <c r="O61" i="10"/>
  <c r="S61" i="10" s="1"/>
  <c r="N61" i="10"/>
  <c r="N77" i="10"/>
  <c r="O77" i="10"/>
  <c r="S77" i="10" s="1"/>
  <c r="R43" i="10"/>
  <c r="H43" i="10"/>
  <c r="P44" i="10"/>
  <c r="Q44" i="10" s="1"/>
  <c r="N44" i="10"/>
  <c r="O44" i="10"/>
  <c r="S44" i="10" s="1"/>
  <c r="B94" i="4"/>
  <c r="P46" i="10" l="1"/>
  <c r="B97" i="5"/>
  <c r="A91" i="10" s="1"/>
  <c r="T94" i="4"/>
  <c r="U94" i="4"/>
  <c r="N46" i="10"/>
  <c r="I43" i="10"/>
  <c r="R44" i="10"/>
  <c r="H44" i="10"/>
  <c r="Q89" i="10"/>
  <c r="J89" i="10"/>
  <c r="H55" i="10"/>
  <c r="R55" i="10"/>
  <c r="H87" i="10"/>
  <c r="R87" i="10"/>
  <c r="B96" i="4"/>
  <c r="J43" i="3"/>
  <c r="O44" i="3"/>
  <c r="F48" i="3"/>
  <c r="N38" i="3"/>
  <c r="M38" i="3"/>
  <c r="N44" i="3"/>
  <c r="S33" i="3"/>
  <c r="G48" i="3"/>
  <c r="C48" i="3"/>
  <c r="O48" i="3" s="1"/>
  <c r="R45" i="3" s="1"/>
  <c r="D44" i="3"/>
  <c r="B99" i="5" l="1"/>
  <c r="A93" i="10" s="1"/>
  <c r="T96" i="4"/>
  <c r="U96" i="4"/>
  <c r="I44" i="10"/>
  <c r="H89" i="10"/>
  <c r="R89" i="10"/>
  <c r="J91" i="10"/>
  <c r="Q91" i="10"/>
  <c r="I87" i="10"/>
  <c r="I55" i="10"/>
  <c r="B98" i="4"/>
  <c r="I44" i="3"/>
  <c r="J47" i="3"/>
  <c r="L48" i="3"/>
  <c r="K48" i="3"/>
  <c r="E44" i="3"/>
  <c r="D48" i="3"/>
  <c r="C13" i="3"/>
  <c r="O13" i="3" s="1"/>
  <c r="D13" i="3"/>
  <c r="F13" i="3" s="1"/>
  <c r="C8" i="3"/>
  <c r="D8" i="3"/>
  <c r="B101" i="5" l="1"/>
  <c r="A95" i="10" s="1"/>
  <c r="U98" i="4"/>
  <c r="T98" i="4"/>
  <c r="H91" i="10"/>
  <c r="R91" i="10"/>
  <c r="Q93" i="10"/>
  <c r="J93" i="10"/>
  <c r="I89" i="10"/>
  <c r="F8" i="3"/>
  <c r="B101" i="4"/>
  <c r="N48" i="3"/>
  <c r="I48" i="3" s="1"/>
  <c r="S38" i="3"/>
  <c r="U44" i="3"/>
  <c r="T44" i="3"/>
  <c r="S44" i="3"/>
  <c r="P13" i="3"/>
  <c r="M44" i="3"/>
  <c r="L44" i="3"/>
  <c r="K44" i="3"/>
  <c r="E48" i="3"/>
  <c r="M48" i="3" s="1"/>
  <c r="E13" i="3"/>
  <c r="K13" i="3" s="1"/>
  <c r="E8" i="3"/>
  <c r="T101" i="4" l="1"/>
  <c r="B104" i="5"/>
  <c r="U101" i="4"/>
  <c r="H93" i="10"/>
  <c r="R93" i="10"/>
  <c r="J95" i="10"/>
  <c r="Q95" i="10"/>
  <c r="I91" i="10"/>
  <c r="K8" i="3"/>
  <c r="A97" i="10"/>
  <c r="B103" i="4"/>
  <c r="H44" i="3"/>
  <c r="H48" i="3"/>
  <c r="D38" i="3"/>
  <c r="U38" i="3" s="1"/>
  <c r="E38" i="3"/>
  <c r="C38" i="3"/>
  <c r="C42" i="10"/>
  <c r="B42" i="10" s="1"/>
  <c r="C41" i="10"/>
  <c r="B41" i="10" s="1"/>
  <c r="C39" i="10"/>
  <c r="B39" i="10" s="1"/>
  <c r="F30" i="5"/>
  <c r="C28" i="10" s="1"/>
  <c r="F29" i="5"/>
  <c r="C27" i="10" s="1"/>
  <c r="C24" i="10"/>
  <c r="AB19" i="4"/>
  <c r="AB18" i="4"/>
  <c r="C19" i="10"/>
  <c r="AB17" i="4"/>
  <c r="AB16" i="4"/>
  <c r="AB14" i="4"/>
  <c r="AB12" i="4"/>
  <c r="F15" i="5"/>
  <c r="C14" i="10" s="1"/>
  <c r="AB11" i="4"/>
  <c r="F14" i="5"/>
  <c r="C13" i="10" s="1"/>
  <c r="AB10" i="4"/>
  <c r="AB9" i="4"/>
  <c r="AB7" i="4"/>
  <c r="F10" i="5"/>
  <c r="C9" i="10" s="1"/>
  <c r="F9" i="5"/>
  <c r="C8" i="10" s="1"/>
  <c r="AB4" i="4"/>
  <c r="S3" i="4"/>
  <c r="AB2" i="4"/>
  <c r="U2" i="4"/>
  <c r="T2" i="4"/>
  <c r="O2" i="4"/>
  <c r="J2" i="4"/>
  <c r="I2" i="4"/>
  <c r="N50" i="5"/>
  <c r="N49" i="5"/>
  <c r="N48" i="5"/>
  <c r="N47" i="5"/>
  <c r="N34" i="5"/>
  <c r="E34" i="5"/>
  <c r="D34" i="5"/>
  <c r="C34" i="5"/>
  <c r="N33" i="5"/>
  <c r="F33" i="5"/>
  <c r="C31" i="10" s="1"/>
  <c r="E33" i="5"/>
  <c r="D33" i="5"/>
  <c r="C33" i="5"/>
  <c r="N32" i="5"/>
  <c r="E32" i="5"/>
  <c r="D32" i="5"/>
  <c r="C32" i="5"/>
  <c r="N31" i="5"/>
  <c r="E31" i="5"/>
  <c r="D31" i="5"/>
  <c r="C31" i="5"/>
  <c r="N30" i="5"/>
  <c r="E30" i="5"/>
  <c r="D30" i="5"/>
  <c r="C30" i="5"/>
  <c r="N29" i="5"/>
  <c r="E29" i="5"/>
  <c r="D29" i="5"/>
  <c r="C29" i="5"/>
  <c r="B29" i="5"/>
  <c r="A27" i="10" s="1"/>
  <c r="J27" i="10" s="1"/>
  <c r="N17" i="5"/>
  <c r="E17" i="5"/>
  <c r="D17" i="5"/>
  <c r="C17" i="5"/>
  <c r="N16" i="5"/>
  <c r="E16" i="5"/>
  <c r="D16" i="5"/>
  <c r="C16" i="5"/>
  <c r="N15" i="5"/>
  <c r="E15" i="5"/>
  <c r="D15" i="5"/>
  <c r="C15" i="5"/>
  <c r="N14" i="5"/>
  <c r="E14" i="5"/>
  <c r="D14" i="5"/>
  <c r="C14" i="5"/>
  <c r="N13" i="5"/>
  <c r="E13" i="5"/>
  <c r="D13" i="5"/>
  <c r="C13" i="5"/>
  <c r="N12" i="5"/>
  <c r="E12" i="5"/>
  <c r="D12" i="5"/>
  <c r="C12" i="5"/>
  <c r="N11" i="5"/>
  <c r="E11" i="5"/>
  <c r="D11" i="5"/>
  <c r="C11" i="5"/>
  <c r="N10" i="5"/>
  <c r="E10" i="5"/>
  <c r="D10" i="5"/>
  <c r="C10" i="5"/>
  <c r="N9" i="5"/>
  <c r="E9" i="5"/>
  <c r="D9" i="5"/>
  <c r="C9" i="5"/>
  <c r="N8" i="5"/>
  <c r="E8" i="5"/>
  <c r="D8" i="5"/>
  <c r="C8" i="5"/>
  <c r="N7" i="5"/>
  <c r="E7" i="5"/>
  <c r="D7" i="5"/>
  <c r="C7" i="5"/>
  <c r="N6" i="5"/>
  <c r="E6" i="5"/>
  <c r="D6" i="5"/>
  <c r="C6" i="5"/>
  <c r="Z7" i="5"/>
  <c r="Z8" i="5" s="1"/>
  <c r="Z9" i="5" s="1"/>
  <c r="Z10" i="5" s="1"/>
  <c r="Z11" i="5" s="1"/>
  <c r="Z12" i="5" s="1"/>
  <c r="Z13" i="5" s="1"/>
  <c r="Z14" i="5" s="1"/>
  <c r="Z15" i="5" s="1"/>
  <c r="Z16" i="5" s="1"/>
  <c r="Z17" i="5" s="1"/>
  <c r="AE5" i="5"/>
  <c r="AB5" i="5"/>
  <c r="AM5" i="5" s="1"/>
  <c r="N5" i="5"/>
  <c r="I5" i="5"/>
  <c r="F3" i="10" s="1"/>
  <c r="H5" i="5"/>
  <c r="E3" i="10" s="1"/>
  <c r="G5" i="5"/>
  <c r="D3" i="10" s="1"/>
  <c r="F5" i="5"/>
  <c r="C3" i="10" s="1"/>
  <c r="B3" i="10" s="1"/>
  <c r="E5" i="5"/>
  <c r="D5" i="5"/>
  <c r="C5" i="5"/>
  <c r="B5" i="5"/>
  <c r="A3" i="10" s="1"/>
  <c r="J3" i="10" s="1"/>
  <c r="P3" i="10" s="1"/>
  <c r="Q3" i="10" s="1"/>
  <c r="W33" i="3"/>
  <c r="U33" i="3"/>
  <c r="F33" i="3"/>
  <c r="O8" i="3"/>
  <c r="P8" i="3" s="1"/>
  <c r="I13" i="3"/>
  <c r="H13" i="3"/>
  <c r="M3" i="4" l="1"/>
  <c r="L3" i="4" s="1"/>
  <c r="N3" i="4" s="1"/>
  <c r="AF5" i="5"/>
  <c r="K3" i="10"/>
  <c r="T103" i="4"/>
  <c r="U103" i="4"/>
  <c r="B106" i="5"/>
  <c r="Z31" i="5"/>
  <c r="Z32" i="5" s="1"/>
  <c r="Z33" i="5" s="1"/>
  <c r="Z34" i="5" s="1"/>
  <c r="Z18" i="5"/>
  <c r="Z19" i="5" s="1"/>
  <c r="Z20" i="5" s="1"/>
  <c r="Z21" i="5" s="1"/>
  <c r="Z22" i="5" s="1"/>
  <c r="Z23" i="5" s="1"/>
  <c r="Z24" i="5" s="1"/>
  <c r="Z25" i="5" s="1"/>
  <c r="Z26" i="5" s="1"/>
  <c r="Z27" i="5" s="1"/>
  <c r="Z28" i="5" s="1"/>
  <c r="B28" i="10"/>
  <c r="I93" i="10"/>
  <c r="B31" i="10"/>
  <c r="B14" i="10"/>
  <c r="B9" i="10"/>
  <c r="B13" i="10"/>
  <c r="H95" i="10"/>
  <c r="R95" i="10"/>
  <c r="H3" i="10"/>
  <c r="R3" i="10"/>
  <c r="B24" i="10"/>
  <c r="B19" i="10"/>
  <c r="B8" i="10"/>
  <c r="B27" i="10"/>
  <c r="Q97" i="10"/>
  <c r="J97" i="10"/>
  <c r="N27" i="10"/>
  <c r="O27" i="10"/>
  <c r="S27" i="10" s="1"/>
  <c r="K33" i="3"/>
  <c r="C22" i="9"/>
  <c r="K15" i="9" s="1"/>
  <c r="T30" i="5"/>
  <c r="U30" i="5"/>
  <c r="T54" i="5"/>
  <c r="U54" i="5"/>
  <c r="T6" i="5"/>
  <c r="U6" i="5"/>
  <c r="T73" i="5"/>
  <c r="U73" i="5"/>
  <c r="T55" i="5"/>
  <c r="U55" i="5"/>
  <c r="T17" i="5"/>
  <c r="U17" i="5"/>
  <c r="T71" i="5"/>
  <c r="U71" i="5"/>
  <c r="T53" i="5"/>
  <c r="U53" i="5"/>
  <c r="T9" i="5"/>
  <c r="U9" i="5"/>
  <c r="T11" i="5"/>
  <c r="U11" i="5"/>
  <c r="T109" i="5"/>
  <c r="U109" i="5"/>
  <c r="T112" i="5"/>
  <c r="U112" i="5"/>
  <c r="U111" i="5"/>
  <c r="T111" i="5"/>
  <c r="U72" i="5"/>
  <c r="T72" i="5"/>
  <c r="T10" i="5"/>
  <c r="U10" i="5"/>
  <c r="T60" i="5"/>
  <c r="U60" i="5"/>
  <c r="T62" i="5"/>
  <c r="U62" i="5"/>
  <c r="T8" i="5"/>
  <c r="U8" i="5"/>
  <c r="T75" i="5"/>
  <c r="U75" i="5"/>
  <c r="U49" i="5"/>
  <c r="T49" i="5"/>
  <c r="T32" i="5"/>
  <c r="U32" i="5"/>
  <c r="T15" i="5"/>
  <c r="U15" i="5"/>
  <c r="T83" i="5"/>
  <c r="U83" i="5"/>
  <c r="T64" i="5"/>
  <c r="U64" i="5"/>
  <c r="T113" i="5"/>
  <c r="U113" i="5"/>
  <c r="T121" i="5"/>
  <c r="U121" i="5"/>
  <c r="T92" i="5"/>
  <c r="U92" i="5"/>
  <c r="T13" i="5"/>
  <c r="U13" i="5"/>
  <c r="T86" i="5"/>
  <c r="U86" i="5"/>
  <c r="T69" i="5"/>
  <c r="U69" i="5"/>
  <c r="T50" i="5"/>
  <c r="U50" i="5"/>
  <c r="U33" i="5"/>
  <c r="T33" i="5"/>
  <c r="T16" i="5"/>
  <c r="U16" i="5"/>
  <c r="T84" i="5"/>
  <c r="U84" i="5"/>
  <c r="T65" i="5"/>
  <c r="U65" i="5"/>
  <c r="U47" i="5"/>
  <c r="T47" i="5"/>
  <c r="U81" i="5"/>
  <c r="T81" i="5"/>
  <c r="T7" i="5"/>
  <c r="U7" i="5"/>
  <c r="T74" i="5"/>
  <c r="U74" i="5"/>
  <c r="U56" i="5"/>
  <c r="T56" i="5"/>
  <c r="T110" i="5"/>
  <c r="U110" i="5"/>
  <c r="T119" i="5"/>
  <c r="U119" i="5"/>
  <c r="T85" i="5"/>
  <c r="U85" i="5"/>
  <c r="U48" i="5"/>
  <c r="T48" i="5"/>
  <c r="T31" i="5"/>
  <c r="U31" i="5"/>
  <c r="T14" i="5"/>
  <c r="U14" i="5"/>
  <c r="T82" i="5"/>
  <c r="U82" i="5"/>
  <c r="T63" i="5"/>
  <c r="U63" i="5"/>
  <c r="U29" i="5"/>
  <c r="T29" i="5"/>
  <c r="U12" i="5"/>
  <c r="T12" i="5"/>
  <c r="T61" i="5"/>
  <c r="U61" i="5"/>
  <c r="T34" i="5"/>
  <c r="U34" i="5"/>
  <c r="U68" i="5"/>
  <c r="T68" i="5"/>
  <c r="T87" i="5"/>
  <c r="U87" i="5"/>
  <c r="T70" i="5"/>
  <c r="U70" i="5"/>
  <c r="T120" i="5"/>
  <c r="U120" i="5"/>
  <c r="T122" i="5"/>
  <c r="U122" i="5"/>
  <c r="A99" i="10"/>
  <c r="F13" i="5"/>
  <c r="C12" i="10" s="1"/>
  <c r="B12" i="10" s="1"/>
  <c r="C23" i="10"/>
  <c r="B23" i="10" s="1"/>
  <c r="B107" i="4"/>
  <c r="W2" i="4"/>
  <c r="F6" i="5"/>
  <c r="C5" i="10" s="1"/>
  <c r="B5" i="10" s="1"/>
  <c r="C18" i="10"/>
  <c r="B18" i="10" s="1"/>
  <c r="F48" i="5"/>
  <c r="C45" i="10" s="1"/>
  <c r="B45" i="10" s="1"/>
  <c r="F47" i="5"/>
  <c r="C44" i="10" s="1"/>
  <c r="B44" i="10" s="1"/>
  <c r="C20" i="10"/>
  <c r="B20" i="10" s="1"/>
  <c r="F8" i="5"/>
  <c r="C7" i="10" s="1"/>
  <c r="B7" i="10" s="1"/>
  <c r="F49" i="5"/>
  <c r="C46" i="10" s="1"/>
  <c r="B46" i="10" s="1"/>
  <c r="C43" i="10"/>
  <c r="B43" i="10" s="1"/>
  <c r="C35" i="10"/>
  <c r="B35" i="10" s="1"/>
  <c r="C40" i="10"/>
  <c r="B40" i="10" s="1"/>
  <c r="F50" i="5"/>
  <c r="C47" i="10" s="1"/>
  <c r="B47" i="10" s="1"/>
  <c r="C48" i="10"/>
  <c r="B48" i="10" s="1"/>
  <c r="C36" i="10"/>
  <c r="B36" i="10" s="1"/>
  <c r="C17" i="10"/>
  <c r="B17" i="10" s="1"/>
  <c r="C25" i="10"/>
  <c r="B25" i="10" s="1"/>
  <c r="C22" i="10"/>
  <c r="B22" i="10" s="1"/>
  <c r="F11" i="5"/>
  <c r="C10" i="10" s="1"/>
  <c r="B10" i="10" s="1"/>
  <c r="C21" i="10"/>
  <c r="B21" i="10" s="1"/>
  <c r="F31" i="5"/>
  <c r="C29" i="10" s="1"/>
  <c r="B29" i="10" s="1"/>
  <c r="F16" i="5"/>
  <c r="C15" i="10" s="1"/>
  <c r="B15" i="10" s="1"/>
  <c r="F17" i="5"/>
  <c r="C16" i="10" s="1"/>
  <c r="B16" i="10" s="1"/>
  <c r="F32" i="5"/>
  <c r="C30" i="10" s="1"/>
  <c r="B30" i="10" s="1"/>
  <c r="J5" i="5"/>
  <c r="AI5" i="5" s="1"/>
  <c r="C37" i="10"/>
  <c r="B37" i="10" s="1"/>
  <c r="F7" i="5"/>
  <c r="C6" i="10" s="1"/>
  <c r="B6" i="10" s="1"/>
  <c r="F12" i="5"/>
  <c r="C11" i="10" s="1"/>
  <c r="B11" i="10" s="1"/>
  <c r="J33" i="3"/>
  <c r="F38" i="3"/>
  <c r="K38" i="3" s="1"/>
  <c r="G33" i="3"/>
  <c r="I33" i="3" s="1"/>
  <c r="AG5" i="5"/>
  <c r="AC5" i="5"/>
  <c r="C4" i="10"/>
  <c r="B4" i="10" s="1"/>
  <c r="C26" i="10"/>
  <c r="B26" i="10" s="1"/>
  <c r="Z49" i="5" l="1"/>
  <c r="Z50" i="5" s="1"/>
  <c r="Z35" i="5"/>
  <c r="Z36" i="5" s="1"/>
  <c r="Z37" i="5" s="1"/>
  <c r="Z38" i="5" s="1"/>
  <c r="Z39" i="5" s="1"/>
  <c r="Z40" i="5" s="1"/>
  <c r="Z41" i="5" s="1"/>
  <c r="Z42" i="5" s="1"/>
  <c r="Z43" i="5" s="1"/>
  <c r="Z44" i="5" s="1"/>
  <c r="Z45" i="5" s="1"/>
  <c r="Z46" i="5" s="1"/>
  <c r="U107" i="4"/>
  <c r="T107" i="4"/>
  <c r="I95" i="10"/>
  <c r="R97" i="10"/>
  <c r="H97" i="10"/>
  <c r="J99" i="10"/>
  <c r="Q99" i="10"/>
  <c r="I3" i="10"/>
  <c r="P33" i="3"/>
  <c r="B110" i="5"/>
  <c r="A103" i="10" s="1"/>
  <c r="B111" i="4"/>
  <c r="B3" i="4"/>
  <c r="AH5" i="5"/>
  <c r="AJ5" i="5"/>
  <c r="AK5" i="5"/>
  <c r="G38" i="3"/>
  <c r="I38" i="3" s="1"/>
  <c r="H33" i="3"/>
  <c r="Q33" i="3" s="1"/>
  <c r="R33" i="3" s="1"/>
  <c r="T5" i="5"/>
  <c r="G8" i="3"/>
  <c r="J8" i="3" s="1"/>
  <c r="L33" i="3"/>
  <c r="G13" i="3"/>
  <c r="J13" i="3" s="1"/>
  <c r="C33" i="10"/>
  <c r="B33" i="10" s="1"/>
  <c r="F34" i="5"/>
  <c r="C32" i="10" s="1"/>
  <c r="B32" i="10" s="1"/>
  <c r="C34" i="10"/>
  <c r="B34" i="10" s="1"/>
  <c r="A4" i="10"/>
  <c r="J4" i="10" s="1"/>
  <c r="Z51" i="5" l="1"/>
  <c r="Z52" i="5" s="1"/>
  <c r="Z53" i="5" s="1"/>
  <c r="Z55" i="5" s="1"/>
  <c r="Z56" i="5" s="1"/>
  <c r="T3" i="4"/>
  <c r="U3" i="4"/>
  <c r="B114" i="5"/>
  <c r="A107" i="10" s="1"/>
  <c r="U111" i="4"/>
  <c r="T111" i="4"/>
  <c r="M4" i="4"/>
  <c r="E4" i="10"/>
  <c r="H99" i="10"/>
  <c r="R99" i="10"/>
  <c r="J103" i="10"/>
  <c r="Q103" i="10"/>
  <c r="I97" i="10"/>
  <c r="P4" i="10"/>
  <c r="Q4" i="10" s="1"/>
  <c r="O4" i="10"/>
  <c r="S4" i="10" s="1"/>
  <c r="N4" i="10"/>
  <c r="T108" i="5"/>
  <c r="U108" i="5"/>
  <c r="W108" i="5" s="1"/>
  <c r="T107" i="5"/>
  <c r="U107" i="5"/>
  <c r="W107" i="5" s="1"/>
  <c r="T90" i="5"/>
  <c r="U90" i="5"/>
  <c r="W90" i="5" s="1"/>
  <c r="H38" i="3"/>
  <c r="Q38" i="3" s="1"/>
  <c r="T66" i="5"/>
  <c r="U66" i="5"/>
  <c r="W66" i="5" s="1"/>
  <c r="U91" i="5"/>
  <c r="W91" i="5" s="1"/>
  <c r="T91" i="5"/>
  <c r="T67" i="5"/>
  <c r="U67" i="5"/>
  <c r="W67" i="5" s="1"/>
  <c r="B114" i="4"/>
  <c r="B6" i="5"/>
  <c r="A5" i="10" s="1"/>
  <c r="J5" i="10" s="1"/>
  <c r="B4" i="4"/>
  <c r="O33" i="3"/>
  <c r="U5" i="5"/>
  <c r="J38" i="3"/>
  <c r="P38" i="3" s="1"/>
  <c r="H6" i="5"/>
  <c r="D4" i="10"/>
  <c r="K6" i="5" l="1"/>
  <c r="X6" i="5"/>
  <c r="Z57" i="5"/>
  <c r="Z58" i="5" s="1"/>
  <c r="Z59" i="5" s="1"/>
  <c r="Z74" i="5" s="1"/>
  <c r="Z75" i="5" s="1"/>
  <c r="U114" i="4"/>
  <c r="B117" i="5"/>
  <c r="A109" i="10" s="1"/>
  <c r="T114" i="4"/>
  <c r="T4" i="4"/>
  <c r="U4" i="4"/>
  <c r="M5" i="4"/>
  <c r="L4" i="4"/>
  <c r="N4" i="4" s="1"/>
  <c r="J107" i="10"/>
  <c r="Q107" i="10"/>
  <c r="H103" i="10"/>
  <c r="R103" i="10"/>
  <c r="H4" i="10"/>
  <c r="R4" i="10"/>
  <c r="E5" i="10"/>
  <c r="N5" i="10"/>
  <c r="P5" i="10"/>
  <c r="Q5" i="10" s="1"/>
  <c r="O5" i="10"/>
  <c r="S5" i="10" s="1"/>
  <c r="I99" i="10"/>
  <c r="B7" i="5"/>
  <c r="A6" i="10" s="1"/>
  <c r="J6" i="10" s="1"/>
  <c r="B5" i="4"/>
  <c r="L38" i="3"/>
  <c r="O38" i="3" s="1"/>
  <c r="R38" i="3"/>
  <c r="H7" i="5"/>
  <c r="G6" i="5"/>
  <c r="D5" i="10" s="1"/>
  <c r="F4" i="10"/>
  <c r="Z76" i="5" l="1"/>
  <c r="Z77" i="5" s="1"/>
  <c r="Z78" i="5" s="1"/>
  <c r="Z79" i="5" s="1"/>
  <c r="Z80" i="5" s="1"/>
  <c r="Z81" i="5" s="1"/>
  <c r="Z87" i="5" s="1"/>
  <c r="Z88" i="5" s="1"/>
  <c r="T5" i="4"/>
  <c r="U5" i="4"/>
  <c r="L5" i="4"/>
  <c r="N5" i="4" s="1"/>
  <c r="M6" i="4"/>
  <c r="I103" i="10"/>
  <c r="R5" i="10"/>
  <c r="H5" i="10"/>
  <c r="Q109" i="10"/>
  <c r="J109" i="10"/>
  <c r="I4" i="10"/>
  <c r="P6" i="10"/>
  <c r="Q6" i="10" s="1"/>
  <c r="O6" i="10"/>
  <c r="S6" i="10" s="1"/>
  <c r="N6" i="10"/>
  <c r="X7" i="5"/>
  <c r="E6" i="10"/>
  <c r="H107" i="10"/>
  <c r="R107" i="10"/>
  <c r="B6" i="4"/>
  <c r="B8" i="5"/>
  <c r="A7" i="10" s="1"/>
  <c r="J7" i="10" s="1"/>
  <c r="H8" i="5"/>
  <c r="G7" i="5"/>
  <c r="D6" i="10" s="1"/>
  <c r="I6" i="5"/>
  <c r="Z89" i="5" l="1"/>
  <c r="Z90" i="5"/>
  <c r="Z91" i="5" s="1"/>
  <c r="Z92" i="5" s="1"/>
  <c r="Z93" i="5" s="1"/>
  <c r="Z94" i="5" s="1"/>
  <c r="Z95" i="5" s="1"/>
  <c r="Z96" i="5" s="1"/>
  <c r="Z97" i="5" s="1"/>
  <c r="Z98" i="5" s="1"/>
  <c r="Z99" i="5" s="1"/>
  <c r="Z100" i="5" s="1"/>
  <c r="Z101" i="5" s="1"/>
  <c r="Z102" i="5" s="1"/>
  <c r="Z103" i="5" s="1"/>
  <c r="Z104" i="5" s="1"/>
  <c r="Z105" i="5" s="1"/>
  <c r="Z106" i="5" s="1"/>
  <c r="Z107" i="5" s="1"/>
  <c r="Z108" i="5" s="1"/>
  <c r="Z109" i="5" s="1"/>
  <c r="Z112" i="5" s="1"/>
  <c r="Z113" i="5" s="1"/>
  <c r="U6" i="4"/>
  <c r="T6" i="4"/>
  <c r="M7" i="4"/>
  <c r="L6" i="4"/>
  <c r="N6" i="4" s="1"/>
  <c r="I5" i="10"/>
  <c r="I107" i="10"/>
  <c r="X8" i="5"/>
  <c r="E7" i="10"/>
  <c r="V6" i="5"/>
  <c r="AC6" i="5" s="1"/>
  <c r="AD6" i="5" s="1"/>
  <c r="F5" i="10"/>
  <c r="O7" i="10"/>
  <c r="S7" i="10" s="1"/>
  <c r="N7" i="10"/>
  <c r="P7" i="10"/>
  <c r="Q7" i="10" s="1"/>
  <c r="H109" i="10"/>
  <c r="R109" i="10"/>
  <c r="R6" i="10"/>
  <c r="H6" i="10"/>
  <c r="B9" i="5"/>
  <c r="A8" i="10" s="1"/>
  <c r="J8" i="10" s="1"/>
  <c r="B7" i="4"/>
  <c r="H9" i="5"/>
  <c r="G8" i="5"/>
  <c r="D7" i="10" s="1"/>
  <c r="J6" i="5"/>
  <c r="K7" i="5"/>
  <c r="I7" i="5"/>
  <c r="AH6" i="5" l="1"/>
  <c r="AI6" i="5" s="1"/>
  <c r="AJ6" i="5"/>
  <c r="AK6" i="5" s="1"/>
  <c r="AM6" i="5"/>
  <c r="AL6" i="5" s="1"/>
  <c r="Z114" i="5"/>
  <c r="Z115" i="5" s="1"/>
  <c r="Z116" i="5" s="1"/>
  <c r="Z117" i="5" s="1"/>
  <c r="Z118" i="5" s="1"/>
  <c r="Z119" i="5" s="1"/>
  <c r="Z121" i="5" s="1"/>
  <c r="Z122" i="5" s="1"/>
  <c r="T7" i="4"/>
  <c r="U7" i="4"/>
  <c r="L7" i="4"/>
  <c r="N7" i="4" s="1"/>
  <c r="M8" i="4"/>
  <c r="I6" i="10"/>
  <c r="O8" i="10"/>
  <c r="S8" i="10" s="1"/>
  <c r="N8" i="10"/>
  <c r="P8" i="10"/>
  <c r="Q8" i="10" s="1"/>
  <c r="V7" i="5"/>
  <c r="AC7" i="5" s="1"/>
  <c r="F6" i="10"/>
  <c r="X9" i="5"/>
  <c r="E8" i="10"/>
  <c r="I109" i="10"/>
  <c r="R7" i="10"/>
  <c r="H7" i="10"/>
  <c r="B8" i="4"/>
  <c r="B10" i="5"/>
  <c r="A9" i="10" s="1"/>
  <c r="J9" i="10" s="1"/>
  <c r="AF7" i="5"/>
  <c r="AG7" i="5" s="1"/>
  <c r="J7" i="5"/>
  <c r="K8" i="5"/>
  <c r="I8" i="5"/>
  <c r="H10" i="5"/>
  <c r="G9" i="5"/>
  <c r="D8" i="10" s="1"/>
  <c r="T8" i="4" l="1"/>
  <c r="U8" i="4"/>
  <c r="M9" i="4"/>
  <c r="L8" i="4"/>
  <c r="N8" i="4" s="1"/>
  <c r="I7" i="10"/>
  <c r="P9" i="10"/>
  <c r="Q9" i="10" s="1"/>
  <c r="N9" i="10"/>
  <c r="O9" i="10"/>
  <c r="S9" i="10" s="1"/>
  <c r="V8" i="5"/>
  <c r="AC8" i="5" s="1"/>
  <c r="F7" i="10"/>
  <c r="H8" i="10"/>
  <c r="R8" i="10"/>
  <c r="X10" i="5"/>
  <c r="E9" i="10"/>
  <c r="AD7" i="5"/>
  <c r="AH7" i="5" s="1"/>
  <c r="AI7" i="5" s="1"/>
  <c r="B9" i="4"/>
  <c r="B11" i="5"/>
  <c r="A10" i="10" s="1"/>
  <c r="J10" i="10" s="1"/>
  <c r="K9" i="5"/>
  <c r="I9" i="5"/>
  <c r="J8" i="5"/>
  <c r="G10" i="5"/>
  <c r="D9" i="10" s="1"/>
  <c r="U9" i="4" l="1"/>
  <c r="T9" i="4"/>
  <c r="L9" i="4"/>
  <c r="N9" i="4" s="1"/>
  <c r="M10" i="4"/>
  <c r="H11" i="5"/>
  <c r="E10" i="10" s="1"/>
  <c r="V9" i="5"/>
  <c r="AC9" i="5" s="1"/>
  <c r="F8" i="10"/>
  <c r="O10" i="10"/>
  <c r="S10" i="10" s="1"/>
  <c r="P10" i="10"/>
  <c r="Q10" i="10" s="1"/>
  <c r="N10" i="10"/>
  <c r="I8" i="10"/>
  <c r="H9" i="10"/>
  <c r="R9" i="10"/>
  <c r="AJ7" i="5"/>
  <c r="AK7" i="5" s="1"/>
  <c r="AM7" i="5"/>
  <c r="AL7" i="5" s="1"/>
  <c r="AD8" i="5"/>
  <c r="AM8" i="5" s="1"/>
  <c r="AL8" i="5" s="1"/>
  <c r="B12" i="5"/>
  <c r="A11" i="10" s="1"/>
  <c r="J11" i="10" s="1"/>
  <c r="B10" i="4"/>
  <c r="K10" i="5"/>
  <c r="J9" i="5"/>
  <c r="I10" i="5"/>
  <c r="G11" i="5"/>
  <c r="D10" i="10" s="1"/>
  <c r="X11" i="5" l="1"/>
  <c r="U10" i="4"/>
  <c r="T10" i="4"/>
  <c r="M11" i="4"/>
  <c r="L10" i="4"/>
  <c r="N10" i="4" s="1"/>
  <c r="H12" i="5"/>
  <c r="E11" i="10" s="1"/>
  <c r="N11" i="10"/>
  <c r="P11" i="10"/>
  <c r="Q11" i="10" s="1"/>
  <c r="O11" i="10"/>
  <c r="S11" i="10" s="1"/>
  <c r="R10" i="10"/>
  <c r="H10" i="10"/>
  <c r="V10" i="5"/>
  <c r="AC10" i="5" s="1"/>
  <c r="F9" i="10"/>
  <c r="I9" i="10"/>
  <c r="AD9" i="5"/>
  <c r="AJ9" i="5" s="1"/>
  <c r="AK9" i="5" s="1"/>
  <c r="AH8" i="5"/>
  <c r="AI8" i="5" s="1"/>
  <c r="AJ8" i="5"/>
  <c r="AK8" i="5" s="1"/>
  <c r="B13" i="5"/>
  <c r="A12" i="10" s="1"/>
  <c r="J12" i="10" s="1"/>
  <c r="B11" i="4"/>
  <c r="I11" i="5"/>
  <c r="G12" i="5"/>
  <c r="D11" i="10" s="1"/>
  <c r="H13" i="5"/>
  <c r="K11" i="5"/>
  <c r="J10" i="5"/>
  <c r="T11" i="4" l="1"/>
  <c r="U11" i="4"/>
  <c r="X12" i="5"/>
  <c r="L11" i="4"/>
  <c r="N11" i="4" s="1"/>
  <c r="M12" i="4"/>
  <c r="V11" i="5"/>
  <c r="AC11" i="5" s="1"/>
  <c r="F10" i="10"/>
  <c r="R11" i="10"/>
  <c r="H11" i="10"/>
  <c r="X13" i="5"/>
  <c r="E12" i="10"/>
  <c r="P12" i="10"/>
  <c r="Q12" i="10" s="1"/>
  <c r="H12" i="10" s="1"/>
  <c r="O12" i="10"/>
  <c r="S12" i="10" s="1"/>
  <c r="N12" i="10"/>
  <c r="I10" i="10"/>
  <c r="AH9" i="5"/>
  <c r="AI9" i="5" s="1"/>
  <c r="AM9" i="5"/>
  <c r="AL9" i="5" s="1"/>
  <c r="AD10" i="5"/>
  <c r="AM10" i="5" s="1"/>
  <c r="AL10" i="5" s="1"/>
  <c r="B12" i="4"/>
  <c r="B14" i="5"/>
  <c r="A13" i="10" s="1"/>
  <c r="J13" i="10" s="1"/>
  <c r="I12" i="5"/>
  <c r="J11" i="5"/>
  <c r="K12" i="5"/>
  <c r="G13" i="5"/>
  <c r="D12" i="10" s="1"/>
  <c r="H14" i="5"/>
  <c r="U12" i="4" l="1"/>
  <c r="T12" i="4"/>
  <c r="M13" i="4"/>
  <c r="L12" i="4"/>
  <c r="N12" i="4" s="1"/>
  <c r="I11" i="10"/>
  <c r="O13" i="10"/>
  <c r="S13" i="10" s="1"/>
  <c r="P13" i="10"/>
  <c r="Q13" i="10" s="1"/>
  <c r="N13" i="10"/>
  <c r="R12" i="10"/>
  <c r="I12" i="10" s="1"/>
  <c r="X14" i="5"/>
  <c r="E13" i="10"/>
  <c r="V12" i="5"/>
  <c r="AC12" i="5" s="1"/>
  <c r="F11" i="10"/>
  <c r="AJ10" i="5"/>
  <c r="AK10" i="5" s="1"/>
  <c r="AD11" i="5"/>
  <c r="AM11" i="5" s="1"/>
  <c r="AL11" i="5" s="1"/>
  <c r="AH10" i="5"/>
  <c r="AI10" i="5" s="1"/>
  <c r="B15" i="5"/>
  <c r="A14" i="10" s="1"/>
  <c r="J14" i="10" s="1"/>
  <c r="B13" i="4"/>
  <c r="K13" i="5"/>
  <c r="G14" i="5"/>
  <c r="D13" i="10" s="1"/>
  <c r="I13" i="5"/>
  <c r="J12" i="5"/>
  <c r="T13" i="4" l="1"/>
  <c r="U13" i="4"/>
  <c r="L13" i="4"/>
  <c r="N13" i="4" s="1"/>
  <c r="M14" i="4"/>
  <c r="H15" i="5"/>
  <c r="X15" i="5" s="1"/>
  <c r="V13" i="5"/>
  <c r="AC13" i="5" s="1"/>
  <c r="F12" i="10"/>
  <c r="H13" i="10"/>
  <c r="R13" i="10"/>
  <c r="N14" i="10"/>
  <c r="O14" i="10"/>
  <c r="S14" i="10" s="1"/>
  <c r="P14" i="10"/>
  <c r="Q14" i="10" s="1"/>
  <c r="AD12" i="5"/>
  <c r="AH12" i="5" s="1"/>
  <c r="AI12" i="5" s="1"/>
  <c r="AJ11" i="5"/>
  <c r="AK11" i="5" s="1"/>
  <c r="AH11" i="5"/>
  <c r="AI11" i="5" s="1"/>
  <c r="B14" i="4"/>
  <c r="B16" i="5"/>
  <c r="A15" i="10" s="1"/>
  <c r="J15" i="10" s="1"/>
  <c r="J13" i="5"/>
  <c r="I14" i="5"/>
  <c r="K14" i="5"/>
  <c r="H16" i="5"/>
  <c r="G15" i="5"/>
  <c r="D14" i="10" s="1"/>
  <c r="U14" i="4" l="1"/>
  <c r="T14" i="4"/>
  <c r="L14" i="4"/>
  <c r="N14" i="4" s="1"/>
  <c r="M15" i="4"/>
  <c r="E14" i="10"/>
  <c r="I13" i="10"/>
  <c r="V14" i="5"/>
  <c r="AC14" i="5" s="1"/>
  <c r="F13" i="10"/>
  <c r="N15" i="10"/>
  <c r="P15" i="10"/>
  <c r="Q15" i="10" s="1"/>
  <c r="O15" i="10"/>
  <c r="S15" i="10" s="1"/>
  <c r="X16" i="5"/>
  <c r="E15" i="10"/>
  <c r="H14" i="10"/>
  <c r="R14" i="10"/>
  <c r="AD13" i="5"/>
  <c r="AH13" i="5" s="1"/>
  <c r="AI13" i="5" s="1"/>
  <c r="AJ12" i="5"/>
  <c r="AK12" i="5" s="1"/>
  <c r="AM12" i="5"/>
  <c r="AL12" i="5" s="1"/>
  <c r="B17" i="5"/>
  <c r="A16" i="10" s="1"/>
  <c r="J16" i="10" s="1"/>
  <c r="B16" i="4"/>
  <c r="I15" i="5"/>
  <c r="K15" i="5"/>
  <c r="J14" i="5"/>
  <c r="H17" i="5"/>
  <c r="T16" i="4" l="1"/>
  <c r="U16" i="4"/>
  <c r="H18" i="5"/>
  <c r="L15" i="4"/>
  <c r="M16" i="4"/>
  <c r="G16" i="5"/>
  <c r="D15" i="10" s="1"/>
  <c r="I14" i="10"/>
  <c r="H15" i="10"/>
  <c r="R15" i="10"/>
  <c r="V15" i="5"/>
  <c r="AC15" i="5" s="1"/>
  <c r="F14" i="10"/>
  <c r="X17" i="5"/>
  <c r="E16" i="10"/>
  <c r="P16" i="10"/>
  <c r="Q16" i="10" s="1"/>
  <c r="H16" i="10" s="1"/>
  <c r="O16" i="10"/>
  <c r="S16" i="10" s="1"/>
  <c r="N16" i="10"/>
  <c r="AD14" i="5"/>
  <c r="AJ14" i="5" s="1"/>
  <c r="AK14" i="5" s="1"/>
  <c r="AJ13" i="5"/>
  <c r="AK13" i="5" s="1"/>
  <c r="AM13" i="5"/>
  <c r="AL13" i="5" s="1"/>
  <c r="B17" i="4"/>
  <c r="B19" i="5"/>
  <c r="A17" i="10" s="1"/>
  <c r="J17" i="10" s="1"/>
  <c r="K16" i="5"/>
  <c r="I16" i="5"/>
  <c r="J15" i="5"/>
  <c r="T17" i="4" l="1"/>
  <c r="U17" i="4"/>
  <c r="K18" i="5"/>
  <c r="X18" i="5"/>
  <c r="H19" i="5"/>
  <c r="E17" i="10" s="1"/>
  <c r="L16" i="4"/>
  <c r="M17" i="4"/>
  <c r="N15" i="4"/>
  <c r="I18" i="5" s="1"/>
  <c r="G18" i="5"/>
  <c r="G17" i="5"/>
  <c r="D16" i="10" s="1"/>
  <c r="V16" i="5"/>
  <c r="AC16" i="5" s="1"/>
  <c r="F15" i="10"/>
  <c r="O17" i="10"/>
  <c r="S17" i="10" s="1"/>
  <c r="N17" i="10"/>
  <c r="P17" i="10"/>
  <c r="Q17" i="10" s="1"/>
  <c r="R16" i="10"/>
  <c r="I16" i="10" s="1"/>
  <c r="I15" i="10"/>
  <c r="AM14" i="5"/>
  <c r="AL14" i="5" s="1"/>
  <c r="AH14" i="5"/>
  <c r="AI14" i="5" s="1"/>
  <c r="AD15" i="5"/>
  <c r="AH15" i="5" s="1"/>
  <c r="AI15" i="5" s="1"/>
  <c r="B20" i="5"/>
  <c r="A18" i="10" s="1"/>
  <c r="J18" i="10" s="1"/>
  <c r="B18" i="4"/>
  <c r="K17" i="5"/>
  <c r="J16" i="5"/>
  <c r="I17" i="5"/>
  <c r="U18" i="4" l="1"/>
  <c r="T18" i="4"/>
  <c r="N16" i="4"/>
  <c r="I19" i="5" s="1"/>
  <c r="G19" i="5"/>
  <c r="D17" i="10" s="1"/>
  <c r="K19" i="5"/>
  <c r="X19" i="5"/>
  <c r="H20" i="5"/>
  <c r="L17" i="4"/>
  <c r="M18" i="4"/>
  <c r="J18" i="5"/>
  <c r="V18" i="5"/>
  <c r="AC18" i="5" s="1"/>
  <c r="V17" i="5"/>
  <c r="AC17" i="5" s="1"/>
  <c r="F16" i="10"/>
  <c r="O18" i="10"/>
  <c r="S18" i="10" s="1"/>
  <c r="N18" i="10"/>
  <c r="P18" i="10"/>
  <c r="Q18" i="10"/>
  <c r="H17" i="10"/>
  <c r="R17" i="10"/>
  <c r="AD16" i="5"/>
  <c r="AM16" i="5" s="1"/>
  <c r="AL16" i="5" s="1"/>
  <c r="AJ15" i="5"/>
  <c r="AK15" i="5" s="1"/>
  <c r="AM15" i="5"/>
  <c r="AL15" i="5" s="1"/>
  <c r="B19" i="4"/>
  <c r="B21" i="5"/>
  <c r="A19" i="10" s="1"/>
  <c r="J19" i="10" s="1"/>
  <c r="J17" i="5"/>
  <c r="T19" i="4" l="1"/>
  <c r="U19" i="4"/>
  <c r="K20" i="5"/>
  <c r="X20" i="5"/>
  <c r="H21" i="5"/>
  <c r="E19" i="10" s="1"/>
  <c r="M19" i="4"/>
  <c r="L18" i="4"/>
  <c r="J19" i="5"/>
  <c r="V19" i="5"/>
  <c r="AC19" i="5" s="1"/>
  <c r="AH18" i="5"/>
  <c r="AK18" i="5"/>
  <c r="AJ18" i="5"/>
  <c r="AI18" i="5"/>
  <c r="E18" i="10"/>
  <c r="N17" i="4"/>
  <c r="I20" i="5" s="1"/>
  <c r="G20" i="5"/>
  <c r="D18" i="10" s="1"/>
  <c r="I17" i="10"/>
  <c r="H18" i="10"/>
  <c r="R18" i="10"/>
  <c r="O19" i="10"/>
  <c r="S19" i="10" s="1"/>
  <c r="N19" i="10"/>
  <c r="P19" i="10"/>
  <c r="Q19" i="10" s="1"/>
  <c r="F17" i="10"/>
  <c r="AD17" i="5"/>
  <c r="AH16" i="5"/>
  <c r="AI16" i="5" s="1"/>
  <c r="AJ16" i="5"/>
  <c r="AK16" i="5" s="1"/>
  <c r="B22" i="5"/>
  <c r="A20" i="10" s="1"/>
  <c r="B20" i="4"/>
  <c r="T20" i="4" l="1"/>
  <c r="U20" i="4"/>
  <c r="H22" i="5"/>
  <c r="M20" i="4"/>
  <c r="L19" i="4"/>
  <c r="K21" i="5"/>
  <c r="X21" i="5"/>
  <c r="J20" i="5"/>
  <c r="V20" i="5"/>
  <c r="AC20" i="5" s="1"/>
  <c r="N18" i="4"/>
  <c r="I21" i="5" s="1"/>
  <c r="G21" i="5"/>
  <c r="D19" i="10" s="1"/>
  <c r="AM17" i="5"/>
  <c r="AL17" i="5" s="1"/>
  <c r="AD18" i="5"/>
  <c r="F18" i="10"/>
  <c r="E20" i="10"/>
  <c r="H19" i="10"/>
  <c r="R19" i="10"/>
  <c r="Q20" i="10"/>
  <c r="J20" i="10"/>
  <c r="I18" i="10"/>
  <c r="AJ17" i="5"/>
  <c r="AK17" i="5" s="1"/>
  <c r="AH17" i="5"/>
  <c r="AI17" i="5" s="1"/>
  <c r="B21" i="4"/>
  <c r="B23" i="5"/>
  <c r="A21" i="10" s="1"/>
  <c r="J21" i="10" s="1"/>
  <c r="U21" i="4" l="1"/>
  <c r="T21" i="4"/>
  <c r="N19" i="4"/>
  <c r="I22" i="5" s="1"/>
  <c r="G22" i="5"/>
  <c r="D20" i="10" s="1"/>
  <c r="H23" i="5"/>
  <c r="E21" i="10" s="1"/>
  <c r="M21" i="4"/>
  <c r="L20" i="4"/>
  <c r="J21" i="5"/>
  <c r="V21" i="5"/>
  <c r="AC21" i="5" s="1"/>
  <c r="K22" i="5"/>
  <c r="X22" i="5"/>
  <c r="AM18" i="5"/>
  <c r="AL18" i="5" s="1"/>
  <c r="AD19" i="5"/>
  <c r="I19" i="10"/>
  <c r="R20" i="10"/>
  <c r="H20" i="10"/>
  <c r="F19" i="10"/>
  <c r="O21" i="10"/>
  <c r="S21" i="10" s="1"/>
  <c r="P21" i="10"/>
  <c r="Q21" i="10" s="1"/>
  <c r="H21" i="10" s="1"/>
  <c r="N21" i="10"/>
  <c r="B24" i="5"/>
  <c r="A22" i="10" s="1"/>
  <c r="J22" i="10" s="1"/>
  <c r="B22" i="4"/>
  <c r="U22" i="4" l="1"/>
  <c r="T22" i="4"/>
  <c r="K23" i="5"/>
  <c r="X23" i="5"/>
  <c r="N20" i="4"/>
  <c r="I23" i="5" s="1"/>
  <c r="G23" i="5"/>
  <c r="D21" i="10" s="1"/>
  <c r="J22" i="5"/>
  <c r="V22" i="5"/>
  <c r="AC22" i="5" s="1"/>
  <c r="H24" i="5"/>
  <c r="M22" i="4"/>
  <c r="L21" i="4"/>
  <c r="AM19" i="5"/>
  <c r="AL19" i="5" s="1"/>
  <c r="AH19" i="5"/>
  <c r="AI19" i="5" s="1"/>
  <c r="AD20" i="5"/>
  <c r="AJ19" i="5"/>
  <c r="AK19" i="5" s="1"/>
  <c r="I20" i="10"/>
  <c r="E22" i="10"/>
  <c r="R21" i="10"/>
  <c r="I21" i="10" s="1"/>
  <c r="O22" i="10"/>
  <c r="S22" i="10" s="1"/>
  <c r="N22" i="10"/>
  <c r="P22" i="10"/>
  <c r="Q22" i="10" s="1"/>
  <c r="F20" i="10"/>
  <c r="B24" i="4"/>
  <c r="B25" i="5"/>
  <c r="A23" i="10" s="1"/>
  <c r="J23" i="10" s="1"/>
  <c r="B23" i="4"/>
  <c r="T24" i="4" l="1"/>
  <c r="U24" i="4"/>
  <c r="T23" i="4"/>
  <c r="U23" i="4"/>
  <c r="N21" i="4"/>
  <c r="I24" i="5" s="1"/>
  <c r="G24" i="5"/>
  <c r="D22" i="10" s="1"/>
  <c r="H25" i="5"/>
  <c r="E23" i="10" s="1"/>
  <c r="M23" i="4"/>
  <c r="L22" i="4"/>
  <c r="K24" i="5"/>
  <c r="X24" i="5"/>
  <c r="J23" i="5"/>
  <c r="V23" i="5"/>
  <c r="AC23" i="5" s="1"/>
  <c r="AJ20" i="5"/>
  <c r="AK20" i="5" s="1"/>
  <c r="AD21" i="5"/>
  <c r="AM20" i="5"/>
  <c r="AL20" i="5" s="1"/>
  <c r="AH20" i="5"/>
  <c r="AI20" i="5" s="1"/>
  <c r="P23" i="10"/>
  <c r="Q23" i="10" s="1"/>
  <c r="O23" i="10"/>
  <c r="S23" i="10" s="1"/>
  <c r="N23" i="10"/>
  <c r="H22" i="10"/>
  <c r="R22" i="10"/>
  <c r="F21" i="10"/>
  <c r="B27" i="5"/>
  <c r="A25" i="10" s="1"/>
  <c r="J25" i="10" s="1"/>
  <c r="B25" i="4"/>
  <c r="B26" i="5"/>
  <c r="A24" i="10" s="1"/>
  <c r="J24" i="10" s="1"/>
  <c r="A34" i="10"/>
  <c r="J34" i="10" s="1"/>
  <c r="T25" i="4" l="1"/>
  <c r="U25" i="4"/>
  <c r="N22" i="4"/>
  <c r="I25" i="5" s="1"/>
  <c r="G25" i="5"/>
  <c r="D23" i="10" s="1"/>
  <c r="H26" i="5"/>
  <c r="E24" i="10" s="1"/>
  <c r="M24" i="4"/>
  <c r="L23" i="4"/>
  <c r="K25" i="5"/>
  <c r="X25" i="5"/>
  <c r="J24" i="5"/>
  <c r="V24" i="5"/>
  <c r="AC24" i="5" s="1"/>
  <c r="AH21" i="5"/>
  <c r="AI21" i="5" s="1"/>
  <c r="AJ21" i="5"/>
  <c r="AK21" i="5" s="1"/>
  <c r="AD22" i="5"/>
  <c r="AM21" i="5"/>
  <c r="AL21" i="5" s="1"/>
  <c r="F22" i="10"/>
  <c r="O24" i="10"/>
  <c r="S24" i="10" s="1"/>
  <c r="P24" i="10"/>
  <c r="Q24" i="10" s="1"/>
  <c r="N24" i="10"/>
  <c r="N34" i="10"/>
  <c r="O34" i="10"/>
  <c r="S34" i="10" s="1"/>
  <c r="P25" i="10"/>
  <c r="Q25" i="10" s="1"/>
  <c r="H25" i="10" s="1"/>
  <c r="O25" i="10"/>
  <c r="S25" i="10" s="1"/>
  <c r="N25" i="10"/>
  <c r="I22" i="10"/>
  <c r="H23" i="10"/>
  <c r="R23" i="10"/>
  <c r="B27" i="4"/>
  <c r="B28" i="5"/>
  <c r="A26" i="10" s="1"/>
  <c r="B28" i="4"/>
  <c r="A36" i="10"/>
  <c r="J36" i="10" s="1"/>
  <c r="U28" i="4" l="1"/>
  <c r="T28" i="4"/>
  <c r="T27" i="4"/>
  <c r="U27" i="4"/>
  <c r="N23" i="4"/>
  <c r="I26" i="5" s="1"/>
  <c r="G26" i="5"/>
  <c r="D24" i="10" s="1"/>
  <c r="H27" i="5"/>
  <c r="E25" i="10" s="1"/>
  <c r="L24" i="4"/>
  <c r="M25" i="4"/>
  <c r="K26" i="5"/>
  <c r="X26" i="5"/>
  <c r="J25" i="5"/>
  <c r="V25" i="5"/>
  <c r="AC25" i="5" s="1"/>
  <c r="AH22" i="5"/>
  <c r="AI22" i="5" s="1"/>
  <c r="AJ22" i="5"/>
  <c r="AK22" i="5" s="1"/>
  <c r="AM22" i="5"/>
  <c r="AL22" i="5" s="1"/>
  <c r="AD23" i="5"/>
  <c r="B30" i="5"/>
  <c r="A28" i="10" s="1"/>
  <c r="J28" i="10" s="1"/>
  <c r="N28" i="10" s="1"/>
  <c r="F23" i="10"/>
  <c r="R24" i="10"/>
  <c r="H24" i="10"/>
  <c r="J26" i="10"/>
  <c r="Q26" i="10"/>
  <c r="H26" i="10" s="1"/>
  <c r="O36" i="10"/>
  <c r="S36" i="10" s="1"/>
  <c r="N36" i="10"/>
  <c r="I23" i="10"/>
  <c r="R25" i="10"/>
  <c r="I25" i="10" s="1"/>
  <c r="B29" i="4"/>
  <c r="B31" i="5"/>
  <c r="A29" i="10" s="1"/>
  <c r="T29" i="4" l="1"/>
  <c r="U29" i="4"/>
  <c r="H28" i="5"/>
  <c r="M26" i="4"/>
  <c r="H29" i="5" s="1"/>
  <c r="E27" i="10" s="1"/>
  <c r="L25" i="4"/>
  <c r="N24" i="4"/>
  <c r="I27" i="5" s="1"/>
  <c r="G27" i="5"/>
  <c r="D25" i="10" s="1"/>
  <c r="K27" i="5"/>
  <c r="X27" i="5"/>
  <c r="J26" i="5"/>
  <c r="V26" i="5"/>
  <c r="AC26" i="5" s="1"/>
  <c r="AH23" i="5"/>
  <c r="AI23" i="5" s="1"/>
  <c r="AJ23" i="5"/>
  <c r="AK23" i="5" s="1"/>
  <c r="AD24" i="5"/>
  <c r="AM23" i="5"/>
  <c r="AL23" i="5" s="1"/>
  <c r="P28" i="10"/>
  <c r="J29" i="10"/>
  <c r="Q29" i="10"/>
  <c r="F24" i="10"/>
  <c r="I24" i="10"/>
  <c r="O26" i="10"/>
  <c r="S26" i="10" s="1"/>
  <c r="R26" i="10" s="1"/>
  <c r="I26" i="10" s="1"/>
  <c r="P26" i="10"/>
  <c r="P27" i="10"/>
  <c r="Q27" i="10" s="1"/>
  <c r="Q28" i="10" s="1"/>
  <c r="B32" i="5"/>
  <c r="A30" i="10" s="1"/>
  <c r="J30" i="10" s="1"/>
  <c r="B30" i="4"/>
  <c r="U30" i="4" l="1"/>
  <c r="T30" i="4"/>
  <c r="N25" i="4"/>
  <c r="I28" i="5" s="1"/>
  <c r="G28" i="5"/>
  <c r="D26" i="10" s="1"/>
  <c r="K28" i="5"/>
  <c r="X28" i="5"/>
  <c r="J27" i="5"/>
  <c r="V27" i="5"/>
  <c r="AC27" i="5" s="1"/>
  <c r="E26" i="10"/>
  <c r="L26" i="4"/>
  <c r="N26" i="4" s="1"/>
  <c r="M27" i="4"/>
  <c r="H30" i="5" s="1"/>
  <c r="E28" i="10" s="1"/>
  <c r="AJ24" i="5"/>
  <c r="AK24" i="5" s="1"/>
  <c r="AD25" i="5"/>
  <c r="AM24" i="5"/>
  <c r="AL24" i="5" s="1"/>
  <c r="AH24" i="5"/>
  <c r="AI24" i="5" s="1"/>
  <c r="N26" i="10"/>
  <c r="H28" i="10"/>
  <c r="R28" i="10"/>
  <c r="H29" i="10"/>
  <c r="R29" i="10"/>
  <c r="P30" i="10"/>
  <c r="Q30" i="10" s="1"/>
  <c r="O30" i="10"/>
  <c r="S30" i="10" s="1"/>
  <c r="N30" i="10"/>
  <c r="O28" i="10"/>
  <c r="S28" i="10" s="1"/>
  <c r="H27" i="10"/>
  <c r="R27" i="10"/>
  <c r="F25" i="10"/>
  <c r="P29" i="10"/>
  <c r="N29" i="10"/>
  <c r="O29" i="10"/>
  <c r="S29" i="10" s="1"/>
  <c r="B31" i="4"/>
  <c r="B33" i="5"/>
  <c r="A31" i="10" s="1"/>
  <c r="J31" i="10" s="1"/>
  <c r="T31" i="4" l="1"/>
  <c r="U31" i="4"/>
  <c r="G29" i="5"/>
  <c r="D27" i="10" s="1"/>
  <c r="L27" i="4"/>
  <c r="N27" i="4" s="1"/>
  <c r="M28" i="4"/>
  <c r="J28" i="5"/>
  <c r="V28" i="5"/>
  <c r="AC28" i="5" s="1"/>
  <c r="AH25" i="5"/>
  <c r="AI25" i="5" s="1"/>
  <c r="AD26" i="5"/>
  <c r="AJ25" i="5"/>
  <c r="AK25" i="5" s="1"/>
  <c r="AM25" i="5"/>
  <c r="AL25" i="5" s="1"/>
  <c r="I29" i="10"/>
  <c r="R30" i="10"/>
  <c r="H30" i="10"/>
  <c r="F26" i="10"/>
  <c r="I27" i="10"/>
  <c r="N31" i="10"/>
  <c r="O31" i="10"/>
  <c r="S31" i="10" s="1"/>
  <c r="P31" i="10"/>
  <c r="Q31" i="10" s="1"/>
  <c r="I28" i="10"/>
  <c r="B34" i="5"/>
  <c r="A32" i="10" s="1"/>
  <c r="J32" i="10" s="1"/>
  <c r="B33" i="4"/>
  <c r="I29" i="5"/>
  <c r="F27" i="10" s="1"/>
  <c r="G30" i="5"/>
  <c r="D28" i="10" s="1"/>
  <c r="K29" i="5"/>
  <c r="B36" i="5" l="1"/>
  <c r="A33" i="10" s="1"/>
  <c r="J33" i="10" s="1"/>
  <c r="T33" i="4"/>
  <c r="U33" i="4"/>
  <c r="M29" i="4"/>
  <c r="H32" i="5" s="1"/>
  <c r="L28" i="4"/>
  <c r="N28" i="4" s="1"/>
  <c r="H31" i="5"/>
  <c r="E29" i="10" s="1"/>
  <c r="AH28" i="5"/>
  <c r="AK28" i="5"/>
  <c r="AI28" i="5"/>
  <c r="AJ28" i="5"/>
  <c r="AH26" i="5"/>
  <c r="AI26" i="5" s="1"/>
  <c r="AM26" i="5"/>
  <c r="AL26" i="5" s="1"/>
  <c r="AD27" i="5"/>
  <c r="AJ26" i="5"/>
  <c r="AK26" i="5" s="1"/>
  <c r="I30" i="10"/>
  <c r="H31" i="10"/>
  <c r="R31" i="10"/>
  <c r="N32" i="10"/>
  <c r="P32" i="10"/>
  <c r="Q32" i="10" s="1"/>
  <c r="O32" i="10"/>
  <c r="S32" i="10" s="1"/>
  <c r="B35" i="4"/>
  <c r="I30" i="5"/>
  <c r="F28" i="10" s="1"/>
  <c r="J29" i="5"/>
  <c r="K30" i="5"/>
  <c r="T35" i="4" l="1"/>
  <c r="U35" i="4"/>
  <c r="B38" i="5"/>
  <c r="A35" i="10" s="1"/>
  <c r="J35" i="10" s="1"/>
  <c r="G31" i="5"/>
  <c r="D29" i="10" s="1"/>
  <c r="M30" i="4"/>
  <c r="H33" i="5" s="1"/>
  <c r="L29" i="4"/>
  <c r="N29" i="4" s="1"/>
  <c r="AH27" i="5"/>
  <c r="AI27" i="5" s="1"/>
  <c r="AJ27" i="5"/>
  <c r="AK27" i="5" s="1"/>
  <c r="AD28" i="5"/>
  <c r="AM28" i="5" s="1"/>
  <c r="AL28" i="5" s="1"/>
  <c r="AM27" i="5"/>
  <c r="AL27" i="5" s="1"/>
  <c r="I31" i="10"/>
  <c r="R32" i="10"/>
  <c r="H32" i="10"/>
  <c r="X32" i="5"/>
  <c r="E30" i="10"/>
  <c r="N33" i="10"/>
  <c r="O33" i="10"/>
  <c r="S33" i="10" s="1"/>
  <c r="P33" i="10"/>
  <c r="Q33" i="10" s="1"/>
  <c r="P34" i="10"/>
  <c r="Q34" i="10" s="1"/>
  <c r="B37" i="4"/>
  <c r="I31" i="5"/>
  <c r="F29" i="10" s="1"/>
  <c r="J30" i="5"/>
  <c r="K31" i="5"/>
  <c r="T37" i="4" l="1"/>
  <c r="B40" i="5"/>
  <c r="A37" i="10" s="1"/>
  <c r="J37" i="10" s="1"/>
  <c r="U37" i="4"/>
  <c r="G32" i="5"/>
  <c r="D30" i="10" s="1"/>
  <c r="M31" i="4"/>
  <c r="H34" i="5" s="1"/>
  <c r="L30" i="4"/>
  <c r="N30" i="4" s="1"/>
  <c r="I32" i="10"/>
  <c r="R33" i="10"/>
  <c r="H33" i="10"/>
  <c r="X33" i="5"/>
  <c r="E31" i="10"/>
  <c r="O35" i="10"/>
  <c r="S35" i="10" s="1"/>
  <c r="N35" i="10"/>
  <c r="P35" i="10"/>
  <c r="Q35" i="10" s="1"/>
  <c r="P36" i="10"/>
  <c r="Q36" i="10" s="1"/>
  <c r="H34" i="10"/>
  <c r="R34" i="10"/>
  <c r="AC31" i="5"/>
  <c r="AD31" i="5" s="1"/>
  <c r="B38" i="4"/>
  <c r="AF31" i="5"/>
  <c r="AG31" i="5" s="1"/>
  <c r="K32" i="5"/>
  <c r="I32" i="5"/>
  <c r="J31" i="5"/>
  <c r="G33" i="5" l="1"/>
  <c r="D31" i="10" s="1"/>
  <c r="B41" i="5"/>
  <c r="U38" i="4"/>
  <c r="T38" i="4"/>
  <c r="L31" i="4"/>
  <c r="N31" i="4" s="1"/>
  <c r="M32" i="4"/>
  <c r="I33" i="10"/>
  <c r="H36" i="10"/>
  <c r="R36" i="10"/>
  <c r="R35" i="10"/>
  <c r="H35" i="10"/>
  <c r="V32" i="5"/>
  <c r="AC32" i="5" s="1"/>
  <c r="F30" i="10"/>
  <c r="X34" i="5"/>
  <c r="E32" i="10"/>
  <c r="O37" i="10"/>
  <c r="S37" i="10" s="1"/>
  <c r="P37" i="10"/>
  <c r="Q37" i="10" s="1"/>
  <c r="N37" i="10"/>
  <c r="I34" i="10"/>
  <c r="AM31" i="5"/>
  <c r="AL31" i="5" s="1"/>
  <c r="AI31" i="5"/>
  <c r="AJ31" i="5"/>
  <c r="AK31" i="5"/>
  <c r="AH31" i="5"/>
  <c r="B39" i="4"/>
  <c r="A38" i="10"/>
  <c r="J38" i="10" s="1"/>
  <c r="B40" i="4"/>
  <c r="AF32" i="5"/>
  <c r="AG32" i="5" s="1"/>
  <c r="K33" i="5"/>
  <c r="J32" i="5"/>
  <c r="I33" i="5"/>
  <c r="T39" i="4" l="1"/>
  <c r="U39" i="4"/>
  <c r="B42" i="5"/>
  <c r="A39" i="10" s="1"/>
  <c r="J39" i="10" s="1"/>
  <c r="N39" i="10" s="1"/>
  <c r="B43" i="5"/>
  <c r="A40" i="10" s="1"/>
  <c r="J40" i="10" s="1"/>
  <c r="T40" i="4"/>
  <c r="U40" i="4"/>
  <c r="H35" i="5"/>
  <c r="M33" i="4"/>
  <c r="L32" i="4"/>
  <c r="G34" i="5"/>
  <c r="D32" i="10" s="1"/>
  <c r="V33" i="5"/>
  <c r="AC33" i="5" s="1"/>
  <c r="F31" i="10"/>
  <c r="I35" i="10"/>
  <c r="H37" i="10"/>
  <c r="R37" i="10"/>
  <c r="O38" i="10"/>
  <c r="S38" i="10" s="1"/>
  <c r="P38" i="10"/>
  <c r="Q38" i="10" s="1"/>
  <c r="N38" i="10"/>
  <c r="I36" i="10"/>
  <c r="AD32" i="5"/>
  <c r="AH32" i="5" s="1"/>
  <c r="AI32" i="5" s="1"/>
  <c r="B45" i="4"/>
  <c r="K34" i="5"/>
  <c r="J33" i="5"/>
  <c r="I34" i="5"/>
  <c r="U45" i="4" l="1"/>
  <c r="T45" i="4"/>
  <c r="N32" i="4"/>
  <c r="I35" i="5" s="1"/>
  <c r="G35" i="5"/>
  <c r="H36" i="5"/>
  <c r="L33" i="4"/>
  <c r="M34" i="4"/>
  <c r="K35" i="5"/>
  <c r="X35" i="5"/>
  <c r="P39" i="10"/>
  <c r="Q39" i="10" s="1"/>
  <c r="O39" i="10"/>
  <c r="S39" i="10" s="1"/>
  <c r="I37" i="10"/>
  <c r="R38" i="10"/>
  <c r="H38" i="10"/>
  <c r="O40" i="10"/>
  <c r="S40" i="10" s="1"/>
  <c r="P40" i="10"/>
  <c r="Q40" i="10" s="1"/>
  <c r="N40" i="10"/>
  <c r="P42" i="10"/>
  <c r="Q42" i="10" s="1"/>
  <c r="P41" i="10"/>
  <c r="Q41" i="10" s="1"/>
  <c r="V34" i="5"/>
  <c r="AC34" i="5" s="1"/>
  <c r="F32" i="10"/>
  <c r="AD33" i="5"/>
  <c r="AM33" i="5" s="1"/>
  <c r="AL33" i="5" s="1"/>
  <c r="AM32" i="5"/>
  <c r="AL32" i="5" s="1"/>
  <c r="AJ32" i="5"/>
  <c r="AK32" i="5" s="1"/>
  <c r="B47" i="4"/>
  <c r="B48" i="5"/>
  <c r="A45" i="10" s="1"/>
  <c r="J34" i="5"/>
  <c r="T47" i="4" l="1"/>
  <c r="U47" i="4"/>
  <c r="H37" i="5"/>
  <c r="M35" i="4"/>
  <c r="L34" i="4"/>
  <c r="J35" i="5"/>
  <c r="V35" i="5"/>
  <c r="AC35" i="5" s="1"/>
  <c r="N33" i="4"/>
  <c r="I36" i="5" s="1"/>
  <c r="F33" i="10" s="1"/>
  <c r="G36" i="5"/>
  <c r="D33" i="10" s="1"/>
  <c r="K36" i="5"/>
  <c r="X36" i="5"/>
  <c r="E33" i="10"/>
  <c r="R39" i="10"/>
  <c r="H39" i="10"/>
  <c r="I38" i="10"/>
  <c r="H40" i="10"/>
  <c r="R40" i="10"/>
  <c r="H41" i="10"/>
  <c r="R41" i="10"/>
  <c r="R42" i="10"/>
  <c r="H42" i="10"/>
  <c r="O43" i="10"/>
  <c r="J45" i="10"/>
  <c r="AD34" i="5"/>
  <c r="AJ33" i="5"/>
  <c r="AK33" i="5" s="1"/>
  <c r="AH33" i="5"/>
  <c r="AI33" i="5" s="1"/>
  <c r="B49" i="4"/>
  <c r="B50" i="5"/>
  <c r="A47" i="10" s="1"/>
  <c r="J47" i="10" s="1"/>
  <c r="B52" i="5" l="1"/>
  <c r="A48" i="10" s="1"/>
  <c r="T49" i="4"/>
  <c r="U49" i="4"/>
  <c r="N34" i="4"/>
  <c r="I37" i="5" s="1"/>
  <c r="F34" i="10" s="1"/>
  <c r="G37" i="5"/>
  <c r="D34" i="10" s="1"/>
  <c r="V36" i="5"/>
  <c r="AC36" i="5" s="1"/>
  <c r="J36" i="5"/>
  <c r="H38" i="5"/>
  <c r="M36" i="4"/>
  <c r="L35" i="4"/>
  <c r="AI35" i="5"/>
  <c r="AH35" i="5"/>
  <c r="AJ35" i="5"/>
  <c r="AK35" i="5"/>
  <c r="K37" i="5"/>
  <c r="X37" i="5"/>
  <c r="E34" i="10"/>
  <c r="AM34" i="5"/>
  <c r="AL34" i="5" s="1"/>
  <c r="AD35" i="5"/>
  <c r="I39" i="10"/>
  <c r="I41" i="10"/>
  <c r="I42" i="10"/>
  <c r="O47" i="10"/>
  <c r="S47" i="10" s="1"/>
  <c r="P47" i="10"/>
  <c r="Q47" i="10" s="1"/>
  <c r="H47" i="10" s="1"/>
  <c r="N47" i="10"/>
  <c r="P45" i="10"/>
  <c r="Q45" i="10" s="1"/>
  <c r="N45" i="10"/>
  <c r="O45" i="10"/>
  <c r="S45" i="10" s="1"/>
  <c r="S43" i="10"/>
  <c r="N43" i="10"/>
  <c r="I40" i="10"/>
  <c r="AH34" i="5"/>
  <c r="AI34" i="5" s="1"/>
  <c r="AJ34" i="5"/>
  <c r="AK34" i="5" s="1"/>
  <c r="B50" i="4"/>
  <c r="U50" i="4" l="1"/>
  <c r="T50" i="4"/>
  <c r="N35" i="4"/>
  <c r="I38" i="5" s="1"/>
  <c r="G38" i="5"/>
  <c r="D35" i="10" s="1"/>
  <c r="H39" i="5"/>
  <c r="M37" i="4"/>
  <c r="L36" i="4"/>
  <c r="K38" i="5"/>
  <c r="X38" i="5"/>
  <c r="E35" i="10"/>
  <c r="J37" i="5"/>
  <c r="V37" i="5"/>
  <c r="AC37" i="5" s="1"/>
  <c r="AD36" i="5"/>
  <c r="AM35" i="5"/>
  <c r="AL35" i="5" s="1"/>
  <c r="AF35" i="5"/>
  <c r="AG35" i="5" s="1"/>
  <c r="R45" i="10"/>
  <c r="H45" i="10"/>
  <c r="R47" i="10"/>
  <c r="I47" i="10" s="1"/>
  <c r="Q48" i="10"/>
  <c r="J48" i="10"/>
  <c r="B53" i="5"/>
  <c r="A49" i="10" s="1"/>
  <c r="B51" i="4"/>
  <c r="T51" i="4" l="1"/>
  <c r="U51" i="4"/>
  <c r="N36" i="4"/>
  <c r="I39" i="5" s="1"/>
  <c r="G39" i="5"/>
  <c r="D36" i="10" s="1"/>
  <c r="J38" i="5"/>
  <c r="V38" i="5"/>
  <c r="AC38" i="5" s="1"/>
  <c r="F35" i="10"/>
  <c r="H40" i="5"/>
  <c r="M38" i="4"/>
  <c r="L37" i="4"/>
  <c r="K39" i="5"/>
  <c r="X39" i="5"/>
  <c r="E36" i="10"/>
  <c r="AH36" i="5"/>
  <c r="AI36" i="5" s="1"/>
  <c r="AJ36" i="5"/>
  <c r="AK36" i="5" s="1"/>
  <c r="AM36" i="5"/>
  <c r="AL36" i="5" s="1"/>
  <c r="AF36" i="5"/>
  <c r="AG36" i="5" s="1"/>
  <c r="AD37" i="5"/>
  <c r="I45" i="10"/>
  <c r="E37" i="10"/>
  <c r="Q49" i="10"/>
  <c r="H49" i="10" s="1"/>
  <c r="J49" i="10"/>
  <c r="H48" i="10"/>
  <c r="R48" i="10"/>
  <c r="B52" i="4"/>
  <c r="B54" i="5"/>
  <c r="A50" i="10" s="1"/>
  <c r="J50" i="10" s="1"/>
  <c r="T52" i="4" l="1"/>
  <c r="U52" i="4"/>
  <c r="V39" i="5"/>
  <c r="AC39" i="5" s="1"/>
  <c r="J39" i="5"/>
  <c r="F36" i="10"/>
  <c r="N37" i="4"/>
  <c r="I40" i="5" s="1"/>
  <c r="G40" i="5"/>
  <c r="D37" i="10" s="1"/>
  <c r="H41" i="5"/>
  <c r="M39" i="4"/>
  <c r="L38" i="4"/>
  <c r="K40" i="5"/>
  <c r="X40" i="5"/>
  <c r="AF37" i="5"/>
  <c r="AG37" i="5" s="1"/>
  <c r="AJ37" i="5"/>
  <c r="AK37" i="5" s="1"/>
  <c r="AD38" i="5"/>
  <c r="AH37" i="5"/>
  <c r="AI37" i="5" s="1"/>
  <c r="AM37" i="5"/>
  <c r="AL37" i="5" s="1"/>
  <c r="I48" i="10"/>
  <c r="O49" i="10"/>
  <c r="S49" i="10" s="1"/>
  <c r="R49" i="10" s="1"/>
  <c r="I49" i="10" s="1"/>
  <c r="P49" i="10"/>
  <c r="P50" i="10"/>
  <c r="Q50" i="10" s="1"/>
  <c r="H50" i="10" s="1"/>
  <c r="N50" i="10"/>
  <c r="O50" i="10"/>
  <c r="S50" i="10" s="1"/>
  <c r="E38" i="10"/>
  <c r="B55" i="5"/>
  <c r="A51" i="10" s="1"/>
  <c r="B53" i="4"/>
  <c r="T53" i="4" l="1"/>
  <c r="U53" i="4"/>
  <c r="N38" i="4"/>
  <c r="I41" i="5" s="1"/>
  <c r="G41" i="5"/>
  <c r="D38" i="10" s="1"/>
  <c r="H42" i="5"/>
  <c r="M40" i="4"/>
  <c r="L39" i="4"/>
  <c r="V40" i="5"/>
  <c r="AC40" i="5" s="1"/>
  <c r="J40" i="5"/>
  <c r="F37" i="10"/>
  <c r="K41" i="5"/>
  <c r="X41" i="5"/>
  <c r="AM38" i="5"/>
  <c r="AL38" i="5" s="1"/>
  <c r="AJ38" i="5"/>
  <c r="AK38" i="5" s="1"/>
  <c r="AF38" i="5"/>
  <c r="AG38" i="5" s="1"/>
  <c r="AH38" i="5"/>
  <c r="AI38" i="5" s="1"/>
  <c r="AD39" i="5"/>
  <c r="N49" i="10"/>
  <c r="R50" i="10"/>
  <c r="I50" i="10" s="1"/>
  <c r="J51" i="10"/>
  <c r="Q51" i="10"/>
  <c r="B56" i="4"/>
  <c r="B56" i="5"/>
  <c r="A52" i="10" s="1"/>
  <c r="T56" i="4" l="1"/>
  <c r="B59" i="5"/>
  <c r="A54" i="10" s="1"/>
  <c r="U56" i="4"/>
  <c r="X42" i="5"/>
  <c r="K42" i="5"/>
  <c r="E39" i="10"/>
  <c r="H43" i="5"/>
  <c r="L40" i="4"/>
  <c r="M41" i="4"/>
  <c r="N39" i="4"/>
  <c r="I42" i="5" s="1"/>
  <c r="G42" i="5"/>
  <c r="D39" i="10" s="1"/>
  <c r="J41" i="5"/>
  <c r="V41" i="5"/>
  <c r="AC41" i="5" s="1"/>
  <c r="F38" i="10"/>
  <c r="AJ39" i="5"/>
  <c r="AK39" i="5" s="1"/>
  <c r="AF39" i="5"/>
  <c r="AG39" i="5" s="1"/>
  <c r="AH39" i="5"/>
  <c r="AI39" i="5" s="1"/>
  <c r="AD40" i="5"/>
  <c r="AM39" i="5"/>
  <c r="AL39" i="5" s="1"/>
  <c r="R51" i="10"/>
  <c r="H51" i="10"/>
  <c r="J52" i="10"/>
  <c r="K43" i="5" l="1"/>
  <c r="X43" i="5"/>
  <c r="E40" i="10"/>
  <c r="J42" i="5"/>
  <c r="V42" i="5"/>
  <c r="AC42" i="5" s="1"/>
  <c r="F39" i="10"/>
  <c r="N40" i="4"/>
  <c r="I43" i="5" s="1"/>
  <c r="G43" i="5"/>
  <c r="D40" i="10" s="1"/>
  <c r="H44" i="5"/>
  <c r="E41" i="10" s="1"/>
  <c r="M42" i="4"/>
  <c r="L41" i="4"/>
  <c r="AF40" i="5"/>
  <c r="AG40" i="5" s="1"/>
  <c r="AJ40" i="5"/>
  <c r="AK40" i="5" s="1"/>
  <c r="AM40" i="5"/>
  <c r="AL40" i="5" s="1"/>
  <c r="AH40" i="5"/>
  <c r="AI40" i="5" s="1"/>
  <c r="AD41" i="5"/>
  <c r="I51" i="10"/>
  <c r="J54" i="10"/>
  <c r="O52" i="10"/>
  <c r="S52" i="10" s="1"/>
  <c r="N52" i="10"/>
  <c r="P53" i="10"/>
  <c r="Q53" i="10" s="1"/>
  <c r="P52" i="10"/>
  <c r="Q52" i="10" s="1"/>
  <c r="B58" i="4"/>
  <c r="A56" i="10"/>
  <c r="J56" i="10" s="1"/>
  <c r="T58" i="4" l="1"/>
  <c r="U58" i="4"/>
  <c r="K44" i="5"/>
  <c r="X44" i="5"/>
  <c r="N41" i="4"/>
  <c r="I44" i="5" s="1"/>
  <c r="G44" i="5"/>
  <c r="D41" i="10" s="1"/>
  <c r="J43" i="5"/>
  <c r="V43" i="5"/>
  <c r="AC43" i="5" s="1"/>
  <c r="F40" i="10"/>
  <c r="H45" i="5"/>
  <c r="L42" i="4"/>
  <c r="M43" i="4"/>
  <c r="AF41" i="5"/>
  <c r="AG41" i="5" s="1"/>
  <c r="AJ41" i="5"/>
  <c r="AK41" i="5" s="1"/>
  <c r="AD42" i="5"/>
  <c r="AM41" i="5"/>
  <c r="AL41" i="5" s="1"/>
  <c r="AH41" i="5"/>
  <c r="AI41" i="5" s="1"/>
  <c r="R52" i="10"/>
  <c r="H52" i="10"/>
  <c r="O54" i="10"/>
  <c r="S54" i="10" s="1"/>
  <c r="N54" i="10"/>
  <c r="P54" i="10"/>
  <c r="Q54" i="10" s="1"/>
  <c r="R53" i="10"/>
  <c r="H53" i="10"/>
  <c r="N56" i="10"/>
  <c r="P56" i="10"/>
  <c r="Q56" i="10" s="1"/>
  <c r="O56" i="10"/>
  <c r="S56" i="10" s="1"/>
  <c r="B59" i="4"/>
  <c r="B61" i="5"/>
  <c r="A57" i="10" s="1"/>
  <c r="J57" i="10" s="1"/>
  <c r="T59" i="4" l="1"/>
  <c r="U59" i="4"/>
  <c r="N42" i="4"/>
  <c r="I45" i="5" s="1"/>
  <c r="G45" i="5"/>
  <c r="D42" i="10" s="1"/>
  <c r="K45" i="5"/>
  <c r="X45" i="5"/>
  <c r="J44" i="5"/>
  <c r="V44" i="5"/>
  <c r="AC44" i="5" s="1"/>
  <c r="F41" i="10"/>
  <c r="E42" i="10"/>
  <c r="H46" i="5"/>
  <c r="E43" i="10" s="1"/>
  <c r="L43" i="4"/>
  <c r="M44" i="4"/>
  <c r="AF42" i="5"/>
  <c r="AG42" i="5" s="1"/>
  <c r="AH42" i="5"/>
  <c r="AI42" i="5" s="1"/>
  <c r="AD43" i="5"/>
  <c r="AM42" i="5"/>
  <c r="AL42" i="5" s="1"/>
  <c r="AJ42" i="5"/>
  <c r="AK42" i="5" s="1"/>
  <c r="I53" i="10"/>
  <c r="I52" i="10"/>
  <c r="O57" i="10"/>
  <c r="S57" i="10" s="1"/>
  <c r="N57" i="10"/>
  <c r="P57" i="10"/>
  <c r="Q57" i="10" s="1"/>
  <c r="R56" i="10"/>
  <c r="H56" i="10"/>
  <c r="O55" i="10"/>
  <c r="R54" i="10"/>
  <c r="H54" i="10"/>
  <c r="B60" i="4"/>
  <c r="B62" i="5"/>
  <c r="A58" i="10" s="1"/>
  <c r="J58" i="10" s="1"/>
  <c r="U60" i="4" l="1"/>
  <c r="T60" i="4"/>
  <c r="M45" i="4"/>
  <c r="H48" i="5" s="1"/>
  <c r="E45" i="10" s="1"/>
  <c r="L44" i="4"/>
  <c r="N44" i="4" s="1"/>
  <c r="I47" i="5" s="1"/>
  <c r="F44" i="10" s="1"/>
  <c r="K46" i="5"/>
  <c r="X46" i="5"/>
  <c r="J45" i="5"/>
  <c r="V45" i="5"/>
  <c r="AC45" i="5" s="1"/>
  <c r="F42" i="10"/>
  <c r="H47" i="5"/>
  <c r="E44" i="10" s="1"/>
  <c r="N43" i="4"/>
  <c r="I46" i="5" s="1"/>
  <c r="G46" i="5"/>
  <c r="D43" i="10" s="1"/>
  <c r="AF43" i="5"/>
  <c r="AG43" i="5" s="1"/>
  <c r="AJ43" i="5"/>
  <c r="AK43" i="5" s="1"/>
  <c r="AD44" i="5"/>
  <c r="AM43" i="5"/>
  <c r="AL43" i="5" s="1"/>
  <c r="AH43" i="5"/>
  <c r="AI43" i="5" s="1"/>
  <c r="I54" i="10"/>
  <c r="I56" i="10"/>
  <c r="G47" i="5"/>
  <c r="D44" i="10" s="1"/>
  <c r="O58" i="10"/>
  <c r="S58" i="10" s="1"/>
  <c r="N58" i="10"/>
  <c r="P58" i="10"/>
  <c r="Q58" i="10" s="1"/>
  <c r="S55" i="10"/>
  <c r="N55" i="10"/>
  <c r="R57" i="10"/>
  <c r="H57" i="10"/>
  <c r="B63" i="4"/>
  <c r="B63" i="5"/>
  <c r="A59" i="10" s="1"/>
  <c r="J59" i="10" s="1"/>
  <c r="U63" i="4" l="1"/>
  <c r="T63" i="4"/>
  <c r="L45" i="4"/>
  <c r="N45" i="4" s="1"/>
  <c r="M46" i="4"/>
  <c r="H49" i="5" s="1"/>
  <c r="E46" i="10" s="1"/>
  <c r="K47" i="5"/>
  <c r="J46" i="5"/>
  <c r="V46" i="5"/>
  <c r="AC46" i="5" s="1"/>
  <c r="F43" i="10"/>
  <c r="AJ44" i="5"/>
  <c r="AK44" i="5" s="1"/>
  <c r="AF44" i="5"/>
  <c r="AG44" i="5" s="1"/>
  <c r="AH44" i="5"/>
  <c r="AI44" i="5" s="1"/>
  <c r="AM44" i="5"/>
  <c r="AL44" i="5" s="1"/>
  <c r="AD45" i="5"/>
  <c r="I57" i="10"/>
  <c r="I48" i="5"/>
  <c r="F45" i="10" s="1"/>
  <c r="K48" i="5"/>
  <c r="H58" i="10"/>
  <c r="R58" i="10"/>
  <c r="N59" i="10"/>
  <c r="O59" i="10"/>
  <c r="S59" i="10" s="1"/>
  <c r="P59" i="10"/>
  <c r="Q59" i="10" s="1"/>
  <c r="P61" i="10"/>
  <c r="Q61" i="10" s="1"/>
  <c r="P60" i="10"/>
  <c r="Q60" i="10" s="1"/>
  <c r="B64" i="4"/>
  <c r="B66" i="5"/>
  <c r="A62" i="10" s="1"/>
  <c r="J47" i="5"/>
  <c r="U64" i="4" l="1"/>
  <c r="T64" i="4"/>
  <c r="G48" i="5"/>
  <c r="D45" i="10" s="1"/>
  <c r="AK46" i="5"/>
  <c r="AJ46" i="5"/>
  <c r="AH46" i="5"/>
  <c r="AI46" i="5"/>
  <c r="L46" i="4"/>
  <c r="N46" i="4" s="1"/>
  <c r="I49" i="5" s="1"/>
  <c r="F46" i="10" s="1"/>
  <c r="M47" i="4"/>
  <c r="H50" i="5" s="1"/>
  <c r="AH45" i="5"/>
  <c r="AI45" i="5" s="1"/>
  <c r="AF45" i="5"/>
  <c r="AG45" i="5" s="1"/>
  <c r="AJ45" i="5"/>
  <c r="AK45" i="5" s="1"/>
  <c r="AD46" i="5"/>
  <c r="AM45" i="5"/>
  <c r="AL45" i="5" s="1"/>
  <c r="K49" i="5"/>
  <c r="R59" i="10"/>
  <c r="H59" i="10"/>
  <c r="I58" i="10"/>
  <c r="H60" i="10"/>
  <c r="R60" i="10"/>
  <c r="R61" i="10"/>
  <c r="H61" i="10"/>
  <c r="AC49" i="5"/>
  <c r="Q62" i="10"/>
  <c r="H62" i="10" s="1"/>
  <c r="I62" i="10" s="1"/>
  <c r="J62" i="10"/>
  <c r="B65" i="4"/>
  <c r="B67" i="5"/>
  <c r="A63" i="10" s="1"/>
  <c r="T65" i="4" l="1"/>
  <c r="U65" i="4"/>
  <c r="J48" i="5"/>
  <c r="G49" i="5"/>
  <c r="D46" i="10" s="1"/>
  <c r="E47" i="10"/>
  <c r="X50" i="5"/>
  <c r="L47" i="4"/>
  <c r="N47" i="4" s="1"/>
  <c r="I50" i="5" s="1"/>
  <c r="F47" i="10" s="1"/>
  <c r="M48" i="4"/>
  <c r="AD49" i="5"/>
  <c r="AM49" i="5" s="1"/>
  <c r="AL49" i="5" s="1"/>
  <c r="AF46" i="5"/>
  <c r="AG46" i="5" s="1"/>
  <c r="AM46" i="5"/>
  <c r="AL46" i="5" s="1"/>
  <c r="K50" i="5"/>
  <c r="I59" i="10"/>
  <c r="I60" i="10"/>
  <c r="Q63" i="10"/>
  <c r="H63" i="10" s="1"/>
  <c r="I63" i="10" s="1"/>
  <c r="J63" i="10"/>
  <c r="P62" i="10"/>
  <c r="I61" i="10"/>
  <c r="B66" i="4"/>
  <c r="B68" i="5"/>
  <c r="A64" i="10" s="1"/>
  <c r="J64" i="10" s="1"/>
  <c r="T66" i="4" l="1"/>
  <c r="U66" i="4"/>
  <c r="J49" i="5"/>
  <c r="AK49" i="5" s="1"/>
  <c r="G50" i="5"/>
  <c r="D47" i="10" s="1"/>
  <c r="H51" i="5"/>
  <c r="L48" i="4"/>
  <c r="M49" i="4"/>
  <c r="P63" i="10"/>
  <c r="N63" i="10"/>
  <c r="O63" i="10"/>
  <c r="S63" i="10" s="1"/>
  <c r="R63" i="10" s="1"/>
  <c r="N64" i="10"/>
  <c r="O64" i="10"/>
  <c r="S64" i="10" s="1"/>
  <c r="P64" i="10"/>
  <c r="Q64" i="10" s="1"/>
  <c r="B69" i="5"/>
  <c r="A65" i="10" s="1"/>
  <c r="B67" i="4"/>
  <c r="AI49" i="5" l="1"/>
  <c r="AJ49" i="5"/>
  <c r="AH49" i="5"/>
  <c r="T67" i="4"/>
  <c r="U67" i="4"/>
  <c r="V50" i="5"/>
  <c r="AC50" i="5" s="1"/>
  <c r="AD50" i="5" s="1"/>
  <c r="AM50" i="5" s="1"/>
  <c r="AL50" i="5" s="1"/>
  <c r="J50" i="5"/>
  <c r="N48" i="4"/>
  <c r="I51" i="5" s="1"/>
  <c r="G51" i="5"/>
  <c r="K51" i="5"/>
  <c r="X51" i="5"/>
  <c r="H52" i="5"/>
  <c r="L49" i="4"/>
  <c r="M50" i="4"/>
  <c r="Q65" i="10"/>
  <c r="H65" i="10" s="1"/>
  <c r="J65" i="10"/>
  <c r="R64" i="10"/>
  <c r="H64" i="10"/>
  <c r="A66" i="10"/>
  <c r="J66" i="10" s="1"/>
  <c r="B68" i="4"/>
  <c r="AH50" i="5" l="1"/>
  <c r="AI50" i="5" s="1"/>
  <c r="U68" i="4"/>
  <c r="T68" i="4"/>
  <c r="AJ50" i="5"/>
  <c r="AK50" i="5" s="1"/>
  <c r="L50" i="4"/>
  <c r="M51" i="4"/>
  <c r="H53" i="5"/>
  <c r="N49" i="4"/>
  <c r="I52" i="5" s="1"/>
  <c r="G52" i="5"/>
  <c r="D48" i="10" s="1"/>
  <c r="K52" i="5"/>
  <c r="X52" i="5"/>
  <c r="E48" i="10"/>
  <c r="J51" i="5"/>
  <c r="V51" i="5"/>
  <c r="AC51" i="5" s="1"/>
  <c r="AD51" i="5" s="1"/>
  <c r="AM51" i="5" s="1"/>
  <c r="AL51" i="5" s="1"/>
  <c r="I64" i="10"/>
  <c r="O66" i="10"/>
  <c r="S66" i="10" s="1"/>
  <c r="N66" i="10"/>
  <c r="P66" i="10"/>
  <c r="Q66" i="10" s="1"/>
  <c r="P65" i="10"/>
  <c r="B70" i="4"/>
  <c r="A67" i="10"/>
  <c r="J67" i="10" s="1"/>
  <c r="N50" i="4" l="1"/>
  <c r="I53" i="5" s="1"/>
  <c r="G53" i="5"/>
  <c r="D49" i="10" s="1"/>
  <c r="J52" i="5"/>
  <c r="V52" i="5"/>
  <c r="AC52" i="5" s="1"/>
  <c r="AD52" i="5" s="1"/>
  <c r="F48" i="10"/>
  <c r="X53" i="5"/>
  <c r="K53" i="5"/>
  <c r="E49" i="10"/>
  <c r="AK51" i="5"/>
  <c r="AJ51" i="5"/>
  <c r="AH51" i="5"/>
  <c r="AI51" i="5"/>
  <c r="M52" i="4"/>
  <c r="L51" i="4"/>
  <c r="H54" i="5"/>
  <c r="O67" i="10"/>
  <c r="S67" i="10" s="1"/>
  <c r="P67" i="10"/>
  <c r="Q67" i="10" s="1"/>
  <c r="N67" i="10"/>
  <c r="H66" i="10"/>
  <c r="R66" i="10"/>
  <c r="B71" i="4"/>
  <c r="A68" i="10"/>
  <c r="J68" i="10" s="1"/>
  <c r="AH52" i="5" l="1"/>
  <c r="AI52" i="5" s="1"/>
  <c r="AJ52" i="5"/>
  <c r="AK52" i="5" s="1"/>
  <c r="AM52" i="5"/>
  <c r="AL52" i="5" s="1"/>
  <c r="N51" i="4"/>
  <c r="I54" i="5" s="1"/>
  <c r="G54" i="5"/>
  <c r="D50" i="10" s="1"/>
  <c r="E50" i="10"/>
  <c r="K54" i="5"/>
  <c r="M53" i="4"/>
  <c r="L52" i="4"/>
  <c r="H55" i="5"/>
  <c r="F49" i="10"/>
  <c r="J53" i="5"/>
  <c r="V53" i="5"/>
  <c r="AC53" i="5" s="1"/>
  <c r="AD53" i="5" s="1"/>
  <c r="AM53" i="5" s="1"/>
  <c r="AL53" i="5" s="1"/>
  <c r="I66" i="10"/>
  <c r="R67" i="10"/>
  <c r="H67" i="10"/>
  <c r="O68" i="10"/>
  <c r="S68" i="10" s="1"/>
  <c r="N68" i="10"/>
  <c r="P68" i="10"/>
  <c r="Q68" i="10" s="1"/>
  <c r="H68" i="10" s="1"/>
  <c r="AC55" i="5"/>
  <c r="A69" i="10"/>
  <c r="J69" i="10" s="1"/>
  <c r="E51" i="10" l="1"/>
  <c r="K55" i="5"/>
  <c r="AK53" i="5"/>
  <c r="AH53" i="5"/>
  <c r="AI53" i="5"/>
  <c r="AJ53" i="5"/>
  <c r="M54" i="4"/>
  <c r="L53" i="4"/>
  <c r="H56" i="5"/>
  <c r="F50" i="10"/>
  <c r="J54" i="5"/>
  <c r="N52" i="4"/>
  <c r="I55" i="5" s="1"/>
  <c r="G55" i="5"/>
  <c r="D51" i="10" s="1"/>
  <c r="I67" i="10"/>
  <c r="AD55" i="5"/>
  <c r="AM55" i="5" s="1"/>
  <c r="AL55" i="5" s="1"/>
  <c r="R68" i="10"/>
  <c r="I68" i="10" s="1"/>
  <c r="N69" i="10"/>
  <c r="O69" i="10"/>
  <c r="S69" i="10" s="1"/>
  <c r="P69" i="10"/>
  <c r="Q69" i="10" s="1"/>
  <c r="A70" i="10"/>
  <c r="B72" i="4"/>
  <c r="E52" i="10" l="1"/>
  <c r="K56" i="5"/>
  <c r="X56" i="5"/>
  <c r="F51" i="10"/>
  <c r="J55" i="5"/>
  <c r="N53" i="4"/>
  <c r="I56" i="5" s="1"/>
  <c r="G56" i="5"/>
  <c r="D52" i="10" s="1"/>
  <c r="H57" i="5"/>
  <c r="M55" i="4"/>
  <c r="L54" i="4"/>
  <c r="H69" i="10"/>
  <c r="R69" i="10"/>
  <c r="J70" i="10"/>
  <c r="B73" i="4"/>
  <c r="A71" i="10"/>
  <c r="J71" i="10" s="1"/>
  <c r="T73" i="4" l="1"/>
  <c r="B76" i="5"/>
  <c r="U73" i="4"/>
  <c r="AH55" i="5"/>
  <c r="AI55" i="5"/>
  <c r="AJ55" i="5"/>
  <c r="AK55" i="5"/>
  <c r="H58" i="5"/>
  <c r="L55" i="4"/>
  <c r="M56" i="4"/>
  <c r="K57" i="5"/>
  <c r="X57" i="5"/>
  <c r="E53" i="10"/>
  <c r="N54" i="4"/>
  <c r="I57" i="5" s="1"/>
  <c r="G57" i="5"/>
  <c r="D53" i="10" s="1"/>
  <c r="F52" i="10"/>
  <c r="V56" i="5"/>
  <c r="AC56" i="5" s="1"/>
  <c r="AD56" i="5" s="1"/>
  <c r="AM56" i="5" s="1"/>
  <c r="AL56" i="5" s="1"/>
  <c r="J56" i="5"/>
  <c r="I69" i="10"/>
  <c r="O71" i="10"/>
  <c r="S71" i="10" s="1"/>
  <c r="P71" i="10"/>
  <c r="Q71" i="10" s="1"/>
  <c r="N71" i="10"/>
  <c r="P70" i="10"/>
  <c r="Q70" i="10" s="1"/>
  <c r="H70" i="10" s="1"/>
  <c r="N70" i="10"/>
  <c r="O70" i="10"/>
  <c r="S70" i="10" s="1"/>
  <c r="A72" i="10"/>
  <c r="J72" i="10" s="1"/>
  <c r="B74" i="4"/>
  <c r="R70" i="10" l="1"/>
  <c r="I70" i="10" s="1"/>
  <c r="B77" i="5"/>
  <c r="A73" i="10" s="1"/>
  <c r="J73" i="10" s="1"/>
  <c r="T74" i="4"/>
  <c r="U74" i="4"/>
  <c r="AH56" i="5"/>
  <c r="AI56" i="5" s="1"/>
  <c r="AJ56" i="5"/>
  <c r="AK56" i="5" s="1"/>
  <c r="K58" i="5"/>
  <c r="X58" i="5"/>
  <c r="J57" i="5"/>
  <c r="V57" i="5"/>
  <c r="AC57" i="5" s="1"/>
  <c r="AD57" i="5" s="1"/>
  <c r="AM57" i="5" s="1"/>
  <c r="AL57" i="5" s="1"/>
  <c r="F53" i="10"/>
  <c r="H59" i="5"/>
  <c r="M57" i="4"/>
  <c r="M58" i="4" s="1"/>
  <c r="L56" i="4"/>
  <c r="N55" i="4"/>
  <c r="I58" i="5" s="1"/>
  <c r="G58" i="5"/>
  <c r="R71" i="10"/>
  <c r="H71" i="10"/>
  <c r="O72" i="10"/>
  <c r="S72" i="10" s="1"/>
  <c r="N72" i="10"/>
  <c r="P72" i="10"/>
  <c r="Q72" i="10" s="1"/>
  <c r="B76" i="4"/>
  <c r="L58" i="4" l="1"/>
  <c r="N58" i="4" s="1"/>
  <c r="M59" i="4"/>
  <c r="AH57" i="5"/>
  <c r="AI57" i="5" s="1"/>
  <c r="AJ57" i="5"/>
  <c r="AK57" i="5" s="1"/>
  <c r="U76" i="4"/>
  <c r="B79" i="5"/>
  <c r="A74" i="10" s="1"/>
  <c r="J74" i="10" s="1"/>
  <c r="T76" i="4"/>
  <c r="N56" i="4"/>
  <c r="I59" i="5" s="1"/>
  <c r="G59" i="5"/>
  <c r="D54" i="10" s="1"/>
  <c r="L57" i="4"/>
  <c r="H60" i="5"/>
  <c r="K59" i="5"/>
  <c r="X59" i="5"/>
  <c r="E54" i="10"/>
  <c r="J58" i="5"/>
  <c r="V58" i="5"/>
  <c r="AC58" i="5" s="1"/>
  <c r="AD58" i="5" s="1"/>
  <c r="I71" i="10"/>
  <c r="P73" i="10"/>
  <c r="Q73" i="10" s="1"/>
  <c r="N73" i="10"/>
  <c r="O73" i="10"/>
  <c r="S73" i="10" s="1"/>
  <c r="H72" i="10"/>
  <c r="R72" i="10"/>
  <c r="B77" i="4"/>
  <c r="L59" i="4" l="1"/>
  <c r="N59" i="4" s="1"/>
  <c r="M60" i="4"/>
  <c r="T77" i="4"/>
  <c r="B80" i="5"/>
  <c r="A75" i="10" s="1"/>
  <c r="J75" i="10" s="1"/>
  <c r="U77" i="4"/>
  <c r="AM58" i="5"/>
  <c r="AL58" i="5" s="1"/>
  <c r="X60" i="5"/>
  <c r="E55" i="10"/>
  <c r="K60" i="5"/>
  <c r="J59" i="5"/>
  <c r="V59" i="5"/>
  <c r="AC59" i="5" s="1"/>
  <c r="AD59" i="5" s="1"/>
  <c r="F54" i="10"/>
  <c r="N57" i="4"/>
  <c r="I60" i="5" s="1"/>
  <c r="G60" i="5"/>
  <c r="D55" i="10" s="1"/>
  <c r="AK58" i="5"/>
  <c r="AJ58" i="5"/>
  <c r="AH58" i="5"/>
  <c r="AI58" i="5"/>
  <c r="I72" i="10"/>
  <c r="P74" i="10"/>
  <c r="Q74" i="10" s="1"/>
  <c r="H74" i="10" s="1"/>
  <c r="O74" i="10"/>
  <c r="S74" i="10" s="1"/>
  <c r="N74" i="10"/>
  <c r="H73" i="10"/>
  <c r="R73" i="10"/>
  <c r="AC61" i="5"/>
  <c r="B78" i="4"/>
  <c r="L60" i="4" l="1"/>
  <c r="N60" i="4" s="1"/>
  <c r="M61" i="4"/>
  <c r="T78" i="4"/>
  <c r="U78" i="4"/>
  <c r="AJ59" i="5"/>
  <c r="AK59" i="5" s="1"/>
  <c r="AH59" i="5"/>
  <c r="AI59" i="5" s="1"/>
  <c r="AM59" i="5"/>
  <c r="AL59" i="5" s="1"/>
  <c r="F55" i="10"/>
  <c r="J60" i="5"/>
  <c r="V60" i="5"/>
  <c r="AC60" i="5" s="1"/>
  <c r="AD60" i="5" s="1"/>
  <c r="D56" i="10"/>
  <c r="E56" i="10"/>
  <c r="H61" i="5"/>
  <c r="K61" i="5" s="1"/>
  <c r="R74" i="10"/>
  <c r="I74" i="10" s="1"/>
  <c r="N75" i="10"/>
  <c r="O75" i="10"/>
  <c r="S75" i="10" s="1"/>
  <c r="P75" i="10"/>
  <c r="Q75" i="10" s="1"/>
  <c r="I73" i="10"/>
  <c r="B80" i="4"/>
  <c r="B81" i="5"/>
  <c r="A76" i="10" s="1"/>
  <c r="L61" i="4" l="1"/>
  <c r="N61" i="4" s="1"/>
  <c r="M62" i="4"/>
  <c r="AJ60" i="5"/>
  <c r="AK60" i="5" s="1"/>
  <c r="U80" i="4"/>
  <c r="T80" i="4"/>
  <c r="AH60" i="5"/>
  <c r="AI60" i="5" s="1"/>
  <c r="AM60" i="5"/>
  <c r="AL60" i="5" s="1"/>
  <c r="AD61" i="5"/>
  <c r="AM61" i="5" s="1"/>
  <c r="AL61" i="5" s="1"/>
  <c r="H62" i="5"/>
  <c r="I61" i="5"/>
  <c r="G61" i="5"/>
  <c r="D57" i="10" s="1"/>
  <c r="F56" i="10"/>
  <c r="E57" i="10"/>
  <c r="R75" i="10"/>
  <c r="H75" i="10"/>
  <c r="J76" i="10"/>
  <c r="Q76" i="10"/>
  <c r="H76" i="10" s="1"/>
  <c r="B82" i="4"/>
  <c r="B83" i="5"/>
  <c r="A78" i="10" s="1"/>
  <c r="J78" i="10" s="1"/>
  <c r="L62" i="4" l="1"/>
  <c r="N62" i="4" s="1"/>
  <c r="M63" i="4"/>
  <c r="T82" i="4"/>
  <c r="U82" i="4"/>
  <c r="F57" i="10"/>
  <c r="J61" i="5"/>
  <c r="H63" i="5"/>
  <c r="E58" i="10"/>
  <c r="X62" i="5"/>
  <c r="K62" i="5"/>
  <c r="I62" i="5"/>
  <c r="G62" i="5"/>
  <c r="D58" i="10" s="1"/>
  <c r="I75" i="10"/>
  <c r="P78" i="10"/>
  <c r="O78" i="10"/>
  <c r="S78" i="10" s="1"/>
  <c r="N78" i="10"/>
  <c r="P79" i="10"/>
  <c r="Q79" i="10" s="1"/>
  <c r="P76" i="10"/>
  <c r="P77" i="10"/>
  <c r="Q77" i="10" s="1"/>
  <c r="B83" i="4"/>
  <c r="B85" i="5"/>
  <c r="A80" i="10" s="1"/>
  <c r="J80" i="10" s="1"/>
  <c r="AF64" i="5"/>
  <c r="AG64" i="5" s="1"/>
  <c r="L63" i="4" l="1"/>
  <c r="N63" i="4" s="1"/>
  <c r="M64" i="4"/>
  <c r="U83" i="4"/>
  <c r="T83" i="4"/>
  <c r="H64" i="5"/>
  <c r="F58" i="10"/>
  <c r="V62" i="5"/>
  <c r="AC62" i="5" s="1"/>
  <c r="AD62" i="5" s="1"/>
  <c r="J62" i="5"/>
  <c r="E59" i="10"/>
  <c r="X63" i="5"/>
  <c r="K63" i="5"/>
  <c r="I63" i="5"/>
  <c r="G63" i="5"/>
  <c r="D59" i="10" s="1"/>
  <c r="AH61" i="5"/>
  <c r="AI61" i="5" s="1"/>
  <c r="AJ61" i="5"/>
  <c r="AK61" i="5" s="1"/>
  <c r="H79" i="10"/>
  <c r="R79" i="10"/>
  <c r="H77" i="10"/>
  <c r="R77" i="10"/>
  <c r="N80" i="10"/>
  <c r="P80" i="10"/>
  <c r="Q80" i="10" s="1"/>
  <c r="O80" i="10"/>
  <c r="S80" i="10" s="1"/>
  <c r="Q78" i="10"/>
  <c r="H78" i="10" s="1"/>
  <c r="B86" i="5"/>
  <c r="A81" i="10" s="1"/>
  <c r="B84" i="4"/>
  <c r="AF65" i="5"/>
  <c r="AG65" i="5" s="1"/>
  <c r="M65" i="4" l="1"/>
  <c r="L64" i="4"/>
  <c r="N64" i="4" s="1"/>
  <c r="T84" i="4"/>
  <c r="U84" i="4"/>
  <c r="AH62" i="5"/>
  <c r="AI62" i="5" s="1"/>
  <c r="E60" i="10"/>
  <c r="X64" i="5"/>
  <c r="K64" i="5"/>
  <c r="F59" i="10"/>
  <c r="V63" i="5"/>
  <c r="AC63" i="5" s="1"/>
  <c r="AD63" i="5" s="1"/>
  <c r="J63" i="5"/>
  <c r="H65" i="5"/>
  <c r="AJ62" i="5"/>
  <c r="AK62" i="5" s="1"/>
  <c r="AM62" i="5"/>
  <c r="AL62" i="5" s="1"/>
  <c r="I64" i="5"/>
  <c r="G64" i="5"/>
  <c r="D60" i="10" s="1"/>
  <c r="I77" i="10"/>
  <c r="R80" i="10"/>
  <c r="H80" i="10"/>
  <c r="J81" i="10"/>
  <c r="Q81" i="10"/>
  <c r="R78" i="10"/>
  <c r="I78" i="10" s="1"/>
  <c r="I79" i="10"/>
  <c r="B87" i="4"/>
  <c r="B87" i="5"/>
  <c r="A82" i="10" s="1"/>
  <c r="J82" i="10" s="1"/>
  <c r="M66" i="4" l="1"/>
  <c r="L65" i="4"/>
  <c r="N65" i="4" s="1"/>
  <c r="AJ63" i="5"/>
  <c r="AK63" i="5" s="1"/>
  <c r="U87" i="4"/>
  <c r="T87" i="4"/>
  <c r="AH63" i="5"/>
  <c r="AI63" i="5" s="1"/>
  <c r="AM63" i="5"/>
  <c r="AL63" i="5" s="1"/>
  <c r="E61" i="10"/>
  <c r="K65" i="5"/>
  <c r="X65" i="5"/>
  <c r="H66" i="5"/>
  <c r="F60" i="10"/>
  <c r="V64" i="5"/>
  <c r="AC64" i="5" s="1"/>
  <c r="AD64" i="5" s="1"/>
  <c r="J64" i="5"/>
  <c r="I65" i="5"/>
  <c r="G65" i="5"/>
  <c r="D61" i="10" s="1"/>
  <c r="I80" i="10"/>
  <c r="N81" i="10"/>
  <c r="O81" i="10"/>
  <c r="S81" i="10" s="1"/>
  <c r="N82" i="10"/>
  <c r="P82" i="10"/>
  <c r="Q82" i="10" s="1"/>
  <c r="O82" i="10"/>
  <c r="S82" i="10" s="1"/>
  <c r="P83" i="10"/>
  <c r="Q83" i="10" s="1"/>
  <c r="H81" i="10"/>
  <c r="R81" i="10"/>
  <c r="B90" i="5"/>
  <c r="A84" i="10" s="1"/>
  <c r="B89" i="4"/>
  <c r="L66" i="4" l="1"/>
  <c r="N66" i="4" s="1"/>
  <c r="M67" i="4"/>
  <c r="U89" i="4"/>
  <c r="T89" i="4"/>
  <c r="AH64" i="5"/>
  <c r="AI64" i="5" s="1"/>
  <c r="AJ64" i="5"/>
  <c r="AK64" i="5" s="1"/>
  <c r="AM64" i="5"/>
  <c r="AL64" i="5" s="1"/>
  <c r="I66" i="5"/>
  <c r="G66" i="5"/>
  <c r="D62" i="10" s="1"/>
  <c r="O62" i="10" s="1"/>
  <c r="F61" i="10"/>
  <c r="J65" i="5"/>
  <c r="V65" i="5"/>
  <c r="AC65" i="5" s="1"/>
  <c r="AD65" i="5" s="1"/>
  <c r="E62" i="10"/>
  <c r="K66" i="5"/>
  <c r="X66" i="5"/>
  <c r="H67" i="5"/>
  <c r="H82" i="10"/>
  <c r="R82" i="10"/>
  <c r="R83" i="10"/>
  <c r="H83" i="10"/>
  <c r="J84" i="10"/>
  <c r="Q84" i="10"/>
  <c r="I81" i="10"/>
  <c r="B92" i="5"/>
  <c r="A86" i="10" s="1"/>
  <c r="B91" i="4"/>
  <c r="L67" i="4" l="1"/>
  <c r="N67" i="4" s="1"/>
  <c r="M68" i="4"/>
  <c r="M69" i="4" s="1"/>
  <c r="S62" i="10"/>
  <c r="R62" i="10" s="1"/>
  <c r="N62" i="10"/>
  <c r="U91" i="4"/>
  <c r="B94" i="5"/>
  <c r="A88" i="10" s="1"/>
  <c r="T91" i="4"/>
  <c r="AH65" i="5"/>
  <c r="AI65" i="5" s="1"/>
  <c r="AJ65" i="5"/>
  <c r="AK65" i="5" s="1"/>
  <c r="AM65" i="5"/>
  <c r="AL65" i="5" s="1"/>
  <c r="I67" i="5"/>
  <c r="G67" i="5"/>
  <c r="D63" i="10" s="1"/>
  <c r="F62" i="10"/>
  <c r="J66" i="5"/>
  <c r="V66" i="5"/>
  <c r="AC66" i="5" s="1"/>
  <c r="AD66" i="5" s="1"/>
  <c r="E63" i="10"/>
  <c r="K67" i="5"/>
  <c r="X67" i="5"/>
  <c r="H68" i="5"/>
  <c r="I82" i="10"/>
  <c r="I83" i="10"/>
  <c r="J86" i="10"/>
  <c r="Q86" i="10"/>
  <c r="H84" i="10"/>
  <c r="I84" i="10" s="1"/>
  <c r="R84" i="10"/>
  <c r="B93" i="4"/>
  <c r="H72" i="5" l="1"/>
  <c r="L69" i="4"/>
  <c r="M70" i="4"/>
  <c r="L68" i="4"/>
  <c r="N68" i="4" s="1"/>
  <c r="B96" i="5"/>
  <c r="A90" i="10" s="1"/>
  <c r="T93" i="4"/>
  <c r="U93" i="4"/>
  <c r="AM66" i="5"/>
  <c r="AL66" i="5" s="1"/>
  <c r="AF66" i="5"/>
  <c r="AG66" i="5" s="1"/>
  <c r="I68" i="5"/>
  <c r="G68" i="5"/>
  <c r="D64" i="10" s="1"/>
  <c r="AH66" i="5"/>
  <c r="AI66" i="5"/>
  <c r="AJ66" i="5"/>
  <c r="AK66" i="5"/>
  <c r="H69" i="5"/>
  <c r="F63" i="10"/>
  <c r="J67" i="5"/>
  <c r="V67" i="5"/>
  <c r="AC67" i="5" s="1"/>
  <c r="AD67" i="5" s="1"/>
  <c r="E64" i="10"/>
  <c r="X68" i="5"/>
  <c r="K68" i="5"/>
  <c r="J88" i="10"/>
  <c r="Q88" i="10"/>
  <c r="R86" i="10"/>
  <c r="H86" i="10"/>
  <c r="B95" i="4"/>
  <c r="H73" i="5" l="1"/>
  <c r="L70" i="4"/>
  <c r="M71" i="4"/>
  <c r="G72" i="5"/>
  <c r="N69" i="4"/>
  <c r="I72" i="5" s="1"/>
  <c r="U95" i="4"/>
  <c r="B98" i="5"/>
  <c r="T95" i="4"/>
  <c r="AF67" i="5"/>
  <c r="AG67" i="5" s="1"/>
  <c r="AM67" i="5"/>
  <c r="AL67" i="5" s="1"/>
  <c r="H70" i="5"/>
  <c r="E65" i="10"/>
  <c r="K69" i="5"/>
  <c r="X69" i="5"/>
  <c r="F64" i="10"/>
  <c r="V68" i="5"/>
  <c r="AC68" i="5" s="1"/>
  <c r="AD68" i="5" s="1"/>
  <c r="J68" i="5"/>
  <c r="AI67" i="5"/>
  <c r="AK67" i="5"/>
  <c r="AH67" i="5"/>
  <c r="AJ67" i="5"/>
  <c r="I69" i="5"/>
  <c r="G69" i="5"/>
  <c r="D65" i="10" s="1"/>
  <c r="O65" i="10" s="1"/>
  <c r="J90" i="10"/>
  <c r="Q90" i="10"/>
  <c r="I86" i="10"/>
  <c r="H88" i="10"/>
  <c r="R88" i="10"/>
  <c r="A92" i="10"/>
  <c r="B97" i="4"/>
  <c r="J72" i="5" l="1"/>
  <c r="H74" i="5"/>
  <c r="L71" i="4"/>
  <c r="M72" i="4"/>
  <c r="N70" i="4"/>
  <c r="I73" i="5" s="1"/>
  <c r="G73" i="5"/>
  <c r="K73" i="5"/>
  <c r="X73" i="5"/>
  <c r="S65" i="10"/>
  <c r="R65" i="10" s="1"/>
  <c r="I65" i="10" s="1"/>
  <c r="N65" i="10"/>
  <c r="B100" i="5"/>
  <c r="U97" i="4"/>
  <c r="T97" i="4"/>
  <c r="AJ68" i="5"/>
  <c r="AK68" i="5" s="1"/>
  <c r="AH68" i="5"/>
  <c r="AI68" i="5" s="1"/>
  <c r="AM68" i="5"/>
  <c r="AL68" i="5" s="1"/>
  <c r="F65" i="10"/>
  <c r="J69" i="5"/>
  <c r="V69" i="5"/>
  <c r="AC69" i="5" s="1"/>
  <c r="AD69" i="5" s="1"/>
  <c r="H71" i="5"/>
  <c r="K72" i="5" s="1"/>
  <c r="I70" i="5"/>
  <c r="G70" i="5"/>
  <c r="D66" i="10" s="1"/>
  <c r="E66" i="10"/>
  <c r="K70" i="5"/>
  <c r="I88" i="10"/>
  <c r="J92" i="10"/>
  <c r="Q92" i="10"/>
  <c r="H90" i="10"/>
  <c r="R90" i="10"/>
  <c r="A94" i="10"/>
  <c r="B100" i="4"/>
  <c r="AM69" i="5" l="1"/>
  <c r="AL69" i="5" s="1"/>
  <c r="AD72" i="5"/>
  <c r="AM72" i="5" s="1"/>
  <c r="AL72" i="5" s="1"/>
  <c r="N71" i="4"/>
  <c r="I74" i="5" s="1"/>
  <c r="G74" i="5"/>
  <c r="J73" i="5"/>
  <c r="V73" i="5"/>
  <c r="AC73" i="5" s="1"/>
  <c r="AD73" i="5" s="1"/>
  <c r="AM73" i="5" s="1"/>
  <c r="AL73" i="5" s="1"/>
  <c r="L72" i="4"/>
  <c r="H75" i="5"/>
  <c r="K75" i="5" s="1"/>
  <c r="K74" i="5"/>
  <c r="X74" i="5"/>
  <c r="B103" i="5"/>
  <c r="A96" i="10" s="1"/>
  <c r="U100" i="4"/>
  <c r="T100" i="4"/>
  <c r="I71" i="5"/>
  <c r="G71" i="5"/>
  <c r="D67" i="10" s="1"/>
  <c r="E67" i="10"/>
  <c r="K71" i="5"/>
  <c r="AJ69" i="5"/>
  <c r="AK69" i="5" s="1"/>
  <c r="AH69" i="5"/>
  <c r="AI69" i="5" s="1"/>
  <c r="F66" i="10"/>
  <c r="J70" i="5"/>
  <c r="J94" i="10"/>
  <c r="Q94" i="10"/>
  <c r="H92" i="10"/>
  <c r="R92" i="10"/>
  <c r="I90" i="10"/>
  <c r="B102" i="4"/>
  <c r="AH73" i="5" l="1"/>
  <c r="AI73" i="5" s="1"/>
  <c r="AJ73" i="5"/>
  <c r="AK73" i="5" s="1"/>
  <c r="N72" i="4"/>
  <c r="I75" i="5" s="1"/>
  <c r="G75" i="5"/>
  <c r="J74" i="5"/>
  <c r="V74" i="5"/>
  <c r="AC74" i="5" s="1"/>
  <c r="AD74" i="5" s="1"/>
  <c r="M73" i="4"/>
  <c r="H76" i="5" s="1"/>
  <c r="K76" i="5" s="1"/>
  <c r="U102" i="4"/>
  <c r="B105" i="5"/>
  <c r="T102" i="4"/>
  <c r="D68" i="10"/>
  <c r="E68" i="10"/>
  <c r="F67" i="10"/>
  <c r="J71" i="5"/>
  <c r="J96" i="10"/>
  <c r="Q96" i="10"/>
  <c r="I92" i="10"/>
  <c r="R94" i="10"/>
  <c r="H94" i="10"/>
  <c r="A98" i="10"/>
  <c r="B108" i="4"/>
  <c r="J75" i="5" l="1"/>
  <c r="L73" i="4"/>
  <c r="M74" i="4"/>
  <c r="H77" i="5" s="1"/>
  <c r="K77" i="5" s="1"/>
  <c r="T108" i="4"/>
  <c r="U108" i="4"/>
  <c r="E69" i="10"/>
  <c r="F68" i="10"/>
  <c r="D69" i="10"/>
  <c r="J98" i="10"/>
  <c r="Q98" i="10"/>
  <c r="I94" i="10"/>
  <c r="H96" i="10"/>
  <c r="R96" i="10"/>
  <c r="B111" i="5"/>
  <c r="A104" i="10" s="1"/>
  <c r="B110" i="4"/>
  <c r="N73" i="4" l="1"/>
  <c r="I76" i="5" s="1"/>
  <c r="G76" i="5"/>
  <c r="L74" i="4"/>
  <c r="M75" i="4"/>
  <c r="U110" i="4"/>
  <c r="T110" i="4"/>
  <c r="E70" i="10"/>
  <c r="F69" i="10"/>
  <c r="D70" i="10"/>
  <c r="AM74" i="5"/>
  <c r="AL74" i="5" s="1"/>
  <c r="I96" i="10"/>
  <c r="J104" i="10"/>
  <c r="Q104" i="10"/>
  <c r="H98" i="10"/>
  <c r="R98" i="10"/>
  <c r="B113" i="5"/>
  <c r="A106" i="10" s="1"/>
  <c r="B112" i="4"/>
  <c r="N74" i="4" l="1"/>
  <c r="I77" i="5" s="1"/>
  <c r="G77" i="5"/>
  <c r="J76" i="5"/>
  <c r="L75" i="4"/>
  <c r="N75" i="4" s="1"/>
  <c r="M76" i="4"/>
  <c r="B115" i="5"/>
  <c r="U112" i="4"/>
  <c r="T112" i="4"/>
  <c r="F70" i="10"/>
  <c r="E71" i="10"/>
  <c r="X75" i="5"/>
  <c r="D71" i="10"/>
  <c r="I98" i="10"/>
  <c r="H104" i="10"/>
  <c r="R104" i="10"/>
  <c r="J106" i="10"/>
  <c r="Q106" i="10"/>
  <c r="A108" i="10"/>
  <c r="B115" i="4"/>
  <c r="J77" i="5" l="1"/>
  <c r="M77" i="4"/>
  <c r="L76" i="4"/>
  <c r="N76" i="4" s="1"/>
  <c r="U115" i="4"/>
  <c r="B118" i="5"/>
  <c r="T115" i="4"/>
  <c r="F71" i="10"/>
  <c r="V75" i="5"/>
  <c r="AC75" i="5" s="1"/>
  <c r="AD75" i="5" s="1"/>
  <c r="AJ74" i="5"/>
  <c r="AK74" i="5" s="1"/>
  <c r="AH74" i="5"/>
  <c r="AI74" i="5" s="1"/>
  <c r="X76" i="5"/>
  <c r="E72" i="10"/>
  <c r="D72" i="10"/>
  <c r="H106" i="10"/>
  <c r="R106" i="10"/>
  <c r="J108" i="10"/>
  <c r="Q108" i="10"/>
  <c r="I104" i="10"/>
  <c r="A110" i="10"/>
  <c r="B117" i="4"/>
  <c r="B119" i="4"/>
  <c r="L77" i="4" l="1"/>
  <c r="N77" i="4" s="1"/>
  <c r="M78" i="4"/>
  <c r="U117" i="4"/>
  <c r="T117" i="4"/>
  <c r="T119" i="4"/>
  <c r="U119" i="4"/>
  <c r="X77" i="5"/>
  <c r="E73" i="10"/>
  <c r="D73" i="10"/>
  <c r="V76" i="5"/>
  <c r="AC76" i="5" s="1"/>
  <c r="AD76" i="5" s="1"/>
  <c r="F72" i="10"/>
  <c r="H78" i="5"/>
  <c r="AM75" i="5"/>
  <c r="AL75" i="5" s="1"/>
  <c r="AH75" i="5"/>
  <c r="AI75" i="5" s="1"/>
  <c r="AJ75" i="5"/>
  <c r="AK75" i="5" s="1"/>
  <c r="J110" i="10"/>
  <c r="Q110" i="10"/>
  <c r="H108" i="10"/>
  <c r="R108" i="10"/>
  <c r="I106" i="10"/>
  <c r="B122" i="5"/>
  <c r="A114" i="10" s="1"/>
  <c r="B120" i="5"/>
  <c r="A112" i="10" s="1"/>
  <c r="L78" i="4" l="1"/>
  <c r="N78" i="4" s="1"/>
  <c r="M79" i="4"/>
  <c r="AM76" i="5"/>
  <c r="AL76" i="5" s="1"/>
  <c r="X78" i="5"/>
  <c r="K78" i="5"/>
  <c r="V77" i="5"/>
  <c r="AC77" i="5" s="1"/>
  <c r="AD77" i="5" s="1"/>
  <c r="F73" i="10"/>
  <c r="G78" i="5"/>
  <c r="I78" i="5"/>
  <c r="H79" i="5"/>
  <c r="AH76" i="5"/>
  <c r="AI76" i="5" s="1"/>
  <c r="AJ76" i="5"/>
  <c r="AK76" i="5" s="1"/>
  <c r="J112" i="10"/>
  <c r="Q112" i="10"/>
  <c r="I108" i="10"/>
  <c r="H110" i="10"/>
  <c r="R110" i="10"/>
  <c r="J114" i="10"/>
  <c r="Q114" i="10"/>
  <c r="L79" i="4" l="1"/>
  <c r="N79" i="4" s="1"/>
  <c r="M80" i="4"/>
  <c r="AM77" i="5"/>
  <c r="AL77" i="5" s="1"/>
  <c r="V78" i="5"/>
  <c r="AC78" i="5" s="1"/>
  <c r="AD78" i="5" s="1"/>
  <c r="J78" i="5"/>
  <c r="AH77" i="5"/>
  <c r="AI77" i="5" s="1"/>
  <c r="AJ77" i="5"/>
  <c r="AK77" i="5" s="1"/>
  <c r="G79" i="5"/>
  <c r="D74" i="10" s="1"/>
  <c r="I79" i="5"/>
  <c r="H80" i="5"/>
  <c r="K79" i="5"/>
  <c r="X79" i="5"/>
  <c r="E74" i="10"/>
  <c r="I110" i="10"/>
  <c r="H114" i="10"/>
  <c r="R114" i="10"/>
  <c r="H112" i="10"/>
  <c r="R112" i="10"/>
  <c r="M81" i="4" l="1"/>
  <c r="L80" i="4"/>
  <c r="N80" i="4" s="1"/>
  <c r="AM78" i="5"/>
  <c r="AL78" i="5" s="1"/>
  <c r="K80" i="5"/>
  <c r="X80" i="5"/>
  <c r="E75" i="10"/>
  <c r="J79" i="5"/>
  <c r="V79" i="5"/>
  <c r="AC79" i="5" s="1"/>
  <c r="AD79" i="5" s="1"/>
  <c r="F74" i="10"/>
  <c r="AI78" i="5"/>
  <c r="AJ78" i="5"/>
  <c r="AK78" i="5"/>
  <c r="AH78" i="5"/>
  <c r="H81" i="5"/>
  <c r="I80" i="5"/>
  <c r="G80" i="5"/>
  <c r="D75" i="10" s="1"/>
  <c r="I112" i="10"/>
  <c r="I114" i="10"/>
  <c r="L81" i="4" l="1"/>
  <c r="N81" i="4" s="1"/>
  <c r="M82" i="4"/>
  <c r="AM79" i="5"/>
  <c r="AL79" i="5" s="1"/>
  <c r="X81" i="5"/>
  <c r="E76" i="10"/>
  <c r="K81" i="5"/>
  <c r="H82" i="5"/>
  <c r="J80" i="5"/>
  <c r="V80" i="5"/>
  <c r="AC80" i="5" s="1"/>
  <c r="AD80" i="5" s="1"/>
  <c r="F75" i="10"/>
  <c r="I81" i="5"/>
  <c r="G81" i="5"/>
  <c r="D76" i="10" s="1"/>
  <c r="O76" i="10" s="1"/>
  <c r="AH79" i="5"/>
  <c r="AI79" i="5" s="1"/>
  <c r="AJ79" i="5"/>
  <c r="AK79" i="5" s="1"/>
  <c r="L82" i="4" l="1"/>
  <c r="N82" i="4" s="1"/>
  <c r="M83" i="4"/>
  <c r="S76" i="10"/>
  <c r="R76" i="10" s="1"/>
  <c r="I76" i="10" s="1"/>
  <c r="N76" i="10"/>
  <c r="AM80" i="5"/>
  <c r="AL80" i="5" s="1"/>
  <c r="AD85" i="5"/>
  <c r="AH80" i="5"/>
  <c r="AI80" i="5" s="1"/>
  <c r="AJ80" i="5"/>
  <c r="AK80" i="5" s="1"/>
  <c r="F76" i="10"/>
  <c r="V81" i="5"/>
  <c r="AC81" i="5" s="1"/>
  <c r="AD81" i="5" s="1"/>
  <c r="AM81" i="5" s="1"/>
  <c r="AL81" i="5" s="1"/>
  <c r="J81" i="5"/>
  <c r="E77" i="10"/>
  <c r="K82" i="5"/>
  <c r="H83" i="5"/>
  <c r="I82" i="5"/>
  <c r="G82" i="5"/>
  <c r="D77" i="10" s="1"/>
  <c r="L83" i="4" l="1"/>
  <c r="N83" i="4" s="1"/>
  <c r="M84" i="4"/>
  <c r="I83" i="5"/>
  <c r="G83" i="5"/>
  <c r="D78" i="10" s="1"/>
  <c r="E78" i="10"/>
  <c r="K83" i="5"/>
  <c r="H84" i="5"/>
  <c r="AJ81" i="5"/>
  <c r="AK81" i="5" s="1"/>
  <c r="AH81" i="5"/>
  <c r="AI81" i="5" s="1"/>
  <c r="AM85" i="5"/>
  <c r="AL85" i="5" s="1"/>
  <c r="F77" i="10"/>
  <c r="J82" i="5"/>
  <c r="M85" i="4" l="1"/>
  <c r="L84" i="4"/>
  <c r="N84" i="4" s="1"/>
  <c r="H85" i="5"/>
  <c r="F78" i="10"/>
  <c r="J83" i="5"/>
  <c r="E79" i="10"/>
  <c r="K84" i="5"/>
  <c r="I84" i="5"/>
  <c r="G84" i="5"/>
  <c r="D79" i="10" s="1"/>
  <c r="L85" i="4" l="1"/>
  <c r="N85" i="4" s="1"/>
  <c r="M86" i="4"/>
  <c r="H86" i="5"/>
  <c r="F79" i="10"/>
  <c r="J84" i="5"/>
  <c r="E80" i="10"/>
  <c r="K85" i="5"/>
  <c r="I85" i="5"/>
  <c r="G85" i="5"/>
  <c r="D80" i="10" s="1"/>
  <c r="L86" i="4" l="1"/>
  <c r="N86" i="4" s="1"/>
  <c r="M87" i="4"/>
  <c r="I86" i="5"/>
  <c r="G86" i="5"/>
  <c r="D81" i="10" s="1"/>
  <c r="F80" i="10"/>
  <c r="J85" i="5"/>
  <c r="E81" i="10"/>
  <c r="X86" i="5"/>
  <c r="K86" i="5"/>
  <c r="H87" i="5"/>
  <c r="L87" i="4" l="1"/>
  <c r="N87" i="4" s="1"/>
  <c r="M88" i="4"/>
  <c r="H88" i="5"/>
  <c r="F81" i="10"/>
  <c r="V86" i="5"/>
  <c r="AC86" i="5" s="1"/>
  <c r="AD86" i="5" s="1"/>
  <c r="AM86" i="5" s="1"/>
  <c r="AL86" i="5" s="1"/>
  <c r="J86" i="5"/>
  <c r="I87" i="5"/>
  <c r="G87" i="5"/>
  <c r="D82" i="10" s="1"/>
  <c r="AJ85" i="5"/>
  <c r="AI85" i="5"/>
  <c r="AH85" i="5"/>
  <c r="AK85" i="5"/>
  <c r="E82" i="10"/>
  <c r="X87" i="5"/>
  <c r="K87" i="5"/>
  <c r="M89" i="4" l="1"/>
  <c r="L88" i="4"/>
  <c r="N88" i="4" s="1"/>
  <c r="X88" i="5"/>
  <c r="K88" i="5"/>
  <c r="E83" i="10"/>
  <c r="F82" i="10"/>
  <c r="J87" i="5"/>
  <c r="V87" i="5"/>
  <c r="AC87" i="5" s="1"/>
  <c r="AD87" i="5" s="1"/>
  <c r="I88" i="5"/>
  <c r="G88" i="5"/>
  <c r="D83" i="10" s="1"/>
  <c r="AJ86" i="5"/>
  <c r="AK86" i="5" s="1"/>
  <c r="AH86" i="5"/>
  <c r="AI86" i="5" s="1"/>
  <c r="H89" i="5"/>
  <c r="L89" i="4" l="1"/>
  <c r="N89" i="4" s="1"/>
  <c r="M90" i="4"/>
  <c r="X89" i="5"/>
  <c r="K89" i="5"/>
  <c r="I89" i="5"/>
  <c r="G89" i="5"/>
  <c r="AJ87" i="5"/>
  <c r="AK87" i="5" s="1"/>
  <c r="AH87" i="5"/>
  <c r="AI87" i="5" s="1"/>
  <c r="H90" i="5"/>
  <c r="J88" i="5"/>
  <c r="V88" i="5"/>
  <c r="AC88" i="5" s="1"/>
  <c r="AD88" i="5" s="1"/>
  <c r="F83" i="10"/>
  <c r="AM87" i="5"/>
  <c r="AL87" i="5" s="1"/>
  <c r="L90" i="4" l="1"/>
  <c r="N90" i="4" s="1"/>
  <c r="M91" i="4"/>
  <c r="AM88" i="5"/>
  <c r="AL88" i="5" s="1"/>
  <c r="E84" i="10"/>
  <c r="K90" i="5"/>
  <c r="X90" i="5"/>
  <c r="H91" i="5"/>
  <c r="I90" i="5"/>
  <c r="G90" i="5"/>
  <c r="D84" i="10" s="1"/>
  <c r="J89" i="5"/>
  <c r="V89" i="5"/>
  <c r="AC89" i="5" s="1"/>
  <c r="AD89" i="5" s="1"/>
  <c r="AM89" i="5" s="1"/>
  <c r="AL89" i="5" s="1"/>
  <c r="AH88" i="5"/>
  <c r="AI88" i="5" s="1"/>
  <c r="AJ88" i="5"/>
  <c r="AK88" i="5" s="1"/>
  <c r="L91" i="4" l="1"/>
  <c r="N91" i="4" s="1"/>
  <c r="M92" i="4"/>
  <c r="F84" i="10"/>
  <c r="V90" i="5"/>
  <c r="AC90" i="5" s="1"/>
  <c r="AD90" i="5" s="1"/>
  <c r="J90" i="5"/>
  <c r="E85" i="10"/>
  <c r="K91" i="5"/>
  <c r="X91" i="5"/>
  <c r="AI89" i="5"/>
  <c r="AJ89" i="5"/>
  <c r="AH89" i="5"/>
  <c r="AK89" i="5"/>
  <c r="H92" i="5"/>
  <c r="I91" i="5"/>
  <c r="G91" i="5"/>
  <c r="D85" i="10" s="1"/>
  <c r="M93" i="4" l="1"/>
  <c r="L92" i="4"/>
  <c r="N92" i="4" s="1"/>
  <c r="AI90" i="5"/>
  <c r="AH90" i="5"/>
  <c r="AK90" i="5"/>
  <c r="AJ90" i="5"/>
  <c r="X92" i="5"/>
  <c r="K92" i="5"/>
  <c r="E86" i="10"/>
  <c r="H93" i="5"/>
  <c r="I92" i="5"/>
  <c r="G92" i="5"/>
  <c r="D86" i="10" s="1"/>
  <c r="J91" i="5"/>
  <c r="F85" i="10"/>
  <c r="V91" i="5"/>
  <c r="AC91" i="5" s="1"/>
  <c r="AD91" i="5" s="1"/>
  <c r="AF90" i="5"/>
  <c r="AG90" i="5" s="1"/>
  <c r="AM90" i="5"/>
  <c r="AL90" i="5" s="1"/>
  <c r="M94" i="4" l="1"/>
  <c r="L93" i="4"/>
  <c r="N93" i="4" s="1"/>
  <c r="AM91" i="5"/>
  <c r="AL91" i="5" s="1"/>
  <c r="AF91" i="5"/>
  <c r="AG91" i="5" s="1"/>
  <c r="F86" i="10"/>
  <c r="V92" i="5"/>
  <c r="AC92" i="5" s="1"/>
  <c r="AD92" i="5" s="1"/>
  <c r="J92" i="5"/>
  <c r="K93" i="5"/>
  <c r="X93" i="5"/>
  <c r="E87" i="10"/>
  <c r="H94" i="5"/>
  <c r="AJ91" i="5"/>
  <c r="AK91" i="5" s="1"/>
  <c r="AH91" i="5"/>
  <c r="AI91" i="5" s="1"/>
  <c r="I93" i="5"/>
  <c r="G93" i="5"/>
  <c r="M95" i="4" l="1"/>
  <c r="L94" i="4"/>
  <c r="N94" i="4" s="1"/>
  <c r="J93" i="5"/>
  <c r="D87" i="10"/>
  <c r="V93" i="5"/>
  <c r="AC93" i="5" s="1"/>
  <c r="AD93" i="5" s="1"/>
  <c r="F87" i="10"/>
  <c r="AM92" i="5"/>
  <c r="AL92" i="5" s="1"/>
  <c r="I94" i="5"/>
  <c r="G94" i="5"/>
  <c r="H95" i="5"/>
  <c r="K94" i="5"/>
  <c r="X94" i="5"/>
  <c r="E88" i="10"/>
  <c r="AJ92" i="5"/>
  <c r="AK92" i="5" s="1"/>
  <c r="AH92" i="5"/>
  <c r="AI92" i="5" s="1"/>
  <c r="M96" i="4" l="1"/>
  <c r="L95" i="4"/>
  <c r="N95" i="4" s="1"/>
  <c r="AM93" i="5"/>
  <c r="AL93" i="5" s="1"/>
  <c r="I95" i="5"/>
  <c r="G95" i="5"/>
  <c r="V94" i="5"/>
  <c r="AC94" i="5" s="1"/>
  <c r="AD94" i="5" s="1"/>
  <c r="F88" i="10"/>
  <c r="H96" i="5"/>
  <c r="K95" i="5"/>
  <c r="X95" i="5"/>
  <c r="E89" i="10"/>
  <c r="AH93" i="5"/>
  <c r="AI93" i="5" s="1"/>
  <c r="AJ93" i="5"/>
  <c r="AK93" i="5" s="1"/>
  <c r="J94" i="5"/>
  <c r="D88" i="10"/>
  <c r="L96" i="4" l="1"/>
  <c r="N96" i="4" s="1"/>
  <c r="M97" i="4"/>
  <c r="AM94" i="5"/>
  <c r="AL94" i="5" s="1"/>
  <c r="AH94" i="5"/>
  <c r="AI94" i="5" s="1"/>
  <c r="AJ94" i="5"/>
  <c r="AK94" i="5" s="1"/>
  <c r="K96" i="5"/>
  <c r="X96" i="5"/>
  <c r="E90" i="10"/>
  <c r="V95" i="5"/>
  <c r="AC95" i="5" s="1"/>
  <c r="AD95" i="5" s="1"/>
  <c r="F89" i="10"/>
  <c r="H97" i="5"/>
  <c r="I96" i="5"/>
  <c r="G96" i="5"/>
  <c r="J95" i="5"/>
  <c r="D89" i="10"/>
  <c r="M98" i="4" l="1"/>
  <c r="L97" i="4"/>
  <c r="N97" i="4" s="1"/>
  <c r="AJ95" i="5"/>
  <c r="AK95" i="5" s="1"/>
  <c r="AH95" i="5"/>
  <c r="AI95" i="5" s="1"/>
  <c r="H98" i="5"/>
  <c r="J96" i="5"/>
  <c r="D90" i="10"/>
  <c r="K97" i="5"/>
  <c r="X97" i="5"/>
  <c r="E91" i="10"/>
  <c r="V96" i="5"/>
  <c r="AC96" i="5" s="1"/>
  <c r="AD96" i="5" s="1"/>
  <c r="F90" i="10"/>
  <c r="AM95" i="5"/>
  <c r="AL95" i="5" s="1"/>
  <c r="I97" i="5"/>
  <c r="G97" i="5"/>
  <c r="L98" i="4" l="1"/>
  <c r="N98" i="4" s="1"/>
  <c r="M99" i="4"/>
  <c r="AM96" i="5"/>
  <c r="AL96" i="5" s="1"/>
  <c r="AH96" i="5"/>
  <c r="AI96" i="5" s="1"/>
  <c r="AJ96" i="5"/>
  <c r="AK96" i="5" s="1"/>
  <c r="H99" i="5"/>
  <c r="J97" i="5"/>
  <c r="D91" i="10"/>
  <c r="I98" i="5"/>
  <c r="G98" i="5"/>
  <c r="V97" i="5"/>
  <c r="AC97" i="5" s="1"/>
  <c r="AD97" i="5" s="1"/>
  <c r="F91" i="10"/>
  <c r="K98" i="5"/>
  <c r="X98" i="5"/>
  <c r="E92" i="10"/>
  <c r="L99" i="4" l="1"/>
  <c r="N99" i="4" s="1"/>
  <c r="M100" i="4"/>
  <c r="J98" i="5"/>
  <c r="D92" i="10"/>
  <c r="I99" i="5"/>
  <c r="G99" i="5"/>
  <c r="V98" i="5"/>
  <c r="AC98" i="5" s="1"/>
  <c r="AD98" i="5" s="1"/>
  <c r="F92" i="10"/>
  <c r="H100" i="5"/>
  <c r="AM97" i="5"/>
  <c r="AL97" i="5" s="1"/>
  <c r="K99" i="5"/>
  <c r="X99" i="5"/>
  <c r="E93" i="10"/>
  <c r="AJ97" i="5"/>
  <c r="AK97" i="5" s="1"/>
  <c r="AH97" i="5"/>
  <c r="AI97" i="5" s="1"/>
  <c r="M101" i="4" l="1"/>
  <c r="L100" i="4"/>
  <c r="N100" i="4" s="1"/>
  <c r="AM98" i="5"/>
  <c r="AL98" i="5" s="1"/>
  <c r="K100" i="5"/>
  <c r="X100" i="5"/>
  <c r="E94" i="10"/>
  <c r="V99" i="5"/>
  <c r="AC99" i="5" s="1"/>
  <c r="AD99" i="5" s="1"/>
  <c r="F93" i="10"/>
  <c r="H101" i="5"/>
  <c r="AJ98" i="5"/>
  <c r="AK98" i="5" s="1"/>
  <c r="AH98" i="5"/>
  <c r="AI98" i="5" s="1"/>
  <c r="I100" i="5"/>
  <c r="G100" i="5"/>
  <c r="J99" i="5"/>
  <c r="D93" i="10"/>
  <c r="M102" i="4" l="1"/>
  <c r="L101" i="4"/>
  <c r="N101" i="4" s="1"/>
  <c r="AM99" i="5"/>
  <c r="AL99" i="5" s="1"/>
  <c r="J100" i="5"/>
  <c r="D94" i="10"/>
  <c r="I101" i="5"/>
  <c r="G101" i="5"/>
  <c r="V100" i="5"/>
  <c r="AC100" i="5" s="1"/>
  <c r="AD100" i="5" s="1"/>
  <c r="F94" i="10"/>
  <c r="H102" i="5"/>
  <c r="K101" i="5"/>
  <c r="X101" i="5"/>
  <c r="E95" i="10"/>
  <c r="AH99" i="5"/>
  <c r="AI99" i="5" s="1"/>
  <c r="AJ99" i="5"/>
  <c r="AK99" i="5" s="1"/>
  <c r="L102" i="4" l="1"/>
  <c r="N102" i="4" s="1"/>
  <c r="M103" i="4"/>
  <c r="AM100" i="5"/>
  <c r="AL100" i="5" s="1"/>
  <c r="H103" i="5"/>
  <c r="AH100" i="5"/>
  <c r="AI100" i="5" s="1"/>
  <c r="AJ100" i="5"/>
  <c r="AK100" i="5" s="1"/>
  <c r="I102" i="5"/>
  <c r="G102" i="5"/>
  <c r="J101" i="5"/>
  <c r="D95" i="10"/>
  <c r="K102" i="5"/>
  <c r="X102" i="5"/>
  <c r="V101" i="5"/>
  <c r="AC101" i="5" s="1"/>
  <c r="AD101" i="5" s="1"/>
  <c r="F95" i="10"/>
  <c r="M104" i="4" l="1"/>
  <c r="L103" i="4"/>
  <c r="N103" i="4" s="1"/>
  <c r="J102" i="5"/>
  <c r="AH102" i="5" s="1"/>
  <c r="AM101" i="5"/>
  <c r="AL101" i="5" s="1"/>
  <c r="V102" i="5"/>
  <c r="AC102" i="5" s="1"/>
  <c r="AD102" i="5" s="1"/>
  <c r="H104" i="5"/>
  <c r="K103" i="5"/>
  <c r="X103" i="5"/>
  <c r="E96" i="10"/>
  <c r="AH101" i="5"/>
  <c r="AI101" i="5" s="1"/>
  <c r="AJ101" i="5"/>
  <c r="AK101" i="5" s="1"/>
  <c r="I103" i="5"/>
  <c r="G103" i="5"/>
  <c r="L104" i="4" l="1"/>
  <c r="N104" i="4" s="1"/>
  <c r="M105" i="4"/>
  <c r="AJ102" i="5"/>
  <c r="AI102" i="5"/>
  <c r="AK102" i="5"/>
  <c r="AM102" i="5"/>
  <c r="AL102" i="5" s="1"/>
  <c r="H105" i="5"/>
  <c r="V103" i="5"/>
  <c r="AC103" i="5" s="1"/>
  <c r="AD103" i="5" s="1"/>
  <c r="F96" i="10"/>
  <c r="K104" i="5"/>
  <c r="X104" i="5"/>
  <c r="E97" i="10"/>
  <c r="J103" i="5"/>
  <c r="D96" i="10"/>
  <c r="I104" i="5"/>
  <c r="G104" i="5"/>
  <c r="M106" i="4" l="1"/>
  <c r="L105" i="4"/>
  <c r="N105" i="4" s="1"/>
  <c r="AM103" i="5"/>
  <c r="AL103" i="5" s="1"/>
  <c r="K105" i="5"/>
  <c r="X105" i="5"/>
  <c r="E98" i="10"/>
  <c r="J104" i="5"/>
  <c r="D97" i="10"/>
  <c r="V104" i="5"/>
  <c r="AC104" i="5" s="1"/>
  <c r="AD104" i="5" s="1"/>
  <c r="F97" i="10"/>
  <c r="H106" i="5"/>
  <c r="I105" i="5"/>
  <c r="G105" i="5"/>
  <c r="AH103" i="5"/>
  <c r="AI103" i="5" s="1"/>
  <c r="AJ103" i="5"/>
  <c r="AK103" i="5" s="1"/>
  <c r="AC112" i="5"/>
  <c r="L106" i="4" l="1"/>
  <c r="N106" i="4" s="1"/>
  <c r="M107" i="4"/>
  <c r="AM104" i="5"/>
  <c r="AL104" i="5" s="1"/>
  <c r="H107" i="5"/>
  <c r="I106" i="5"/>
  <c r="G106" i="5"/>
  <c r="J105" i="5"/>
  <c r="D98" i="10"/>
  <c r="K106" i="5"/>
  <c r="X106" i="5"/>
  <c r="E99" i="10"/>
  <c r="AH104" i="5"/>
  <c r="AI104" i="5" s="1"/>
  <c r="AJ104" i="5"/>
  <c r="AK104" i="5" s="1"/>
  <c r="V105" i="5"/>
  <c r="AC105" i="5" s="1"/>
  <c r="AD105" i="5" s="1"/>
  <c r="F98" i="10"/>
  <c r="L107" i="4" l="1"/>
  <c r="N107" i="4" s="1"/>
  <c r="M108" i="4"/>
  <c r="H108" i="5"/>
  <c r="AH105" i="5"/>
  <c r="AI105" i="5" s="1"/>
  <c r="AJ105" i="5"/>
  <c r="AK105" i="5" s="1"/>
  <c r="K107" i="5"/>
  <c r="E100" i="10"/>
  <c r="X107" i="5"/>
  <c r="AM105" i="5"/>
  <c r="AL105" i="5" s="1"/>
  <c r="J106" i="5"/>
  <c r="D99" i="10"/>
  <c r="I107" i="5"/>
  <c r="G107" i="5"/>
  <c r="D100" i="10" s="1"/>
  <c r="V106" i="5"/>
  <c r="AC106" i="5" s="1"/>
  <c r="AD106" i="5" s="1"/>
  <c r="AM106" i="5" s="1"/>
  <c r="AL106" i="5" s="1"/>
  <c r="F99" i="10"/>
  <c r="L108" i="4" l="1"/>
  <c r="N108" i="4" s="1"/>
  <c r="M109" i="4"/>
  <c r="F100" i="10"/>
  <c r="J107" i="5"/>
  <c r="V107" i="5"/>
  <c r="AC107" i="5" s="1"/>
  <c r="AD107" i="5" s="1"/>
  <c r="H109" i="5"/>
  <c r="I108" i="5"/>
  <c r="G108" i="5"/>
  <c r="D101" i="10" s="1"/>
  <c r="AJ106" i="5"/>
  <c r="AK106" i="5" s="1"/>
  <c r="AH106" i="5"/>
  <c r="AI106" i="5" s="1"/>
  <c r="X108" i="5"/>
  <c r="K108" i="5"/>
  <c r="E101" i="10"/>
  <c r="M110" i="4" l="1"/>
  <c r="L109" i="4"/>
  <c r="N109" i="4" s="1"/>
  <c r="AM107" i="5"/>
  <c r="AL107" i="5" s="1"/>
  <c r="AF107" i="5"/>
  <c r="AG107" i="5" s="1"/>
  <c r="AH107" i="5"/>
  <c r="AJ107" i="5"/>
  <c r="AI107" i="5"/>
  <c r="AK107" i="5"/>
  <c r="H110" i="5"/>
  <c r="J108" i="5"/>
  <c r="F101" i="10"/>
  <c r="V108" i="5"/>
  <c r="AC108" i="5" s="1"/>
  <c r="AD108" i="5" s="1"/>
  <c r="X109" i="5"/>
  <c r="E102" i="10"/>
  <c r="K109" i="5"/>
  <c r="I109" i="5"/>
  <c r="G109" i="5"/>
  <c r="D102" i="10" s="1"/>
  <c r="L110" i="4" l="1"/>
  <c r="N110" i="4" s="1"/>
  <c r="M111" i="4"/>
  <c r="F102" i="10"/>
  <c r="J109" i="5"/>
  <c r="V109" i="5"/>
  <c r="AC109" i="5" s="1"/>
  <c r="AD109" i="5" s="1"/>
  <c r="H111" i="5"/>
  <c r="I110" i="5"/>
  <c r="G110" i="5"/>
  <c r="D103" i="10" s="1"/>
  <c r="AM108" i="5"/>
  <c r="AL108" i="5" s="1"/>
  <c r="AF108" i="5"/>
  <c r="AG108" i="5" s="1"/>
  <c r="AH108" i="5"/>
  <c r="AJ108" i="5"/>
  <c r="AK108" i="5"/>
  <c r="AI108" i="5"/>
  <c r="K110" i="5"/>
  <c r="E103" i="10"/>
  <c r="L111" i="4" l="1"/>
  <c r="N111" i="4" s="1"/>
  <c r="M112" i="4"/>
  <c r="AM109" i="5"/>
  <c r="AL109" i="5" s="1"/>
  <c r="AD112" i="5"/>
  <c r="AM112" i="5" s="1"/>
  <c r="AL112" i="5" s="1"/>
  <c r="E104" i="10"/>
  <c r="K111" i="5"/>
  <c r="I111" i="5"/>
  <c r="G111" i="5"/>
  <c r="D104" i="10" s="1"/>
  <c r="H112" i="5"/>
  <c r="J110" i="5"/>
  <c r="F103" i="10"/>
  <c r="AK109" i="5"/>
  <c r="AI109" i="5"/>
  <c r="AH109" i="5"/>
  <c r="AJ109" i="5"/>
  <c r="L112" i="4" l="1"/>
  <c r="N112" i="4" s="1"/>
  <c r="M113" i="4"/>
  <c r="H113" i="5"/>
  <c r="I112" i="5"/>
  <c r="G112" i="5"/>
  <c r="D105" i="10" s="1"/>
  <c r="K112" i="5"/>
  <c r="E105" i="10"/>
  <c r="F104" i="10"/>
  <c r="J111" i="5"/>
  <c r="L113" i="4" l="1"/>
  <c r="N113" i="4" s="1"/>
  <c r="M114" i="4"/>
  <c r="J112" i="5"/>
  <c r="F105" i="10"/>
  <c r="E106" i="10"/>
  <c r="K113" i="5"/>
  <c r="X113" i="5"/>
  <c r="I113" i="5"/>
  <c r="G113" i="5"/>
  <c r="D106" i="10" s="1"/>
  <c r="H114" i="5"/>
  <c r="AC121" i="5"/>
  <c r="L114" i="4" l="1"/>
  <c r="N114" i="4" s="1"/>
  <c r="M115" i="4"/>
  <c r="H115" i="5"/>
  <c r="AH112" i="5"/>
  <c r="AI112" i="5" s="1"/>
  <c r="AJ112" i="5"/>
  <c r="AK112" i="5" s="1"/>
  <c r="K114" i="5"/>
  <c r="X114" i="5"/>
  <c r="E107" i="10"/>
  <c r="I114" i="5"/>
  <c r="G114" i="5"/>
  <c r="D107" i="10" s="1"/>
  <c r="F106" i="10"/>
  <c r="V113" i="5"/>
  <c r="AC113" i="5" s="1"/>
  <c r="AD113" i="5" s="1"/>
  <c r="J113" i="5"/>
  <c r="L115" i="4" l="1"/>
  <c r="N115" i="4" s="1"/>
  <c r="M116" i="4"/>
  <c r="AM113" i="5"/>
  <c r="AL113" i="5" s="1"/>
  <c r="I115" i="5"/>
  <c r="G115" i="5"/>
  <c r="D108" i="10" s="1"/>
  <c r="H116" i="5"/>
  <c r="AH113" i="5"/>
  <c r="AI113" i="5" s="1"/>
  <c r="AJ113" i="5"/>
  <c r="AK113" i="5" s="1"/>
  <c r="J114" i="5"/>
  <c r="V114" i="5"/>
  <c r="AC114" i="5" s="1"/>
  <c r="AD114" i="5" s="1"/>
  <c r="F107" i="10"/>
  <c r="K115" i="5"/>
  <c r="X115" i="5"/>
  <c r="E108" i="10"/>
  <c r="L116" i="4" l="1"/>
  <c r="N116" i="4" s="1"/>
  <c r="M117" i="4"/>
  <c r="AM114" i="5"/>
  <c r="AL114" i="5" s="1"/>
  <c r="H117" i="5"/>
  <c r="J115" i="5"/>
  <c r="V115" i="5"/>
  <c r="AC115" i="5" s="1"/>
  <c r="AD115" i="5" s="1"/>
  <c r="F108" i="10"/>
  <c r="AH114" i="5"/>
  <c r="AI114" i="5" s="1"/>
  <c r="AJ114" i="5"/>
  <c r="AK114" i="5" s="1"/>
  <c r="I116" i="5"/>
  <c r="G116" i="5"/>
  <c r="K116" i="5"/>
  <c r="X116" i="5"/>
  <c r="M118" i="4" l="1"/>
  <c r="L117" i="4"/>
  <c r="N117" i="4" s="1"/>
  <c r="AM115" i="5"/>
  <c r="AL115" i="5" s="1"/>
  <c r="AJ115" i="5"/>
  <c r="AK115" i="5" s="1"/>
  <c r="AH115" i="5"/>
  <c r="AI115" i="5" s="1"/>
  <c r="H118" i="5"/>
  <c r="J116" i="5"/>
  <c r="V116" i="5"/>
  <c r="AC116" i="5" s="1"/>
  <c r="AD116" i="5" s="1"/>
  <c r="K117" i="5"/>
  <c r="X117" i="5"/>
  <c r="E109" i="10"/>
  <c r="I117" i="5"/>
  <c r="G117" i="5"/>
  <c r="D109" i="10" s="1"/>
  <c r="L118" i="4" l="1"/>
  <c r="N118" i="4" s="1"/>
  <c r="M119" i="4"/>
  <c r="L119" i="4" s="1"/>
  <c r="N119" i="4" s="1"/>
  <c r="AM116" i="5"/>
  <c r="AL116" i="5" s="1"/>
  <c r="J117" i="5"/>
  <c r="V117" i="5"/>
  <c r="AC117" i="5" s="1"/>
  <c r="AD117" i="5" s="1"/>
  <c r="F109" i="10"/>
  <c r="K118" i="5"/>
  <c r="X118" i="5"/>
  <c r="E110" i="10"/>
  <c r="AK116" i="5"/>
  <c r="AJ116" i="5"/>
  <c r="AH116" i="5"/>
  <c r="AI116" i="5"/>
  <c r="H119" i="5"/>
  <c r="I118" i="5"/>
  <c r="G118" i="5"/>
  <c r="D110" i="10" s="1"/>
  <c r="AM117" i="5" l="1"/>
  <c r="AL117" i="5" s="1"/>
  <c r="I119" i="5"/>
  <c r="G119" i="5"/>
  <c r="D111" i="10" s="1"/>
  <c r="J118" i="5"/>
  <c r="V118" i="5"/>
  <c r="AC118" i="5" s="1"/>
  <c r="AD118" i="5" s="1"/>
  <c r="F110" i="10"/>
  <c r="X119" i="5"/>
  <c r="K119" i="5"/>
  <c r="E111" i="10"/>
  <c r="AH117" i="5"/>
  <c r="AI117" i="5" s="1"/>
  <c r="AJ117" i="5"/>
  <c r="AK117" i="5" s="1"/>
  <c r="H120" i="5"/>
  <c r="H121" i="5" l="1"/>
  <c r="AJ118" i="5"/>
  <c r="AK118" i="5" s="1"/>
  <c r="AH118" i="5"/>
  <c r="AI118" i="5" s="1"/>
  <c r="AM118" i="5"/>
  <c r="AL118" i="5" s="1"/>
  <c r="K120" i="5"/>
  <c r="E112" i="10"/>
  <c r="V119" i="5"/>
  <c r="AC119" i="5" s="1"/>
  <c r="AD119" i="5" s="1"/>
  <c r="J119" i="5"/>
  <c r="F111" i="10"/>
  <c r="I120" i="5"/>
  <c r="G120" i="5"/>
  <c r="D112" i="10" s="1"/>
  <c r="J120" i="5" l="1"/>
  <c r="F112" i="10"/>
  <c r="H122" i="5"/>
  <c r="AJ119" i="5"/>
  <c r="AK119" i="5" s="1"/>
  <c r="AH119" i="5"/>
  <c r="AI119" i="5" s="1"/>
  <c r="AD121" i="5"/>
  <c r="AM121" i="5" s="1"/>
  <c r="AL121" i="5" s="1"/>
  <c r="AM119" i="5"/>
  <c r="AL119" i="5" s="1"/>
  <c r="E113" i="10"/>
  <c r="K121" i="5"/>
  <c r="I121" i="5"/>
  <c r="G121" i="5"/>
  <c r="D113" i="10" s="1"/>
  <c r="X122" i="5" l="1"/>
  <c r="E114" i="10"/>
  <c r="K122" i="5"/>
  <c r="F113" i="10"/>
  <c r="J121" i="5"/>
  <c r="I122" i="5"/>
  <c r="G122" i="5"/>
  <c r="D114" i="10" s="1"/>
  <c r="V122" i="5" l="1"/>
  <c r="AC122" i="5" s="1"/>
  <c r="AD122" i="5" s="1"/>
  <c r="AM122" i="5" s="1"/>
  <c r="AL122" i="5" s="1"/>
  <c r="F114" i="10"/>
  <c r="J122" i="5"/>
  <c r="AH121" i="5"/>
  <c r="AI121" i="5" s="1"/>
  <c r="AJ121" i="5"/>
  <c r="AK121" i="5" s="1"/>
  <c r="AJ122" i="5" l="1"/>
  <c r="AK122" i="5" s="1"/>
  <c r="AH122" i="5"/>
  <c r="AI122" i="5" s="1"/>
</calcChain>
</file>

<file path=xl/comments1.xml><?xml version="1.0" encoding="utf-8"?>
<comments xmlns="http://schemas.openxmlformats.org/spreadsheetml/2006/main">
  <authors>
    <author>pancer</author>
  </authors>
  <commentList>
    <comment ref="T3" authorId="0" shapeId="0">
      <text>
        <r>
          <rPr>
            <b/>
            <sz val="9"/>
            <rFont val="宋体"/>
            <family val="3"/>
            <charset val="134"/>
          </rPr>
          <t>1代表1:1.5土渠
2代表矩形明渠
3代表1:0.75石渠
4代表水闸</t>
        </r>
        <r>
          <rPr>
            <sz val="9"/>
            <rFont val="宋体"/>
            <family val="3"/>
            <charset val="134"/>
          </rPr>
          <t xml:space="preserve">
</t>
        </r>
      </text>
    </comment>
  </commentList>
</comments>
</file>

<file path=xl/sharedStrings.xml><?xml version="1.0" encoding="utf-8"?>
<sst xmlns="http://schemas.openxmlformats.org/spreadsheetml/2006/main" count="501" uniqueCount="201">
  <si>
    <t>设计流量</t>
  </si>
  <si>
    <t>加大流量</t>
  </si>
  <si>
    <t>明渠断面设计</t>
  </si>
  <si>
    <t>流量段</t>
  </si>
  <si>
    <t>设计水深</t>
  </si>
  <si>
    <t>底宽</t>
  </si>
  <si>
    <t>边坡</t>
  </si>
  <si>
    <t>面积</t>
  </si>
  <si>
    <t>湿周</t>
  </si>
  <si>
    <t>水力半径</t>
  </si>
  <si>
    <t>糙率</t>
  </si>
  <si>
    <t>设计流速</t>
  </si>
  <si>
    <t>加大水深</t>
  </si>
  <si>
    <t>渠道超高</t>
  </si>
  <si>
    <t>计算高度</t>
  </si>
  <si>
    <t>实际高度</t>
  </si>
  <si>
    <t>h</t>
  </si>
  <si>
    <t>b</t>
  </si>
  <si>
    <t>m</t>
  </si>
  <si>
    <t>W</t>
  </si>
  <si>
    <t>X</t>
  </si>
  <si>
    <t>R</t>
  </si>
  <si>
    <t>n</t>
  </si>
  <si>
    <t>1/I</t>
  </si>
  <si>
    <t>Q</t>
  </si>
  <si>
    <t>V</t>
  </si>
  <si>
    <t>Fb</t>
  </si>
  <si>
    <t>H'</t>
  </si>
  <si>
    <t>H</t>
  </si>
  <si>
    <t>水面宽</t>
  </si>
  <si>
    <t>转弯半径</t>
  </si>
  <si>
    <t>m/s</t>
  </si>
  <si>
    <t>一</t>
  </si>
  <si>
    <t>二</t>
  </si>
  <si>
    <t>三</t>
  </si>
  <si>
    <t>半径</t>
  </si>
  <si>
    <t>流速</t>
  </si>
  <si>
    <t>高宽比</t>
  </si>
  <si>
    <t>三隧洞断面设计</t>
  </si>
  <si>
    <t>洞高</t>
  </si>
  <si>
    <t>拱半径</t>
  </si>
  <si>
    <t>直墙高</t>
  </si>
  <si>
    <t>圆心以下高度</t>
  </si>
  <si>
    <t>圆心以上高度</t>
  </si>
  <si>
    <t>弧度</t>
  </si>
  <si>
    <t>洞身面积</t>
  </si>
  <si>
    <t>净空</t>
  </si>
  <si>
    <t>净空高度</t>
  </si>
  <si>
    <t>m2</t>
  </si>
  <si>
    <t>m3/s</t>
  </si>
  <si>
    <t>建筑物名称</t>
  </si>
  <si>
    <t>隧洞</t>
  </si>
  <si>
    <t>渡槽</t>
  </si>
  <si>
    <t>倒虹管</t>
  </si>
  <si>
    <t>暗渠</t>
  </si>
  <si>
    <t>节制闸</t>
  </si>
  <si>
    <t>分水及分标特征点</t>
  </si>
  <si>
    <t>明渠</t>
  </si>
  <si>
    <t>编号</t>
  </si>
  <si>
    <t>IP</t>
  </si>
  <si>
    <t>X(I)</t>
  </si>
  <si>
    <t>Y(I)</t>
  </si>
  <si>
    <t>转角</t>
  </si>
  <si>
    <t>分标桩号</t>
  </si>
  <si>
    <t>弯道长度</t>
  </si>
  <si>
    <r>
      <rPr>
        <sz val="10"/>
        <rFont val="宋体"/>
        <family val="3"/>
        <charset val="134"/>
      </rPr>
      <t>IP</t>
    </r>
    <r>
      <rPr>
        <sz val="10"/>
        <rFont val="宋体"/>
        <family val="3"/>
        <charset val="134"/>
      </rPr>
      <t>间距</t>
    </r>
  </si>
  <si>
    <t>边坡系数</t>
  </si>
  <si>
    <t>坡比</t>
  </si>
  <si>
    <t>流量</t>
  </si>
  <si>
    <t>水深</t>
  </si>
  <si>
    <t>过水断面面积</t>
  </si>
  <si>
    <t>弯道水头损失</t>
  </si>
  <si>
    <t>渐变段水头损失</t>
  </si>
  <si>
    <t>沿程水头损失</t>
  </si>
  <si>
    <t>预留损失</t>
  </si>
  <si>
    <r>
      <rPr>
        <sz val="10"/>
        <rFont val="宋体"/>
        <family val="3"/>
        <charset val="134"/>
      </rPr>
      <t>过闸损失</t>
    </r>
  </si>
  <si>
    <r>
      <rPr>
        <sz val="10"/>
        <rFont val="宋体"/>
        <family val="3"/>
        <charset val="134"/>
      </rPr>
      <t>弯</t>
    </r>
    <r>
      <rPr>
        <sz val="10"/>
        <rFont val="Times New Roman"/>
        <family val="1"/>
      </rPr>
      <t>/</t>
    </r>
    <r>
      <rPr>
        <sz val="10"/>
        <rFont val="宋体"/>
        <family val="3"/>
        <charset val="134"/>
      </rPr>
      <t>渐末水深</t>
    </r>
  </si>
  <si>
    <t>水损合</t>
  </si>
  <si>
    <t>水面</t>
  </si>
  <si>
    <t>渐变段</t>
  </si>
  <si>
    <r>
      <rPr>
        <sz val="10"/>
        <rFont val="宋体"/>
        <family val="3"/>
        <charset val="134"/>
      </rPr>
      <t>渐进</t>
    </r>
    <r>
      <rPr>
        <sz val="10"/>
        <rFont val="Times New Roman"/>
        <family val="1"/>
      </rPr>
      <t>/</t>
    </r>
    <r>
      <rPr>
        <sz val="10"/>
        <rFont val="宋体"/>
        <family val="3"/>
        <charset val="134"/>
      </rPr>
      <t>渐出</t>
    </r>
  </si>
  <si>
    <t>弯前</t>
  </si>
  <si>
    <t>弯后</t>
  </si>
  <si>
    <t>IP点</t>
  </si>
  <si>
    <r>
      <rPr>
        <sz val="10"/>
        <rFont val="宋体"/>
        <family val="3"/>
        <charset val="134"/>
      </rPr>
      <t>初设水位</t>
    </r>
  </si>
  <si>
    <t>BC</t>
  </si>
  <si>
    <t>MC</t>
  </si>
  <si>
    <t>EC</t>
  </si>
  <si>
    <t>B</t>
  </si>
  <si>
    <t>1/i</t>
  </si>
  <si>
    <t>A</t>
  </si>
  <si>
    <t>v</t>
  </si>
  <si>
    <t>过渡值</t>
  </si>
  <si>
    <t>长度</t>
  </si>
  <si>
    <t>底高程</t>
  </si>
  <si>
    <t>水面线</t>
  </si>
  <si>
    <t>Y</t>
  </si>
  <si>
    <t>切线长</t>
  </si>
  <si>
    <t>弧长</t>
  </si>
  <si>
    <t>IP直线间距</t>
  </si>
  <si>
    <t>弯前BC</t>
  </si>
  <si>
    <t>里程MC</t>
  </si>
  <si>
    <t>弯末EC</t>
  </si>
  <si>
    <t>复核弯前长度</t>
  </si>
  <si>
    <t>复核弯后长度</t>
  </si>
  <si>
    <t>复核总长度</t>
  </si>
  <si>
    <t>支渠名称</t>
  </si>
  <si>
    <t>断面形式</t>
  </si>
  <si>
    <t>渠高（m）</t>
  </si>
  <si>
    <t>圆弧段半径R（m）</t>
  </si>
  <si>
    <t>直线段外倾角α</t>
  </si>
  <si>
    <t>圆弧段圆心角（°）</t>
  </si>
  <si>
    <t>U型断面</t>
  </si>
  <si>
    <t>计算流量差</t>
    <phoneticPr fontId="8" type="noConversion"/>
  </si>
  <si>
    <t>设计流量</t>
    <phoneticPr fontId="8" type="noConversion"/>
  </si>
  <si>
    <t>加大流量</t>
    <phoneticPr fontId="8" type="noConversion"/>
  </si>
  <si>
    <t>流量/差</t>
  </si>
  <si>
    <t>槽深</t>
  </si>
  <si>
    <t>f/R0</t>
  </si>
  <si>
    <t>水面宽度</t>
  </si>
  <si>
    <t>0.7~0.9</t>
  </si>
  <si>
    <t>一</t>
    <phoneticPr fontId="10" type="noConversion"/>
  </si>
  <si>
    <t>圆心以上直墙高</t>
    <phoneticPr fontId="8" type="noConversion"/>
  </si>
  <si>
    <t>渡槽</t>
    <phoneticPr fontId="8" type="noConversion"/>
  </si>
  <si>
    <t>渡槽渐变段</t>
    <phoneticPr fontId="8" type="noConversion"/>
  </si>
  <si>
    <t>1~1.5</t>
    <phoneticPr fontId="8" type="noConversion"/>
  </si>
  <si>
    <t>&gt;15%</t>
    <phoneticPr fontId="8" type="noConversion"/>
  </si>
  <si>
    <t>&gt;0.4m</t>
    <phoneticPr fontId="8" type="noConversion"/>
  </si>
  <si>
    <t>1/底坡</t>
  </si>
  <si>
    <r>
      <t>m</t>
    </r>
    <r>
      <rPr>
        <vertAlign val="superscript"/>
        <sz val="11"/>
        <rFont val="宋体"/>
        <family val="3"/>
        <charset val="134"/>
        <scheme val="minor"/>
      </rPr>
      <t>2</t>
    </r>
  </si>
  <si>
    <r>
      <t>m</t>
    </r>
    <r>
      <rPr>
        <b/>
        <vertAlign val="superscript"/>
        <sz val="11"/>
        <rFont val="宋体"/>
        <family val="3"/>
        <charset val="134"/>
        <scheme val="minor"/>
      </rPr>
      <t>3</t>
    </r>
    <r>
      <rPr>
        <b/>
        <sz val="11"/>
        <rFont val="宋体"/>
        <family val="3"/>
        <charset val="134"/>
        <scheme val="minor"/>
      </rPr>
      <t>/s</t>
    </r>
  </si>
  <si>
    <t>石河东支渠</t>
    <phoneticPr fontId="8" type="noConversion"/>
  </si>
  <si>
    <t xml:space="preserve"> </t>
  </si>
  <si>
    <t>坐标值(m)编号X</t>
  </si>
  <si>
    <t>1#倒进</t>
    <phoneticPr fontId="8" type="noConversion"/>
  </si>
  <si>
    <t>1#倒出</t>
    <phoneticPr fontId="8" type="noConversion"/>
  </si>
  <si>
    <t>2#倒进</t>
    <phoneticPr fontId="8" type="noConversion"/>
  </si>
  <si>
    <t>3#倒进</t>
    <phoneticPr fontId="8" type="noConversion"/>
  </si>
  <si>
    <t>3#倒出</t>
    <phoneticPr fontId="8" type="noConversion"/>
  </si>
  <si>
    <t>2#倒出</t>
    <phoneticPr fontId="8" type="noConversion"/>
  </si>
  <si>
    <t>4#倒出</t>
    <phoneticPr fontId="8" type="noConversion"/>
  </si>
  <si>
    <t>1#隧进</t>
    <phoneticPr fontId="8" type="noConversion"/>
  </si>
  <si>
    <t>1#隧出</t>
    <phoneticPr fontId="8" type="noConversion"/>
  </si>
  <si>
    <t>5#倒进</t>
    <phoneticPr fontId="8" type="noConversion"/>
  </si>
  <si>
    <t>4#倒进</t>
    <phoneticPr fontId="8" type="noConversion"/>
  </si>
  <si>
    <t>5#倒出</t>
    <phoneticPr fontId="8" type="noConversion"/>
  </si>
  <si>
    <t>6#倒进</t>
    <phoneticPr fontId="8" type="noConversion"/>
  </si>
  <si>
    <t>6#倒出</t>
    <phoneticPr fontId="8" type="noConversion"/>
  </si>
  <si>
    <t>2#隧进</t>
    <phoneticPr fontId="8" type="noConversion"/>
  </si>
  <si>
    <t>2#隧出</t>
    <phoneticPr fontId="8" type="noConversion"/>
  </si>
  <si>
    <t>3#隧进</t>
    <phoneticPr fontId="8" type="noConversion"/>
  </si>
  <si>
    <t>3#隧出</t>
    <phoneticPr fontId="8" type="noConversion"/>
  </si>
  <si>
    <t>7#倒进</t>
    <phoneticPr fontId="8" type="noConversion"/>
  </si>
  <si>
    <t>7#倒出</t>
    <phoneticPr fontId="8" type="noConversion"/>
  </si>
  <si>
    <t>8#倒进</t>
    <phoneticPr fontId="8" type="noConversion"/>
  </si>
  <si>
    <t>8#倒出</t>
    <phoneticPr fontId="8" type="noConversion"/>
  </si>
  <si>
    <t>桩号</t>
    <phoneticPr fontId="8" type="noConversion"/>
  </si>
  <si>
    <t>高程</t>
    <phoneticPr fontId="8" type="noConversion"/>
  </si>
  <si>
    <t>梯形渠断面设计</t>
    <phoneticPr fontId="8" type="noConversion"/>
  </si>
  <si>
    <t>起始断面水深</t>
  </si>
  <si>
    <t>流量段数量</t>
  </si>
  <si>
    <t>分段流量</t>
  </si>
  <si>
    <t>明渠类型数</t>
  </si>
  <si>
    <t>渡槽类型数</t>
  </si>
  <si>
    <t>隧洞类型数</t>
  </si>
  <si>
    <t>明渠尺寸</t>
  </si>
  <si>
    <t>衬砌底厚度</t>
  </si>
  <si>
    <t>建筑高度</t>
  </si>
  <si>
    <t>纵坡</t>
  </si>
  <si>
    <t>渡槽尺寸</t>
  </si>
  <si>
    <t>隧洞尺寸</t>
  </si>
  <si>
    <t>BC里程</t>
  </si>
  <si>
    <t>MC里程</t>
  </si>
  <si>
    <t>EC里程</t>
  </si>
  <si>
    <t>渠道类型</t>
  </si>
  <si>
    <t>渠道尺寸序列</t>
  </si>
  <si>
    <t>进出口代码</t>
  </si>
  <si>
    <t>渐变段长度</t>
  </si>
  <si>
    <t>指定水头损失</t>
  </si>
  <si>
    <t>补点需求</t>
  </si>
  <si>
    <t>渐变段判断</t>
  </si>
  <si>
    <t>附加判断</t>
  </si>
  <si>
    <t>类型判断码</t>
  </si>
  <si>
    <t>明渠类型1</t>
  </si>
  <si>
    <t>明渠类型2</t>
  </si>
  <si>
    <t>自定义类型</t>
  </si>
  <si>
    <t>结构转弯</t>
  </si>
  <si>
    <t>隧洞渐变段</t>
    <phoneticPr fontId="8" type="noConversion"/>
  </si>
  <si>
    <t>石河东节制闸</t>
  </si>
  <si>
    <t>石河东节制闸</t>
    <phoneticPr fontId="8" type="noConversion"/>
  </si>
  <si>
    <t>1#斗门</t>
  </si>
  <si>
    <t>1#斗门</t>
    <phoneticPr fontId="8" type="noConversion"/>
  </si>
  <si>
    <t>2#斗门</t>
    <phoneticPr fontId="8" type="noConversion"/>
  </si>
  <si>
    <t>3#斗门</t>
    <phoneticPr fontId="8" type="noConversion"/>
  </si>
  <si>
    <t>4#斗门</t>
    <phoneticPr fontId="8" type="noConversion"/>
  </si>
  <si>
    <t>5#斗门</t>
    <phoneticPr fontId="8" type="noConversion"/>
  </si>
  <si>
    <t>6#斗门</t>
    <phoneticPr fontId="8" type="noConversion"/>
  </si>
  <si>
    <t>7#斗门</t>
    <phoneticPr fontId="8" type="noConversion"/>
  </si>
  <si>
    <t>一</t>
    <phoneticPr fontId="8" type="noConversion"/>
  </si>
  <si>
    <t>一</t>
    <phoneticPr fontId="8" type="noConversion"/>
  </si>
  <si>
    <t>结论：水面线计算成果与初设阶段基本一致，由于初设阶段倒虹管水头损失预留偏大，本阶段倒虹管预留水头损失跟初设阶段保持一致局部比初设阶段预留更大水头损失，经计算本阶段终点位置水位高程为2415.856m,与初设阶段终点位置水位高程2415.86m基本一致。</t>
    <phoneticPr fontId="8"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</si>
</sst>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43" formatCode="_ * #,##0.00_ ;_ * \-#,##0.00_ ;_ * &quot;-&quot;??_ ;_ @_ "/>
    <numFmt numFmtId="176" formatCode="0.00_ "/>
    <numFmt numFmtId="177" formatCode="0.000_ "/>
    <numFmt numFmtId="178" formatCode="0_ "/>
    <numFmt numFmtId="179" formatCode="0.0000_);[Red]\(0.0000\)"/>
    <numFmt numFmtId="180" formatCode="0.000_);[Red]\(0.000\)"/>
    <numFmt numFmtId="181" formatCode="0.0%"/>
    <numFmt numFmtId="182" formatCode="#,##0.00_ "/>
    <numFmt numFmtId="183" formatCode="0\+000.000"/>
    <numFmt numFmtId="184" formatCode="0_);[Red]\(0\)"/>
    <numFmt numFmtId="185" formatCode="0.00_);[Red]\(0.00\)"/>
    <numFmt numFmtId="186" formatCode="&quot;石河东&quot;0\+000.00"/>
    <numFmt numFmtId="187" formatCode="0.0_);[Red]\(0.0\)"/>
    <numFmt numFmtId="188" formatCode="0.0_ "/>
    <numFmt numFmtId="189" formatCode="0.000"/>
    <numFmt numFmtId="190" formatCode="0.0000"/>
  </numFmts>
  <fonts count="22" x14ac:knownFonts="1">
    <font>
      <sz val="11"/>
      <color theme="1"/>
      <name val="宋体"/>
      <charset val="134"/>
      <scheme val="minor"/>
    </font>
    <font>
      <sz val="10"/>
      <name val="宋体"/>
      <family val="3"/>
      <charset val="134"/>
    </font>
    <font>
      <sz val="10"/>
      <name val="Times New Roman"/>
      <family val="1"/>
    </font>
    <font>
      <sz val="12"/>
      <name val="宋体"/>
      <family val="3"/>
      <charset val="134"/>
    </font>
    <font>
      <sz val="11"/>
      <color theme="1"/>
      <name val="Times New Roman"/>
      <family val="1"/>
    </font>
    <font>
      <sz val="10"/>
      <name val="宋体"/>
      <family val="3"/>
      <charset val="134"/>
    </font>
    <font>
      <sz val="10"/>
      <name val="Times New Roman"/>
      <family val="1"/>
    </font>
    <font>
      <b/>
      <sz val="10"/>
      <name val="Times New Roman"/>
      <family val="1"/>
    </font>
    <font>
      <sz val="9"/>
      <name val="宋体"/>
      <family val="3"/>
      <charset val="134"/>
      <scheme val="minor"/>
    </font>
    <font>
      <sz val="11"/>
      <color theme="1"/>
      <name val="宋体"/>
      <family val="3"/>
      <charset val="134"/>
      <scheme val="minor"/>
    </font>
    <font>
      <sz val="9"/>
      <name val="宋体"/>
      <family val="3"/>
      <charset val="134"/>
    </font>
    <font>
      <sz val="11"/>
      <name val="宋体"/>
      <family val="3"/>
      <charset val="134"/>
      <scheme val="minor"/>
    </font>
    <font>
      <sz val="11"/>
      <color rgb="FFFF0000"/>
      <name val="宋体"/>
      <family val="3"/>
      <charset val="134"/>
      <scheme val="minor"/>
    </font>
    <font>
      <b/>
      <sz val="11"/>
      <name val="宋体"/>
      <family val="3"/>
      <charset val="134"/>
      <scheme val="minor"/>
    </font>
    <font>
      <vertAlign val="superscript"/>
      <sz val="11"/>
      <name val="宋体"/>
      <family val="3"/>
      <charset val="134"/>
      <scheme val="minor"/>
    </font>
    <font>
      <b/>
      <vertAlign val="superscript"/>
      <sz val="11"/>
      <name val="宋体"/>
      <family val="3"/>
      <charset val="134"/>
      <scheme val="minor"/>
    </font>
    <font>
      <sz val="11"/>
      <color indexed="8"/>
      <name val="宋体"/>
      <family val="3"/>
      <charset val="134"/>
      <scheme val="minor"/>
    </font>
    <font>
      <sz val="11"/>
      <color theme="1"/>
      <name val="宋体"/>
      <family val="3"/>
      <charset val="134"/>
      <scheme val="minor"/>
    </font>
    <font>
      <sz val="10"/>
      <name val="宋体"/>
      <family val="3"/>
      <charset val="134"/>
    </font>
    <font>
      <sz val="9"/>
      <name val="宋体"/>
      <family val="3"/>
      <charset val="134"/>
      <scheme val="minor"/>
    </font>
    <font>
      <b/>
      <sz val="9"/>
      <name val="宋体"/>
      <family val="3"/>
      <charset val="134"/>
    </font>
    <font>
      <sz val="22"/>
      <color theme="1"/>
      <name val="宋体"/>
      <family val="3"/>
      <charset val="134"/>
      <scheme val="minor"/>
    </font>
  </fonts>
  <fills count="17">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indexed="45"/>
        <bgColor indexed="64"/>
      </patternFill>
    </fill>
    <fill>
      <patternFill patternType="solid">
        <fgColor indexed="47"/>
        <bgColor indexed="64"/>
      </patternFill>
    </fill>
    <fill>
      <patternFill patternType="solid">
        <fgColor indexed="13"/>
        <bgColor indexed="64"/>
      </patternFill>
    </fill>
    <fill>
      <patternFill patternType="solid">
        <fgColor indexed="19"/>
        <bgColor indexed="64"/>
      </patternFill>
    </fill>
    <fill>
      <patternFill patternType="solid">
        <fgColor indexed="40"/>
        <bgColor indexed="64"/>
      </patternFill>
    </fill>
    <fill>
      <patternFill patternType="solid">
        <fgColor indexed="10"/>
        <bgColor indexed="64"/>
      </patternFill>
    </fill>
    <fill>
      <patternFill patternType="solid">
        <fgColor rgb="FF00B0F0"/>
        <bgColor indexed="64"/>
      </patternFill>
    </fill>
    <fill>
      <patternFill patternType="solid">
        <fgColor indexed="42"/>
        <bgColor indexed="64"/>
      </patternFill>
    </fill>
    <fill>
      <patternFill patternType="solid">
        <fgColor rgb="FFFFFFFF"/>
        <bgColor indexed="64"/>
      </patternFill>
    </fill>
    <fill>
      <patternFill patternType="solid">
        <fgColor theme="8" tint="0.59999389629810485"/>
        <bgColor indexed="64"/>
      </patternFill>
    </fill>
    <fill>
      <patternFill patternType="solid">
        <fgColor theme="9" tint="0.79998168889431442"/>
        <bgColor indexed="64"/>
      </patternFill>
    </fill>
    <fill>
      <patternFill patternType="solid">
        <fgColor rgb="FFFF99CC"/>
        <bgColor indexed="64"/>
      </patternFill>
    </fill>
    <fill>
      <patternFill patternType="solid">
        <fgColor theme="0" tint="-0.499984740745262"/>
        <bgColor indexed="64"/>
      </patternFill>
    </fill>
  </fills>
  <borders count="21">
    <border>
      <left/>
      <right/>
      <top/>
      <bottom/>
      <diagonal/>
    </border>
    <border>
      <left style="thin">
        <color auto="1"/>
      </left>
      <right style="thin">
        <color auto="1"/>
      </right>
      <top style="thin">
        <color auto="1"/>
      </top>
      <bottom style="thin">
        <color auto="1"/>
      </bottom>
      <diagonal/>
    </border>
    <border>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hair">
        <color auto="1"/>
      </right>
      <top style="hair">
        <color auto="1"/>
      </top>
      <bottom/>
      <diagonal/>
    </border>
    <border>
      <left style="thin">
        <color auto="1"/>
      </left>
      <right style="hair">
        <color auto="1"/>
      </right>
      <top style="hair">
        <color auto="1"/>
      </top>
      <bottom/>
      <diagonal/>
    </border>
    <border>
      <left/>
      <right style="hair">
        <color auto="1"/>
      </right>
      <top/>
      <bottom style="hair">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medium">
        <color indexed="64"/>
      </left>
      <right style="thin">
        <color auto="1"/>
      </right>
      <top style="thin">
        <color auto="1"/>
      </top>
      <bottom/>
      <diagonal/>
    </border>
    <border>
      <left style="medium">
        <color indexed="64"/>
      </left>
      <right style="thin">
        <color auto="1"/>
      </right>
      <top/>
      <bottom/>
      <diagonal/>
    </border>
    <border>
      <left style="medium">
        <color indexed="64"/>
      </left>
      <right style="thin">
        <color auto="1"/>
      </right>
      <top/>
      <bottom style="medium">
        <color indexed="64"/>
      </bottom>
      <diagonal/>
    </border>
  </borders>
  <cellStyleXfs count="2">
    <xf numFmtId="0" fontId="0" fillId="0" borderId="0">
      <alignment vertical="center"/>
    </xf>
    <xf numFmtId="43" fontId="17" fillId="0" borderId="0" applyFont="0" applyFill="0" applyBorder="0" applyAlignment="0" applyProtection="0">
      <alignment vertical="center"/>
    </xf>
  </cellStyleXfs>
  <cellXfs count="250">
    <xf numFmtId="0" fontId="0" fillId="0" borderId="0" xfId="0">
      <alignment vertical="center"/>
    </xf>
    <xf numFmtId="0" fontId="1" fillId="0" borderId="1" xfId="0" applyFont="1" applyFill="1" applyBorder="1" applyAlignment="1"/>
    <xf numFmtId="0" fontId="1" fillId="0" borderId="1" xfId="0" applyFont="1" applyFill="1" applyBorder="1" applyAlignment="1">
      <alignment horizontal="center"/>
    </xf>
    <xf numFmtId="179" fontId="1" fillId="0" borderId="1" xfId="0" applyNumberFormat="1" applyFont="1" applyFill="1" applyBorder="1" applyAlignment="1">
      <alignment horizontal="center"/>
    </xf>
    <xf numFmtId="184" fontId="1" fillId="0" borderId="1" xfId="0" applyNumberFormat="1" applyFont="1" applyFill="1" applyBorder="1" applyAlignment="1">
      <alignment horizontal="center"/>
    </xf>
    <xf numFmtId="180" fontId="1" fillId="0" borderId="1" xfId="0" applyNumberFormat="1" applyFont="1" applyFill="1" applyBorder="1" applyAlignment="1">
      <alignment horizontal="center"/>
    </xf>
    <xf numFmtId="184" fontId="2" fillId="0" borderId="1" xfId="0" applyNumberFormat="1" applyFont="1" applyFill="1" applyBorder="1" applyAlignment="1">
      <alignment horizontal="center"/>
    </xf>
    <xf numFmtId="180" fontId="2" fillId="0" borderId="1" xfId="0" applyNumberFormat="1" applyFont="1" applyFill="1" applyBorder="1" applyAlignment="1">
      <alignment horizontal="center"/>
    </xf>
    <xf numFmtId="0" fontId="0" fillId="0" borderId="1" xfId="0" applyBorder="1">
      <alignment vertical="center"/>
    </xf>
    <xf numFmtId="184" fontId="2" fillId="3" borderId="1" xfId="0" applyNumberFormat="1" applyFont="1" applyFill="1" applyBorder="1" applyAlignment="1">
      <alignment horizontal="center"/>
    </xf>
    <xf numFmtId="185" fontId="1" fillId="0" borderId="1" xfId="0" applyNumberFormat="1" applyFont="1" applyFill="1" applyBorder="1" applyAlignment="1">
      <alignment horizontal="center"/>
    </xf>
    <xf numFmtId="0" fontId="1" fillId="0" borderId="2" xfId="0" applyFont="1" applyFill="1" applyBorder="1" applyAlignment="1"/>
    <xf numFmtId="0" fontId="1" fillId="4" borderId="1" xfId="0" applyFont="1" applyFill="1" applyBorder="1" applyAlignment="1"/>
    <xf numFmtId="0" fontId="1" fillId="4" borderId="2" xfId="0" applyFont="1" applyFill="1" applyBorder="1" applyAlignment="1"/>
    <xf numFmtId="0" fontId="1" fillId="0" borderId="3" xfId="0" applyFont="1" applyFill="1" applyBorder="1" applyAlignment="1"/>
    <xf numFmtId="0" fontId="3" fillId="0" borderId="0" xfId="0" applyFont="1" applyFill="1" applyBorder="1" applyAlignment="1"/>
    <xf numFmtId="0" fontId="1" fillId="4" borderId="3" xfId="0" applyFont="1" applyFill="1" applyBorder="1" applyAlignment="1"/>
    <xf numFmtId="0" fontId="3" fillId="4" borderId="0" xfId="0" applyFont="1" applyFill="1" applyBorder="1" applyAlignment="1"/>
    <xf numFmtId="0" fontId="2" fillId="0" borderId="3" xfId="0" applyFont="1" applyFill="1" applyBorder="1" applyAlignment="1"/>
    <xf numFmtId="0" fontId="2" fillId="0" borderId="3" xfId="0" applyFont="1" applyFill="1" applyBorder="1" applyAlignment="1">
      <alignment horizontal="center" vertical="center"/>
    </xf>
    <xf numFmtId="0" fontId="0" fillId="0" borderId="0" xfId="0" applyFill="1">
      <alignment vertical="center"/>
    </xf>
    <xf numFmtId="0" fontId="0" fillId="0" borderId="0" xfId="0" applyFill="1" applyBorder="1">
      <alignment vertical="center"/>
    </xf>
    <xf numFmtId="182" fontId="0" fillId="0" borderId="0" xfId="0" applyNumberFormat="1">
      <alignment vertical="center"/>
    </xf>
    <xf numFmtId="0" fontId="4" fillId="0" borderId="0" xfId="0" applyFont="1">
      <alignment vertical="center"/>
    </xf>
    <xf numFmtId="0" fontId="4" fillId="0" borderId="0" xfId="0" applyFont="1" applyFill="1">
      <alignment vertical="center"/>
    </xf>
    <xf numFmtId="0" fontId="5" fillId="0" borderId="1" xfId="0" applyFont="1" applyFill="1" applyBorder="1" applyAlignment="1">
      <alignment horizontal="center"/>
    </xf>
    <xf numFmtId="0" fontId="1" fillId="4" borderId="4" xfId="0" applyFont="1" applyFill="1" applyBorder="1" applyAlignment="1">
      <alignment horizontal="center"/>
    </xf>
    <xf numFmtId="0" fontId="1" fillId="5" borderId="1" xfId="0" applyFont="1" applyFill="1" applyBorder="1" applyAlignment="1">
      <alignment horizontal="center"/>
    </xf>
    <xf numFmtId="0" fontId="1" fillId="6" borderId="1" xfId="0" applyFont="1" applyFill="1" applyBorder="1" applyAlignment="1">
      <alignment horizontal="center"/>
    </xf>
    <xf numFmtId="178" fontId="2" fillId="0" borderId="0" xfId="0" applyNumberFormat="1" applyFont="1" applyFill="1" applyBorder="1" applyAlignment="1"/>
    <xf numFmtId="185" fontId="1" fillId="7" borderId="0" xfId="0" applyNumberFormat="1" applyFont="1" applyFill="1" applyBorder="1" applyAlignment="1">
      <alignment horizontal="center"/>
    </xf>
    <xf numFmtId="185" fontId="1" fillId="8" borderId="0" xfId="0" applyNumberFormat="1" applyFont="1" applyFill="1" applyBorder="1" applyAlignment="1">
      <alignment horizontal="center"/>
    </xf>
    <xf numFmtId="0" fontId="1" fillId="9" borderId="1" xfId="0" applyFont="1" applyFill="1" applyBorder="1" applyAlignment="1">
      <alignment horizontal="center"/>
    </xf>
    <xf numFmtId="184" fontId="1" fillId="8" borderId="0" xfId="0" applyNumberFormat="1" applyFont="1" applyFill="1" applyBorder="1" applyAlignment="1">
      <alignment horizontal="center"/>
    </xf>
    <xf numFmtId="0" fontId="1" fillId="9" borderId="5" xfId="0" applyFont="1" applyFill="1" applyBorder="1" applyAlignment="1">
      <alignment horizontal="center"/>
    </xf>
    <xf numFmtId="0" fontId="2" fillId="0" borderId="1" xfId="0" applyFont="1" applyFill="1" applyBorder="1" applyAlignment="1">
      <alignment horizontal="center" vertical="center"/>
    </xf>
    <xf numFmtId="0" fontId="2" fillId="0" borderId="4" xfId="0" applyFont="1" applyFill="1" applyBorder="1" applyAlignment="1">
      <alignment horizontal="center" vertical="center"/>
    </xf>
    <xf numFmtId="179" fontId="2" fillId="0" borderId="1" xfId="0" applyNumberFormat="1" applyFont="1" applyFill="1" applyBorder="1" applyAlignment="1">
      <alignment horizontal="center" vertical="center"/>
    </xf>
    <xf numFmtId="178" fontId="1" fillId="0" borderId="1" xfId="0" applyNumberFormat="1" applyFont="1" applyFill="1" applyBorder="1" applyAlignment="1">
      <alignment horizontal="center" vertical="center"/>
    </xf>
    <xf numFmtId="185" fontId="1" fillId="0" borderId="1" xfId="0" applyNumberFormat="1" applyFont="1" applyFill="1" applyBorder="1" applyAlignment="1">
      <alignment horizontal="center" vertical="center"/>
    </xf>
    <xf numFmtId="178" fontId="2" fillId="0" borderId="1" xfId="0" applyNumberFormat="1" applyFont="1" applyFill="1" applyBorder="1" applyAlignment="1">
      <alignment horizontal="center" vertical="center"/>
    </xf>
    <xf numFmtId="185" fontId="2" fillId="0" borderId="1" xfId="0" applyNumberFormat="1" applyFont="1" applyFill="1" applyBorder="1" applyAlignment="1">
      <alignment horizontal="center" vertical="center"/>
    </xf>
    <xf numFmtId="183" fontId="1" fillId="0" borderId="1" xfId="0" applyNumberFormat="1" applyFont="1" applyFill="1" applyBorder="1" applyAlignment="1">
      <alignment horizontal="center" vertical="center"/>
    </xf>
    <xf numFmtId="0" fontId="2" fillId="0" borderId="4" xfId="0" applyFont="1" applyFill="1" applyBorder="1" applyAlignment="1">
      <alignment horizontal="center"/>
    </xf>
    <xf numFmtId="179" fontId="2" fillId="0" borderId="1" xfId="0" applyNumberFormat="1" applyFont="1" applyFill="1" applyBorder="1" applyAlignment="1">
      <alignment horizontal="center"/>
    </xf>
    <xf numFmtId="0" fontId="2" fillId="0" borderId="1" xfId="0" applyFont="1" applyFill="1" applyBorder="1" applyAlignment="1">
      <alignment horizontal="center"/>
    </xf>
    <xf numFmtId="0" fontId="0" fillId="0" borderId="1" xfId="0" applyFill="1" applyBorder="1">
      <alignment vertical="center"/>
    </xf>
    <xf numFmtId="0" fontId="2" fillId="3" borderId="4" xfId="0" applyFont="1" applyFill="1" applyBorder="1" applyAlignment="1">
      <alignment horizontal="center"/>
    </xf>
    <xf numFmtId="179" fontId="2" fillId="3" borderId="1" xfId="0" applyNumberFormat="1" applyFont="1" applyFill="1" applyBorder="1" applyAlignment="1">
      <alignment horizontal="center"/>
    </xf>
    <xf numFmtId="185" fontId="5" fillId="0" borderId="0" xfId="0" applyNumberFormat="1" applyFont="1" applyFill="1" applyBorder="1" applyAlignment="1">
      <alignment horizontal="center"/>
    </xf>
    <xf numFmtId="185" fontId="2" fillId="0" borderId="0" xfId="0" applyNumberFormat="1" applyFont="1" applyFill="1" applyBorder="1" applyAlignment="1">
      <alignment horizontal="center"/>
    </xf>
    <xf numFmtId="180" fontId="2" fillId="11" borderId="0" xfId="0" applyNumberFormat="1" applyFont="1" applyFill="1" applyBorder="1" applyAlignment="1"/>
    <xf numFmtId="182" fontId="2" fillId="0" borderId="0" xfId="0" applyNumberFormat="1" applyFont="1" applyFill="1" applyBorder="1" applyAlignment="1"/>
    <xf numFmtId="184" fontId="2" fillId="0" borderId="0" xfId="0" applyNumberFormat="1" applyFont="1" applyFill="1" applyBorder="1" applyAlignment="1">
      <alignment horizontal="center"/>
    </xf>
    <xf numFmtId="180" fontId="1" fillId="0" borderId="1" xfId="0" applyNumberFormat="1" applyFont="1" applyFill="1" applyBorder="1" applyAlignment="1"/>
    <xf numFmtId="182" fontId="1" fillId="0" borderId="1" xfId="0" applyNumberFormat="1" applyFont="1" applyFill="1" applyBorder="1" applyAlignment="1">
      <alignment horizontal="center" vertical="center"/>
    </xf>
    <xf numFmtId="180" fontId="2" fillId="0" borderId="1" xfId="0" applyNumberFormat="1" applyFont="1" applyFill="1" applyBorder="1" applyAlignment="1">
      <alignment horizontal="center" vertical="center"/>
    </xf>
    <xf numFmtId="182" fontId="2" fillId="0" borderId="1" xfId="0" applyNumberFormat="1" applyFont="1" applyFill="1" applyBorder="1" applyAlignment="1">
      <alignment horizontal="center" vertical="center"/>
    </xf>
    <xf numFmtId="185" fontId="2" fillId="0" borderId="1" xfId="0" applyNumberFormat="1" applyFont="1" applyFill="1" applyBorder="1" applyAlignment="1">
      <alignment horizontal="center"/>
    </xf>
    <xf numFmtId="180" fontId="2" fillId="0" borderId="1" xfId="0" applyNumberFormat="1" applyFont="1" applyFill="1" applyBorder="1" applyAlignment="1">
      <alignment vertical="center"/>
    </xf>
    <xf numFmtId="178" fontId="2" fillId="0" borderId="1" xfId="0" applyNumberFormat="1" applyFont="1" applyFill="1" applyBorder="1" applyAlignment="1">
      <alignment horizontal="center"/>
    </xf>
    <xf numFmtId="182" fontId="2" fillId="0" borderId="1" xfId="0" applyNumberFormat="1" applyFont="1" applyFill="1" applyBorder="1" applyAlignment="1">
      <alignment horizontal="center"/>
    </xf>
    <xf numFmtId="185" fontId="2" fillId="3" borderId="1" xfId="0" applyNumberFormat="1" applyFont="1" applyFill="1" applyBorder="1" applyAlignment="1">
      <alignment horizontal="center"/>
    </xf>
    <xf numFmtId="180" fontId="2" fillId="3" borderId="1" xfId="0" applyNumberFormat="1" applyFont="1" applyFill="1" applyBorder="1" applyAlignment="1">
      <alignment vertical="center"/>
    </xf>
    <xf numFmtId="178" fontId="2" fillId="3" borderId="1" xfId="0" applyNumberFormat="1" applyFont="1" applyFill="1" applyBorder="1" applyAlignment="1">
      <alignment horizontal="center"/>
    </xf>
    <xf numFmtId="185" fontId="2" fillId="11" borderId="0" xfId="0" applyNumberFormat="1" applyFont="1" applyFill="1" applyBorder="1" applyAlignment="1"/>
    <xf numFmtId="180" fontId="2" fillId="0" borderId="0" xfId="0" applyNumberFormat="1" applyFont="1" applyFill="1" applyBorder="1" applyAlignment="1">
      <alignment horizontal="center"/>
    </xf>
    <xf numFmtId="185" fontId="6" fillId="0" borderId="1" xfId="0" applyNumberFormat="1" applyFont="1" applyFill="1" applyBorder="1" applyAlignment="1">
      <alignment horizontal="center" vertical="center"/>
    </xf>
    <xf numFmtId="185" fontId="2" fillId="0" borderId="1" xfId="0" applyNumberFormat="1" applyFont="1" applyFill="1" applyBorder="1" applyAlignment="1"/>
    <xf numFmtId="0" fontId="4" fillId="0" borderId="1" xfId="0" applyFont="1" applyFill="1" applyBorder="1">
      <alignment vertical="center"/>
    </xf>
    <xf numFmtId="0" fontId="4" fillId="3" borderId="1" xfId="0" applyFont="1" applyFill="1" applyBorder="1">
      <alignment vertical="center"/>
    </xf>
    <xf numFmtId="180" fontId="2" fillId="3" borderId="1" xfId="0" applyNumberFormat="1" applyFont="1" applyFill="1" applyBorder="1" applyAlignment="1">
      <alignment horizontal="center" vertical="center"/>
    </xf>
    <xf numFmtId="180" fontId="7" fillId="0" borderId="0" xfId="0" applyNumberFormat="1" applyFont="1" applyFill="1" applyBorder="1" applyAlignment="1">
      <alignment horizontal="center"/>
    </xf>
    <xf numFmtId="0" fontId="2" fillId="0" borderId="0" xfId="0" applyFont="1" applyFill="1" applyBorder="1" applyAlignment="1">
      <alignment horizontal="center"/>
    </xf>
    <xf numFmtId="0" fontId="2" fillId="3" borderId="1" xfId="0" applyFont="1" applyFill="1" applyBorder="1" applyAlignment="1">
      <alignment horizontal="center"/>
    </xf>
    <xf numFmtId="180" fontId="2" fillId="0" borderId="7" xfId="0" applyNumberFormat="1" applyFont="1" applyFill="1" applyBorder="1" applyAlignment="1"/>
    <xf numFmtId="180" fontId="2" fillId="0" borderId="2" xfId="0" applyNumberFormat="1" applyFont="1" applyFill="1" applyBorder="1" applyAlignment="1"/>
    <xf numFmtId="177" fontId="2" fillId="0" borderId="3" xfId="0" applyNumberFormat="1" applyFont="1" applyFill="1" applyBorder="1" applyAlignment="1"/>
    <xf numFmtId="180" fontId="2" fillId="0" borderId="3" xfId="0" applyNumberFormat="1" applyFont="1" applyFill="1" applyBorder="1" applyAlignment="1"/>
    <xf numFmtId="177" fontId="0" fillId="0" borderId="0" xfId="0" applyNumberFormat="1" applyFill="1">
      <alignment vertical="center"/>
    </xf>
    <xf numFmtId="0" fontId="9" fillId="0" borderId="1" xfId="0" applyFont="1" applyFill="1" applyBorder="1" applyAlignment="1">
      <alignment horizontal="center" vertical="center"/>
    </xf>
    <xf numFmtId="0" fontId="9" fillId="0" borderId="0" xfId="0" applyFont="1">
      <alignment vertical="center"/>
    </xf>
    <xf numFmtId="0" fontId="11" fillId="0" borderId="1" xfId="0" applyFont="1" applyFill="1" applyBorder="1" applyAlignment="1">
      <alignment horizontal="center" vertical="center"/>
    </xf>
    <xf numFmtId="185" fontId="11" fillId="0" borderId="0" xfId="0" applyNumberFormat="1" applyFont="1" applyFill="1" applyAlignment="1">
      <alignment horizontal="center" vertical="center"/>
    </xf>
    <xf numFmtId="185" fontId="11" fillId="0" borderId="0" xfId="0" applyNumberFormat="1" applyFont="1" applyFill="1" applyAlignment="1">
      <alignment vertical="center"/>
    </xf>
    <xf numFmtId="0" fontId="12" fillId="13" borderId="1" xfId="0" applyFont="1" applyFill="1" applyBorder="1" applyAlignment="1">
      <alignment horizontal="center" vertical="center"/>
    </xf>
    <xf numFmtId="178" fontId="12" fillId="10" borderId="1" xfId="0" applyNumberFormat="1" applyFont="1" applyFill="1" applyBorder="1" applyAlignment="1">
      <alignment horizontal="center" vertical="center"/>
    </xf>
    <xf numFmtId="0" fontId="9" fillId="0" borderId="1" xfId="0" applyFont="1" applyBorder="1" applyAlignment="1">
      <alignment horizontal="center" vertical="center"/>
    </xf>
    <xf numFmtId="0" fontId="9" fillId="0" borderId="0" xfId="0" applyFont="1" applyBorder="1" applyAlignment="1">
      <alignment horizontal="center" vertical="center"/>
    </xf>
    <xf numFmtId="176" fontId="9" fillId="0" borderId="1" xfId="0" applyNumberFormat="1" applyFont="1" applyBorder="1" applyAlignment="1">
      <alignment horizontal="center" vertical="center"/>
    </xf>
    <xf numFmtId="0" fontId="9" fillId="2" borderId="1" xfId="0" applyFont="1" applyFill="1" applyBorder="1" applyAlignment="1">
      <alignment horizontal="center" vertical="center"/>
    </xf>
    <xf numFmtId="176" fontId="9" fillId="0" borderId="0" xfId="0" applyNumberFormat="1" applyFont="1" applyBorder="1" applyAlignment="1">
      <alignment horizontal="center" vertical="center"/>
    </xf>
    <xf numFmtId="178" fontId="9" fillId="0" borderId="0" xfId="0" applyNumberFormat="1" applyFont="1" applyBorder="1" applyAlignment="1">
      <alignment horizontal="center" vertical="center"/>
    </xf>
    <xf numFmtId="176" fontId="9" fillId="0" borderId="0" xfId="0" applyNumberFormat="1" applyFont="1">
      <alignment vertical="center"/>
    </xf>
    <xf numFmtId="177" fontId="9" fillId="0" borderId="0" xfId="0" applyNumberFormat="1" applyFont="1">
      <alignment vertical="center"/>
    </xf>
    <xf numFmtId="0" fontId="9" fillId="0" borderId="0" xfId="0" applyFont="1" applyBorder="1">
      <alignment vertical="center"/>
    </xf>
    <xf numFmtId="176" fontId="9" fillId="13" borderId="17" xfId="0" applyNumberFormat="1" applyFont="1" applyFill="1" applyBorder="1" applyAlignment="1">
      <alignment vertical="center"/>
    </xf>
    <xf numFmtId="178" fontId="9" fillId="0" borderId="1" xfId="0" applyNumberFormat="1" applyFont="1" applyBorder="1" applyAlignment="1">
      <alignment horizontal="center" vertical="center"/>
    </xf>
    <xf numFmtId="0" fontId="9" fillId="0" borderId="1" xfId="0" applyFont="1" applyBorder="1">
      <alignment vertical="center"/>
    </xf>
    <xf numFmtId="176" fontId="9" fillId="13" borderId="1" xfId="0" applyNumberFormat="1" applyFont="1" applyFill="1" applyBorder="1" applyAlignment="1">
      <alignment horizontal="center" vertical="center"/>
    </xf>
    <xf numFmtId="0" fontId="9" fillId="13" borderId="1" xfId="0" applyFont="1" applyFill="1" applyBorder="1" applyAlignment="1">
      <alignment horizontal="center" vertical="center"/>
    </xf>
    <xf numFmtId="0" fontId="9" fillId="0" borderId="0" xfId="0" applyFont="1" applyFill="1" applyBorder="1" applyAlignment="1">
      <alignment horizontal="center" vertical="center"/>
    </xf>
    <xf numFmtId="178" fontId="9" fillId="0" borderId="0" xfId="0" applyNumberFormat="1" applyFont="1" applyFill="1" applyBorder="1" applyAlignment="1">
      <alignment horizontal="center" vertical="center"/>
    </xf>
    <xf numFmtId="0" fontId="9" fillId="12" borderId="1" xfId="0" applyFont="1" applyFill="1" applyBorder="1" applyAlignment="1">
      <alignment horizontal="center" vertical="center" wrapText="1"/>
    </xf>
    <xf numFmtId="0" fontId="12" fillId="12" borderId="1" xfId="0" applyFont="1" applyFill="1" applyBorder="1" applyAlignment="1">
      <alignment horizontal="center" vertical="center" wrapText="1"/>
    </xf>
    <xf numFmtId="0" fontId="11" fillId="0" borderId="0" xfId="0" applyFont="1" applyFill="1" applyBorder="1" applyAlignment="1">
      <alignment horizontal="center" vertical="center"/>
    </xf>
    <xf numFmtId="185" fontId="11" fillId="0" borderId="0" xfId="0" applyNumberFormat="1" applyFont="1" applyFill="1" applyBorder="1" applyAlignment="1">
      <alignment horizontal="center" vertical="center"/>
    </xf>
    <xf numFmtId="0" fontId="11" fillId="0" borderId="13" xfId="0" applyFont="1" applyFill="1" applyBorder="1" applyAlignment="1">
      <alignment horizontal="center" vertical="center"/>
    </xf>
    <xf numFmtId="184" fontId="11" fillId="0" borderId="13" xfId="0" applyNumberFormat="1" applyFont="1" applyFill="1" applyBorder="1" applyAlignment="1">
      <alignment horizontal="center" vertical="center"/>
    </xf>
    <xf numFmtId="0" fontId="11" fillId="0" borderId="14" xfId="0" applyFont="1" applyFill="1" applyBorder="1" applyAlignment="1">
      <alignment horizontal="center" vertical="center"/>
    </xf>
    <xf numFmtId="0" fontId="13" fillId="0" borderId="1" xfId="0" applyFont="1" applyFill="1" applyBorder="1" applyAlignment="1">
      <alignment horizontal="center" vertical="center"/>
    </xf>
    <xf numFmtId="184" fontId="11" fillId="0" borderId="1" xfId="0" applyNumberFormat="1" applyFont="1" applyFill="1" applyBorder="1" applyAlignment="1">
      <alignment horizontal="center" vertical="center"/>
    </xf>
    <xf numFmtId="0" fontId="13" fillId="0" borderId="16" xfId="0" applyFont="1" applyFill="1" applyBorder="1" applyAlignment="1">
      <alignment horizontal="center" vertical="center"/>
    </xf>
    <xf numFmtId="0" fontId="11" fillId="0" borderId="10" xfId="0" applyFont="1" applyFill="1" applyBorder="1" applyAlignment="1">
      <alignment horizontal="center" vertical="center"/>
    </xf>
    <xf numFmtId="177" fontId="16" fillId="13" borderId="11" xfId="0" applyNumberFormat="1" applyFont="1" applyFill="1" applyBorder="1" applyAlignment="1">
      <alignment horizontal="center" vertical="center"/>
    </xf>
    <xf numFmtId="177" fontId="11" fillId="13" borderId="11" xfId="0" applyNumberFormat="1" applyFont="1" applyFill="1" applyBorder="1" applyAlignment="1">
      <alignment horizontal="center" vertical="center"/>
    </xf>
    <xf numFmtId="176" fontId="11" fillId="13" borderId="11" xfId="0" applyNumberFormat="1" applyFont="1" applyFill="1" applyBorder="1" applyAlignment="1">
      <alignment horizontal="center" vertical="center"/>
    </xf>
    <xf numFmtId="177" fontId="12" fillId="13" borderId="11" xfId="0" applyNumberFormat="1" applyFont="1" applyFill="1" applyBorder="1" applyAlignment="1">
      <alignment horizontal="center" vertical="center"/>
    </xf>
    <xf numFmtId="184" fontId="12" fillId="13" borderId="11" xfId="0" applyNumberFormat="1" applyFont="1" applyFill="1" applyBorder="1" applyAlignment="1">
      <alignment horizontal="center" vertical="center"/>
    </xf>
    <xf numFmtId="185" fontId="11" fillId="13" borderId="11" xfId="0" applyNumberFormat="1" applyFont="1" applyFill="1" applyBorder="1" applyAlignment="1">
      <alignment horizontal="center" vertical="center"/>
    </xf>
    <xf numFmtId="185" fontId="16" fillId="13" borderId="11" xfId="0" applyNumberFormat="1" applyFont="1" applyFill="1" applyBorder="1" applyAlignment="1">
      <alignment horizontal="center" vertical="center"/>
    </xf>
    <xf numFmtId="185" fontId="12" fillId="13" borderId="17" xfId="0" applyNumberFormat="1" applyFont="1" applyFill="1" applyBorder="1" applyAlignment="1">
      <alignment horizontal="center" vertical="center"/>
    </xf>
    <xf numFmtId="184" fontId="11" fillId="13" borderId="11" xfId="0" applyNumberFormat="1" applyFont="1" applyFill="1" applyBorder="1" applyAlignment="1">
      <alignment horizontal="center" vertical="center"/>
    </xf>
    <xf numFmtId="185" fontId="11" fillId="0" borderId="1" xfId="0" applyNumberFormat="1" applyFont="1" applyFill="1" applyBorder="1" applyAlignment="1">
      <alignment horizontal="center" vertical="center"/>
    </xf>
    <xf numFmtId="185" fontId="11" fillId="14" borderId="1" xfId="0" applyNumberFormat="1" applyFont="1" applyFill="1" applyBorder="1" applyAlignment="1">
      <alignment horizontal="center" vertical="center"/>
    </xf>
    <xf numFmtId="177" fontId="16" fillId="13" borderId="1" xfId="0" applyNumberFormat="1" applyFont="1" applyFill="1" applyBorder="1" applyAlignment="1">
      <alignment horizontal="center" vertical="center"/>
    </xf>
    <xf numFmtId="176" fontId="12" fillId="13" borderId="1" xfId="0" applyNumberFormat="1" applyFont="1" applyFill="1" applyBorder="1" applyAlignment="1">
      <alignment horizontal="center" vertical="center"/>
    </xf>
    <xf numFmtId="177" fontId="11" fillId="13" borderId="1" xfId="0" applyNumberFormat="1" applyFont="1" applyFill="1" applyBorder="1" applyAlignment="1">
      <alignment horizontal="center" vertical="center"/>
    </xf>
    <xf numFmtId="176" fontId="11" fillId="13" borderId="1" xfId="0" applyNumberFormat="1" applyFont="1" applyFill="1" applyBorder="1" applyAlignment="1">
      <alignment horizontal="center" vertical="center"/>
    </xf>
    <xf numFmtId="177" fontId="12" fillId="13" borderId="1" xfId="0" applyNumberFormat="1" applyFont="1" applyFill="1" applyBorder="1" applyAlignment="1">
      <alignment horizontal="center" vertical="center"/>
    </xf>
    <xf numFmtId="184" fontId="12" fillId="13" borderId="1" xfId="0" applyNumberFormat="1" applyFont="1" applyFill="1" applyBorder="1" applyAlignment="1">
      <alignment horizontal="center" vertical="center"/>
    </xf>
    <xf numFmtId="185" fontId="16" fillId="13" borderId="1" xfId="0" applyNumberFormat="1" applyFont="1" applyFill="1" applyBorder="1" applyAlignment="1">
      <alignment horizontal="center" vertical="center"/>
    </xf>
    <xf numFmtId="185" fontId="11" fillId="13" borderId="1" xfId="0" applyNumberFormat="1" applyFont="1" applyFill="1" applyBorder="1" applyAlignment="1">
      <alignment horizontal="center" vertical="center"/>
    </xf>
    <xf numFmtId="181" fontId="11" fillId="13" borderId="1" xfId="0" applyNumberFormat="1" applyFont="1" applyFill="1" applyBorder="1" applyAlignment="1">
      <alignment horizontal="center" vertical="center"/>
    </xf>
    <xf numFmtId="176" fontId="16" fillId="13" borderId="1" xfId="0" applyNumberFormat="1" applyFont="1" applyFill="1" applyBorder="1" applyAlignment="1">
      <alignment horizontal="center" vertical="center"/>
    </xf>
    <xf numFmtId="184" fontId="11" fillId="13" borderId="1" xfId="0" applyNumberFormat="1" applyFont="1" applyFill="1" applyBorder="1" applyAlignment="1">
      <alignment horizontal="center" vertical="center"/>
    </xf>
    <xf numFmtId="177" fontId="11" fillId="0" borderId="1" xfId="0" applyNumberFormat="1" applyFont="1" applyFill="1" applyBorder="1" applyAlignment="1">
      <alignment horizontal="center" vertical="center"/>
    </xf>
    <xf numFmtId="0" fontId="11" fillId="14" borderId="1" xfId="0" applyFont="1" applyFill="1" applyBorder="1" applyAlignment="1">
      <alignment horizontal="center" vertical="center"/>
    </xf>
    <xf numFmtId="185" fontId="12" fillId="13" borderId="1" xfId="0" applyNumberFormat="1" applyFont="1" applyFill="1" applyBorder="1" applyAlignment="1">
      <alignment horizontal="center" vertical="center"/>
    </xf>
    <xf numFmtId="2" fontId="11" fillId="13" borderId="1" xfId="0" applyNumberFormat="1" applyFont="1" applyFill="1" applyBorder="1" applyAlignment="1">
      <alignment horizontal="center" vertical="center"/>
    </xf>
    <xf numFmtId="185" fontId="11" fillId="0" borderId="0" xfId="0" applyNumberFormat="1" applyFont="1" applyFill="1" applyBorder="1" applyAlignment="1">
      <alignment vertical="center"/>
    </xf>
    <xf numFmtId="176" fontId="11" fillId="0" borderId="0" xfId="0" applyNumberFormat="1" applyFont="1" applyFill="1" applyBorder="1" applyAlignment="1">
      <alignment horizontal="center" vertical="center"/>
    </xf>
    <xf numFmtId="177" fontId="11" fillId="0" borderId="0" xfId="0" applyNumberFormat="1" applyFont="1" applyFill="1" applyBorder="1" applyAlignment="1">
      <alignment horizontal="center" vertical="center"/>
    </xf>
    <xf numFmtId="184" fontId="11" fillId="0" borderId="0" xfId="0" applyNumberFormat="1" applyFont="1" applyFill="1" applyBorder="1" applyAlignment="1">
      <alignment horizontal="center" vertical="center"/>
    </xf>
    <xf numFmtId="0" fontId="11" fillId="0" borderId="0" xfId="0" applyFont="1" applyFill="1" applyAlignment="1">
      <alignment horizontal="center" vertical="center"/>
    </xf>
    <xf numFmtId="186" fontId="2" fillId="0" borderId="1" xfId="0" applyNumberFormat="1" applyFont="1" applyFill="1" applyBorder="1" applyAlignment="1">
      <alignment horizontal="center"/>
    </xf>
    <xf numFmtId="186" fontId="2" fillId="3" borderId="1" xfId="0" applyNumberFormat="1" applyFont="1" applyFill="1" applyBorder="1" applyAlignment="1">
      <alignment horizontal="center"/>
    </xf>
    <xf numFmtId="0" fontId="2" fillId="15" borderId="4" xfId="0" applyFont="1" applyFill="1" applyBorder="1" applyAlignment="1">
      <alignment horizontal="center"/>
    </xf>
    <xf numFmtId="179" fontId="2" fillId="15" borderId="1" xfId="0" applyNumberFormat="1" applyFont="1" applyFill="1" applyBorder="1" applyAlignment="1">
      <alignment horizontal="center"/>
    </xf>
    <xf numFmtId="186" fontId="2" fillId="15" borderId="1" xfId="0" applyNumberFormat="1" applyFont="1" applyFill="1" applyBorder="1" applyAlignment="1">
      <alignment horizontal="center"/>
    </xf>
    <xf numFmtId="185" fontId="2" fillId="15" borderId="1" xfId="0" applyNumberFormat="1" applyFont="1" applyFill="1" applyBorder="1" applyAlignment="1">
      <alignment horizontal="center"/>
    </xf>
    <xf numFmtId="180" fontId="2" fillId="15" borderId="1" xfId="0" applyNumberFormat="1" applyFont="1" applyFill="1" applyBorder="1" applyAlignment="1">
      <alignment vertical="center"/>
    </xf>
    <xf numFmtId="178" fontId="2" fillId="15" borderId="1" xfId="0" applyNumberFormat="1" applyFont="1" applyFill="1" applyBorder="1" applyAlignment="1">
      <alignment horizontal="center"/>
    </xf>
    <xf numFmtId="0" fontId="4" fillId="15" borderId="1" xfId="0" applyFont="1" applyFill="1" applyBorder="1">
      <alignment vertical="center"/>
    </xf>
    <xf numFmtId="180" fontId="2" fillId="15" borderId="1" xfId="0" applyNumberFormat="1" applyFont="1" applyFill="1" applyBorder="1" applyAlignment="1">
      <alignment horizontal="center" vertical="center"/>
    </xf>
    <xf numFmtId="0" fontId="2" fillId="15" borderId="1" xfId="0" applyFont="1" applyFill="1" applyBorder="1" applyAlignment="1">
      <alignment horizontal="center"/>
    </xf>
    <xf numFmtId="0" fontId="1" fillId="3" borderId="1" xfId="0" applyFont="1" applyFill="1" applyBorder="1" applyAlignment="1">
      <alignment horizontal="center"/>
    </xf>
    <xf numFmtId="0" fontId="9" fillId="3" borderId="1" xfId="0" applyFont="1" applyFill="1" applyBorder="1">
      <alignment vertical="center"/>
    </xf>
    <xf numFmtId="0" fontId="0" fillId="3" borderId="0" xfId="0" applyFill="1">
      <alignment vertical="center"/>
    </xf>
    <xf numFmtId="0" fontId="0" fillId="3" borderId="1" xfId="0" applyFill="1" applyBorder="1">
      <alignment vertical="center"/>
    </xf>
    <xf numFmtId="0" fontId="4" fillId="3" borderId="0" xfId="0" applyFont="1" applyFill="1">
      <alignment vertical="center"/>
    </xf>
    <xf numFmtId="177" fontId="2" fillId="3" borderId="3" xfId="0" applyNumberFormat="1" applyFont="1" applyFill="1" applyBorder="1" applyAlignment="1"/>
    <xf numFmtId="177" fontId="0" fillId="3" borderId="0" xfId="0" applyNumberFormat="1" applyFill="1">
      <alignment vertical="center"/>
    </xf>
    <xf numFmtId="0" fontId="0" fillId="3" borderId="0" xfId="0" applyFill="1" applyBorder="1">
      <alignment vertical="center"/>
    </xf>
    <xf numFmtId="0" fontId="0" fillId="15" borderId="0" xfId="0" applyFill="1" applyBorder="1">
      <alignment vertical="center"/>
    </xf>
    <xf numFmtId="0" fontId="4" fillId="15" borderId="0" xfId="0" applyFont="1" applyFill="1">
      <alignment vertical="center"/>
    </xf>
    <xf numFmtId="0" fontId="0" fillId="15" borderId="0" xfId="0" applyFill="1">
      <alignment vertical="center"/>
    </xf>
    <xf numFmtId="0" fontId="9" fillId="0" borderId="1" xfId="0" applyFont="1" applyFill="1" applyBorder="1">
      <alignment vertical="center"/>
    </xf>
    <xf numFmtId="187" fontId="2" fillId="3" borderId="1" xfId="0" applyNumberFormat="1" applyFont="1" applyFill="1" applyBorder="1" applyAlignment="1">
      <alignment horizontal="center"/>
    </xf>
    <xf numFmtId="188" fontId="2" fillId="0" borderId="0" xfId="0" applyNumberFormat="1" applyFont="1" applyFill="1" applyBorder="1" applyAlignment="1"/>
    <xf numFmtId="188" fontId="1" fillId="0" borderId="1" xfId="0" applyNumberFormat="1" applyFont="1" applyFill="1" applyBorder="1" applyAlignment="1">
      <alignment horizontal="center" vertical="center"/>
    </xf>
    <xf numFmtId="188" fontId="2" fillId="0" borderId="1" xfId="0" applyNumberFormat="1" applyFont="1" applyFill="1" applyBorder="1" applyAlignment="1">
      <alignment horizontal="center" vertical="center"/>
    </xf>
    <xf numFmtId="188" fontId="2" fillId="0" borderId="1" xfId="0" applyNumberFormat="1" applyFont="1" applyFill="1" applyBorder="1" applyAlignment="1">
      <alignment horizontal="center"/>
    </xf>
    <xf numFmtId="188" fontId="2" fillId="3" borderId="1" xfId="0" applyNumberFormat="1" applyFont="1" applyFill="1" applyBorder="1" applyAlignment="1">
      <alignment horizontal="center"/>
    </xf>
    <xf numFmtId="188" fontId="2" fillId="15" borderId="1" xfId="0" applyNumberFormat="1" applyFont="1" applyFill="1" applyBorder="1" applyAlignment="1">
      <alignment horizontal="center"/>
    </xf>
    <xf numFmtId="188" fontId="0" fillId="0" borderId="0" xfId="0" applyNumberFormat="1">
      <alignment vertical="center"/>
    </xf>
    <xf numFmtId="0" fontId="11" fillId="0" borderId="1" xfId="0" applyFont="1" applyFill="1" applyBorder="1" applyAlignment="1">
      <alignment horizontal="center" vertical="center"/>
    </xf>
    <xf numFmtId="0" fontId="0" fillId="0" borderId="1" xfId="0" applyBorder="1" applyAlignment="1">
      <alignment horizontal="center" vertical="center"/>
    </xf>
    <xf numFmtId="176" fontId="0" fillId="0" borderId="1" xfId="0" applyNumberFormat="1" applyBorder="1" applyAlignment="1">
      <alignment horizontal="center" vertical="center"/>
    </xf>
    <xf numFmtId="0" fontId="0" fillId="2" borderId="1" xfId="0" applyFill="1" applyBorder="1" applyAlignment="1">
      <alignment horizontal="center" vertical="center"/>
    </xf>
    <xf numFmtId="178" fontId="0" fillId="0" borderId="1" xfId="0" applyNumberFormat="1" applyBorder="1" applyAlignment="1">
      <alignment horizontal="center" vertical="center"/>
    </xf>
    <xf numFmtId="186" fontId="0" fillId="0" borderId="0" xfId="0" applyNumberFormat="1">
      <alignment vertical="center"/>
    </xf>
    <xf numFmtId="183" fontId="9" fillId="0" borderId="0" xfId="0" applyNumberFormat="1" applyFont="1">
      <alignment vertical="center"/>
    </xf>
    <xf numFmtId="2" fontId="0" fillId="0" borderId="0" xfId="0" applyNumberFormat="1">
      <alignment vertical="center"/>
    </xf>
    <xf numFmtId="0" fontId="18" fillId="0" borderId="0" xfId="0" applyFont="1" applyAlignment="1">
      <alignment horizontal="center" vertical="center"/>
    </xf>
    <xf numFmtId="0" fontId="0" fillId="0" borderId="0" xfId="0" applyAlignment="1"/>
    <xf numFmtId="0" fontId="0" fillId="0" borderId="0" xfId="0" applyAlignment="1">
      <alignment horizontal="center"/>
    </xf>
    <xf numFmtId="185" fontId="0" fillId="0" borderId="0" xfId="0" applyNumberFormat="1" applyFont="1" applyAlignment="1"/>
    <xf numFmtId="185" fontId="0" fillId="0" borderId="0" xfId="0" applyNumberFormat="1" applyAlignment="1"/>
    <xf numFmtId="180" fontId="0" fillId="0" borderId="0" xfId="0" applyNumberFormat="1" applyAlignment="1"/>
    <xf numFmtId="187" fontId="0" fillId="0" borderId="0" xfId="0" applyNumberFormat="1" applyAlignment="1"/>
    <xf numFmtId="185" fontId="0" fillId="16" borderId="0" xfId="0" applyNumberFormat="1" applyFont="1" applyFill="1" applyAlignment="1"/>
    <xf numFmtId="43" fontId="0" fillId="0" borderId="0" xfId="1" applyFont="1" applyAlignment="1"/>
    <xf numFmtId="43" fontId="18" fillId="0" borderId="0" xfId="1" applyFont="1" applyAlignment="1">
      <alignment horizontal="center" vertical="center"/>
    </xf>
    <xf numFmtId="187" fontId="0" fillId="0" borderId="0" xfId="1" applyNumberFormat="1" applyFont="1" applyAlignment="1"/>
    <xf numFmtId="187" fontId="18" fillId="0" borderId="0" xfId="0" applyNumberFormat="1" applyFont="1" applyAlignment="1">
      <alignment horizontal="center" vertical="center"/>
    </xf>
    <xf numFmtId="176" fontId="0" fillId="0" borderId="0" xfId="0" applyNumberFormat="1" applyFont="1" applyAlignment="1"/>
    <xf numFmtId="177" fontId="0" fillId="0" borderId="0" xfId="0" applyNumberFormat="1" applyAlignment="1"/>
    <xf numFmtId="176" fontId="0" fillId="0" borderId="0" xfId="0" applyNumberFormat="1" applyAlignment="1"/>
    <xf numFmtId="0" fontId="0" fillId="0" borderId="0" xfId="0" applyFont="1" applyAlignment="1"/>
    <xf numFmtId="189" fontId="0" fillId="0" borderId="0" xfId="0" applyNumberFormat="1" applyAlignment="1"/>
    <xf numFmtId="0" fontId="1" fillId="0" borderId="0" xfId="0" applyFont="1" applyAlignment="1">
      <alignment horizontal="center" vertical="center"/>
    </xf>
    <xf numFmtId="0" fontId="0" fillId="3" borderId="0" xfId="0" applyFill="1" applyAlignment="1"/>
    <xf numFmtId="0" fontId="1" fillId="0" borderId="0" xfId="0" applyFont="1" applyAlignment="1">
      <alignment horizontal="center"/>
    </xf>
    <xf numFmtId="1" fontId="9" fillId="0" borderId="1" xfId="0" applyNumberFormat="1" applyFont="1" applyBorder="1">
      <alignment vertical="center"/>
    </xf>
    <xf numFmtId="0" fontId="1" fillId="10" borderId="1" xfId="0" applyFont="1" applyFill="1" applyBorder="1" applyAlignment="1">
      <alignment horizontal="center"/>
    </xf>
    <xf numFmtId="0" fontId="9" fillId="10" borderId="1" xfId="0" applyFont="1" applyFill="1" applyBorder="1">
      <alignment vertical="center"/>
    </xf>
    <xf numFmtId="184" fontId="2" fillId="10" borderId="1" xfId="0" applyNumberFormat="1" applyFont="1" applyFill="1" applyBorder="1" applyAlignment="1">
      <alignment horizontal="center"/>
    </xf>
    <xf numFmtId="179" fontId="2" fillId="10" borderId="1" xfId="0" applyNumberFormat="1" applyFont="1" applyFill="1" applyBorder="1" applyAlignment="1">
      <alignment horizontal="center"/>
    </xf>
    <xf numFmtId="180" fontId="2" fillId="10" borderId="1" xfId="0" applyNumberFormat="1" applyFont="1" applyFill="1" applyBorder="1" applyAlignment="1">
      <alignment horizontal="center"/>
    </xf>
    <xf numFmtId="185" fontId="1" fillId="10" borderId="1" xfId="0" applyNumberFormat="1" applyFont="1" applyFill="1" applyBorder="1" applyAlignment="1">
      <alignment horizontal="center"/>
    </xf>
    <xf numFmtId="180" fontId="1" fillId="10" borderId="1" xfId="0" applyNumberFormat="1" applyFont="1" applyFill="1" applyBorder="1" applyAlignment="1">
      <alignment horizontal="center"/>
    </xf>
    <xf numFmtId="0" fontId="1" fillId="10" borderId="1" xfId="0" applyFont="1" applyFill="1" applyBorder="1" applyAlignment="1"/>
    <xf numFmtId="0" fontId="0" fillId="10" borderId="0" xfId="0" applyFill="1">
      <alignment vertical="center"/>
    </xf>
    <xf numFmtId="0" fontId="1" fillId="10" borderId="2" xfId="0" applyFont="1" applyFill="1" applyBorder="1" applyAlignment="1"/>
    <xf numFmtId="0" fontId="1" fillId="10" borderId="3" xfId="0" applyFont="1" applyFill="1" applyBorder="1" applyAlignment="1"/>
    <xf numFmtId="0" fontId="3" fillId="10" borderId="0" xfId="0" applyFont="1" applyFill="1" applyBorder="1" applyAlignment="1"/>
    <xf numFmtId="0" fontId="0" fillId="10" borderId="0" xfId="0" applyFill="1" applyBorder="1">
      <alignment vertical="center"/>
    </xf>
    <xf numFmtId="0" fontId="2" fillId="10" borderId="4" xfId="0" applyFont="1" applyFill="1" applyBorder="1" applyAlignment="1">
      <alignment horizontal="center"/>
    </xf>
    <xf numFmtId="188" fontId="2" fillId="10" borderId="1" xfId="0" applyNumberFormat="1" applyFont="1" applyFill="1" applyBorder="1" applyAlignment="1">
      <alignment horizontal="center"/>
    </xf>
    <xf numFmtId="186" fontId="2" fillId="10" borderId="1" xfId="0" applyNumberFormat="1" applyFont="1" applyFill="1" applyBorder="1" applyAlignment="1">
      <alignment horizontal="center"/>
    </xf>
    <xf numFmtId="185" fontId="2" fillId="10" borderId="1" xfId="0" applyNumberFormat="1" applyFont="1" applyFill="1" applyBorder="1" applyAlignment="1">
      <alignment horizontal="center"/>
    </xf>
    <xf numFmtId="180" fontId="2" fillId="10" borderId="1" xfId="0" applyNumberFormat="1" applyFont="1" applyFill="1" applyBorder="1" applyAlignment="1">
      <alignment vertical="center"/>
    </xf>
    <xf numFmtId="178" fontId="2" fillId="10" borderId="1" xfId="0" applyNumberFormat="1" applyFont="1" applyFill="1" applyBorder="1" applyAlignment="1">
      <alignment horizontal="center"/>
    </xf>
    <xf numFmtId="0" fontId="4" fillId="10" borderId="1" xfId="0" applyFont="1" applyFill="1" applyBorder="1">
      <alignment vertical="center"/>
    </xf>
    <xf numFmtId="180" fontId="2" fillId="10" borderId="1" xfId="0" applyNumberFormat="1" applyFont="1" applyFill="1" applyBorder="1" applyAlignment="1">
      <alignment horizontal="center" vertical="center"/>
    </xf>
    <xf numFmtId="0" fontId="2" fillId="10" borderId="1" xfId="0" applyFont="1" applyFill="1" applyBorder="1" applyAlignment="1">
      <alignment horizontal="center"/>
    </xf>
    <xf numFmtId="0" fontId="4" fillId="10" borderId="0" xfId="0" applyFont="1" applyFill="1">
      <alignment vertical="center"/>
    </xf>
    <xf numFmtId="0" fontId="0" fillId="10" borderId="1" xfId="0" applyFill="1" applyBorder="1">
      <alignment vertical="center"/>
    </xf>
    <xf numFmtId="177" fontId="0" fillId="10" borderId="0" xfId="0" applyNumberFormat="1" applyFill="1">
      <alignment vertical="center"/>
    </xf>
    <xf numFmtId="185" fontId="2" fillId="10" borderId="1" xfId="0" applyNumberFormat="1" applyFont="1" applyFill="1" applyBorder="1" applyAlignment="1"/>
    <xf numFmtId="180" fontId="2" fillId="10" borderId="2" xfId="0" applyNumberFormat="1" applyFont="1" applyFill="1" applyBorder="1" applyAlignment="1"/>
    <xf numFmtId="177" fontId="2" fillId="10" borderId="3" xfId="0" applyNumberFormat="1" applyFont="1" applyFill="1" applyBorder="1" applyAlignment="1"/>
    <xf numFmtId="180" fontId="2" fillId="10" borderId="3" xfId="0" applyNumberFormat="1" applyFont="1" applyFill="1" applyBorder="1" applyAlignment="1"/>
    <xf numFmtId="0" fontId="2" fillId="10" borderId="3" xfId="0" applyFont="1" applyFill="1" applyBorder="1" applyAlignment="1"/>
    <xf numFmtId="185" fontId="2" fillId="3" borderId="1" xfId="0" applyNumberFormat="1" applyFont="1" applyFill="1" applyBorder="1" applyAlignment="1"/>
    <xf numFmtId="190" fontId="0" fillId="0" borderId="0" xfId="0" applyNumberFormat="1">
      <alignment vertical="center"/>
    </xf>
    <xf numFmtId="0" fontId="11" fillId="0" borderId="1" xfId="0" applyFont="1" applyFill="1" applyBorder="1" applyAlignment="1">
      <alignment horizontal="center" vertical="center"/>
    </xf>
    <xf numFmtId="0" fontId="13" fillId="0" borderId="0" xfId="0" applyFont="1" applyFill="1" applyBorder="1" applyAlignment="1">
      <alignment horizontal="left" vertical="center"/>
    </xf>
    <xf numFmtId="0" fontId="11" fillId="0" borderId="12" xfId="0" applyFont="1" applyFill="1" applyBorder="1" applyAlignment="1">
      <alignment horizontal="center" vertical="center"/>
    </xf>
    <xf numFmtId="0" fontId="11" fillId="0" borderId="15" xfId="0" applyFont="1" applyFill="1" applyBorder="1" applyAlignment="1">
      <alignment horizontal="center" vertical="center"/>
    </xf>
    <xf numFmtId="0" fontId="11" fillId="0" borderId="18" xfId="0" applyFont="1" applyFill="1" applyBorder="1" applyAlignment="1">
      <alignment horizontal="center" vertical="center"/>
    </xf>
    <xf numFmtId="0" fontId="11" fillId="0" borderId="19" xfId="0" applyFont="1" applyFill="1" applyBorder="1" applyAlignment="1">
      <alignment horizontal="center" vertical="center"/>
    </xf>
    <xf numFmtId="0" fontId="11" fillId="0" borderId="20" xfId="0" applyFont="1" applyFill="1" applyBorder="1" applyAlignment="1">
      <alignment horizontal="center" vertical="center"/>
    </xf>
    <xf numFmtId="183" fontId="1" fillId="0" borderId="6" xfId="0" applyNumberFormat="1" applyFont="1" applyFill="1" applyBorder="1" applyAlignment="1">
      <alignment horizontal="center" vertical="center"/>
    </xf>
    <xf numFmtId="183" fontId="1" fillId="0" borderId="5" xfId="0" applyNumberFormat="1" applyFont="1" applyFill="1" applyBorder="1" applyAlignment="1">
      <alignment horizontal="center" vertical="center"/>
    </xf>
    <xf numFmtId="183" fontId="1" fillId="0" borderId="4" xfId="0" applyNumberFormat="1" applyFont="1" applyFill="1" applyBorder="1" applyAlignment="1">
      <alignment horizontal="center" vertical="center"/>
    </xf>
    <xf numFmtId="180" fontId="6" fillId="0" borderId="8" xfId="0" applyNumberFormat="1" applyFont="1" applyFill="1" applyBorder="1" applyAlignment="1">
      <alignment horizontal="center" vertical="center"/>
    </xf>
    <xf numFmtId="180" fontId="2" fillId="0" borderId="9" xfId="0" applyNumberFormat="1" applyFont="1" applyFill="1" applyBorder="1" applyAlignment="1">
      <alignment horizontal="center" vertical="center"/>
    </xf>
    <xf numFmtId="0" fontId="21" fillId="0" borderId="0" xfId="0" applyFont="1" applyAlignment="1">
      <alignment horizontal="left" vertical="center" wrapText="1"/>
    </xf>
  </cellXfs>
  <cellStyles count="2">
    <cellStyle name="常规" xfId="0" builtinId="0"/>
    <cellStyle name="千位分隔" xfId="1" builtinId="3"/>
  </cellStyles>
  <dxfs count="0"/>
  <tableStyles count="0" defaultTableStyle="TableStyleMedium2" defaultPivotStyle="PivotStyleLight16"/>
  <colors>
    <mruColors>
      <color rgb="FFFF99CC"/>
      <color rgb="FFFF67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_rels/drawing3.x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8</xdr:col>
      <xdr:colOff>174780</xdr:colOff>
      <xdr:row>1</xdr:row>
      <xdr:rowOff>4898</xdr:rowOff>
    </xdr:from>
    <xdr:to>
      <xdr:col>16</xdr:col>
      <xdr:colOff>137225</xdr:colOff>
      <xdr:row>3</xdr:row>
      <xdr:rowOff>160436</xdr:rowOff>
    </xdr:to>
    <xdr:pic>
      <xdr:nvPicPr>
        <xdr:cNvPr id="22" name="图片 21"/>
        <xdr:cNvPicPr>
          <a:picLocks noChangeAspect="1"/>
        </xdr:cNvPicPr>
      </xdr:nvPicPr>
      <xdr:blipFill>
        <a:blip xmlns:r="http://schemas.openxmlformats.org/officeDocument/2006/relationships" r:embed="rId1"/>
        <a:stretch>
          <a:fillRect/>
        </a:stretch>
      </xdr:blipFill>
      <xdr:spPr>
        <a:xfrm>
          <a:off x="10585045" y="195398"/>
          <a:ext cx="5262827" cy="883920"/>
        </a:xfrm>
        <a:prstGeom prst="rect">
          <a:avLst/>
        </a:prstGeom>
        <a:noFill/>
        <a:ln w="9525">
          <a:noFill/>
        </a:ln>
      </xdr:spPr>
    </xdr:pic>
    <xdr:clientData/>
  </xdr:twoCellAnchor>
  <xdr:twoCellAnchor editAs="oneCell">
    <xdr:from>
      <xdr:col>8</xdr:col>
      <xdr:colOff>145357</xdr:colOff>
      <xdr:row>4</xdr:row>
      <xdr:rowOff>78511</xdr:rowOff>
    </xdr:from>
    <xdr:to>
      <xdr:col>15</xdr:col>
      <xdr:colOff>519282</xdr:colOff>
      <xdr:row>7</xdr:row>
      <xdr:rowOff>281076</xdr:rowOff>
    </xdr:to>
    <xdr:pic>
      <xdr:nvPicPr>
        <xdr:cNvPr id="24" name="图片 23"/>
        <xdr:cNvPicPr>
          <a:picLocks noChangeAspect="1"/>
        </xdr:cNvPicPr>
      </xdr:nvPicPr>
      <xdr:blipFill>
        <a:blip xmlns:r="http://schemas.openxmlformats.org/officeDocument/2006/relationships" r:embed="rId2"/>
        <a:stretch>
          <a:fillRect/>
        </a:stretch>
      </xdr:blipFill>
      <xdr:spPr>
        <a:xfrm>
          <a:off x="10555622" y="1187893"/>
          <a:ext cx="5102807" cy="774065"/>
        </a:xfrm>
        <a:prstGeom prst="rect">
          <a:avLst/>
        </a:prstGeom>
        <a:noFill/>
        <a:ln w="9525">
          <a:noFill/>
        </a:ln>
      </xdr:spPr>
    </xdr:pic>
    <xdr:clientData/>
  </xdr:twoCellAnchor>
  <xdr:twoCellAnchor editAs="oneCell">
    <xdr:from>
      <xdr:col>8</xdr:col>
      <xdr:colOff>209338</xdr:colOff>
      <xdr:row>8</xdr:row>
      <xdr:rowOff>8212</xdr:rowOff>
    </xdr:from>
    <xdr:to>
      <xdr:col>14</xdr:col>
      <xdr:colOff>213021</xdr:colOff>
      <xdr:row>16</xdr:row>
      <xdr:rowOff>58991</xdr:rowOff>
    </xdr:to>
    <xdr:pic>
      <xdr:nvPicPr>
        <xdr:cNvPr id="25" name="图片 24"/>
        <xdr:cNvPicPr>
          <a:picLocks noChangeAspect="1"/>
        </xdr:cNvPicPr>
      </xdr:nvPicPr>
      <xdr:blipFill>
        <a:blip xmlns:r="http://schemas.openxmlformats.org/officeDocument/2006/relationships" r:embed="rId3"/>
        <a:stretch>
          <a:fillRect/>
        </a:stretch>
      </xdr:blipFill>
      <xdr:spPr>
        <a:xfrm>
          <a:off x="10619603" y="2070094"/>
          <a:ext cx="4127447" cy="1574779"/>
        </a:xfrm>
        <a:prstGeom prst="rect">
          <a:avLst/>
        </a:prstGeom>
        <a:noFill/>
        <a:ln w="9525">
          <a:noFill/>
        </a:ln>
      </xdr:spPr>
    </xdr:pic>
    <xdr:clientData/>
  </xdr:twoCellAnchor>
  <xdr:twoCellAnchor editAs="oneCell">
    <xdr:from>
      <xdr:col>18</xdr:col>
      <xdr:colOff>156883</xdr:colOff>
      <xdr:row>34</xdr:row>
      <xdr:rowOff>33617</xdr:rowOff>
    </xdr:from>
    <xdr:to>
      <xdr:col>24</xdr:col>
      <xdr:colOff>39894</xdr:colOff>
      <xdr:row>39</xdr:row>
      <xdr:rowOff>33169</xdr:rowOff>
    </xdr:to>
    <xdr:pic>
      <xdr:nvPicPr>
        <xdr:cNvPr id="26" name="图片 25"/>
        <xdr:cNvPicPr>
          <a:picLocks noChangeAspect="1"/>
        </xdr:cNvPicPr>
      </xdr:nvPicPr>
      <xdr:blipFill>
        <a:blip xmlns:r="http://schemas.openxmlformats.org/officeDocument/2006/relationships" r:embed="rId4"/>
        <a:stretch>
          <a:fillRect/>
        </a:stretch>
      </xdr:blipFill>
      <xdr:spPr>
        <a:xfrm>
          <a:off x="17346707" y="6712323"/>
          <a:ext cx="5575599" cy="839993"/>
        </a:xfrm>
        <a:prstGeom prst="rect">
          <a:avLst/>
        </a:prstGeom>
        <a:noFill/>
        <a:ln w="9525">
          <a:noFill/>
        </a:ln>
      </xdr:spPr>
    </xdr:pic>
    <xdr:clientData/>
  </xdr:twoCellAnchor>
  <xdr:twoCellAnchor>
    <xdr:from>
      <xdr:col>0</xdr:col>
      <xdr:colOff>231321</xdr:colOff>
      <xdr:row>0</xdr:row>
      <xdr:rowOff>108858</xdr:rowOff>
    </xdr:from>
    <xdr:to>
      <xdr:col>7</xdr:col>
      <xdr:colOff>499606</xdr:colOff>
      <xdr:row>3</xdr:row>
      <xdr:rowOff>141489</xdr:rowOff>
    </xdr:to>
    <xdr:grpSp>
      <xdr:nvGrpSpPr>
        <xdr:cNvPr id="27" name="组合 26"/>
        <xdr:cNvGrpSpPr/>
      </xdr:nvGrpSpPr>
      <xdr:grpSpPr>
        <a:xfrm>
          <a:off x="231321" y="108858"/>
          <a:ext cx="9994991" cy="951513"/>
          <a:chOff x="0" y="0"/>
          <a:chExt cx="9997392" cy="604131"/>
        </a:xfrm>
      </xdr:grpSpPr>
      <xdr:pic>
        <xdr:nvPicPr>
          <xdr:cNvPr id="28" name="图片 27"/>
          <xdr:cNvPicPr>
            <a:picLocks noChangeAspect="1"/>
          </xdr:cNvPicPr>
        </xdr:nvPicPr>
        <xdr:blipFill>
          <a:blip xmlns:r="http://schemas.openxmlformats.org/officeDocument/2006/relationships" r:embed="rId5"/>
          <a:stretch>
            <a:fillRect/>
          </a:stretch>
        </xdr:blipFill>
        <xdr:spPr>
          <a:xfrm>
            <a:off x="0" y="0"/>
            <a:ext cx="9980952" cy="438095"/>
          </a:xfrm>
          <a:prstGeom prst="rect">
            <a:avLst/>
          </a:prstGeom>
        </xdr:spPr>
      </xdr:pic>
      <xdr:pic>
        <xdr:nvPicPr>
          <xdr:cNvPr id="29" name="图片 28"/>
          <xdr:cNvPicPr>
            <a:picLocks noChangeAspect="1"/>
          </xdr:cNvPicPr>
        </xdr:nvPicPr>
        <xdr:blipFill>
          <a:blip xmlns:r="http://schemas.openxmlformats.org/officeDocument/2006/relationships" r:embed="rId6"/>
          <a:stretch>
            <a:fillRect/>
          </a:stretch>
        </xdr:blipFill>
        <xdr:spPr>
          <a:xfrm>
            <a:off x="911678" y="394607"/>
            <a:ext cx="9085714" cy="209524"/>
          </a:xfrm>
          <a:prstGeom prst="rect">
            <a:avLst/>
          </a:prstGeom>
        </xdr:spPr>
      </xdr:pic>
    </xdr:grpSp>
    <xdr:clientData/>
  </xdr:twoCellAnchor>
  <xdr:twoCellAnchor>
    <xdr:from>
      <xdr:col>0</xdr:col>
      <xdr:colOff>1224643</xdr:colOff>
      <xdr:row>6</xdr:row>
      <xdr:rowOff>13607</xdr:rowOff>
    </xdr:from>
    <xdr:to>
      <xdr:col>5</xdr:col>
      <xdr:colOff>953191</xdr:colOff>
      <xdr:row>9</xdr:row>
      <xdr:rowOff>180929</xdr:rowOff>
    </xdr:to>
    <xdr:grpSp>
      <xdr:nvGrpSpPr>
        <xdr:cNvPr id="30" name="组合 29"/>
        <xdr:cNvGrpSpPr/>
      </xdr:nvGrpSpPr>
      <xdr:grpSpPr>
        <a:xfrm>
          <a:off x="1224643" y="1503989"/>
          <a:ext cx="5813342" cy="929322"/>
          <a:chOff x="1224643" y="1156607"/>
          <a:chExt cx="5810941" cy="738822"/>
        </a:xfrm>
      </xdr:grpSpPr>
      <xdr:pic>
        <xdr:nvPicPr>
          <xdr:cNvPr id="32" name="图片 31"/>
          <xdr:cNvPicPr>
            <a:picLocks noChangeAspect="1"/>
          </xdr:cNvPicPr>
        </xdr:nvPicPr>
        <xdr:blipFill>
          <a:blip xmlns:r="http://schemas.openxmlformats.org/officeDocument/2006/relationships" r:embed="rId7"/>
          <a:stretch>
            <a:fillRect/>
          </a:stretch>
        </xdr:blipFill>
        <xdr:spPr>
          <a:xfrm>
            <a:off x="1224643" y="1156607"/>
            <a:ext cx="5809524" cy="390476"/>
          </a:xfrm>
          <a:prstGeom prst="rect">
            <a:avLst/>
          </a:prstGeom>
        </xdr:spPr>
      </xdr:pic>
      <xdr:pic>
        <xdr:nvPicPr>
          <xdr:cNvPr id="33" name="图片 32"/>
          <xdr:cNvPicPr>
            <a:picLocks noChangeAspect="1"/>
          </xdr:cNvPicPr>
        </xdr:nvPicPr>
        <xdr:blipFill>
          <a:blip xmlns:r="http://schemas.openxmlformats.org/officeDocument/2006/relationships" r:embed="rId8"/>
          <a:stretch>
            <a:fillRect/>
          </a:stretch>
        </xdr:blipFill>
        <xdr:spPr>
          <a:xfrm>
            <a:off x="1673679" y="1524000"/>
            <a:ext cx="5361905" cy="371429"/>
          </a:xfrm>
          <a:prstGeom prst="rect">
            <a:avLst/>
          </a:prstGeom>
        </xdr:spPr>
      </xdr:pic>
    </xdr:grpSp>
    <xdr:clientData/>
  </xdr:twoCellAnchor>
  <xdr:twoCellAnchor editAs="oneCell">
    <xdr:from>
      <xdr:col>0</xdr:col>
      <xdr:colOff>1292677</xdr:colOff>
      <xdr:row>11</xdr:row>
      <xdr:rowOff>54427</xdr:rowOff>
    </xdr:from>
    <xdr:to>
      <xdr:col>5</xdr:col>
      <xdr:colOff>925444</xdr:colOff>
      <xdr:row>43</xdr:row>
      <xdr:rowOff>42180</xdr:rowOff>
    </xdr:to>
    <xdr:pic>
      <xdr:nvPicPr>
        <xdr:cNvPr id="34" name="图片 33"/>
        <xdr:cNvPicPr>
          <a:picLocks noChangeAspect="1"/>
        </xdr:cNvPicPr>
      </xdr:nvPicPr>
      <xdr:blipFill>
        <a:blip xmlns:r="http://schemas.openxmlformats.org/officeDocument/2006/relationships" r:embed="rId9"/>
        <a:stretch>
          <a:fillRect/>
        </a:stretch>
      </xdr:blipFill>
      <xdr:spPr>
        <a:xfrm>
          <a:off x="1292677" y="2149927"/>
          <a:ext cx="5723164" cy="5626553"/>
        </a:xfrm>
        <a:prstGeom prst="rect">
          <a:avLst/>
        </a:prstGeom>
      </xdr:spPr>
    </xdr:pic>
    <xdr:clientData/>
  </xdr:twoCellAnchor>
  <xdr:twoCellAnchor>
    <xdr:from>
      <xdr:col>5</xdr:col>
      <xdr:colOff>1299082</xdr:colOff>
      <xdr:row>17</xdr:row>
      <xdr:rowOff>65634</xdr:rowOff>
    </xdr:from>
    <xdr:to>
      <xdr:col>10</xdr:col>
      <xdr:colOff>567773</xdr:colOff>
      <xdr:row>37</xdr:row>
      <xdr:rowOff>84668</xdr:rowOff>
    </xdr:to>
    <xdr:grpSp>
      <xdr:nvGrpSpPr>
        <xdr:cNvPr id="41" name="组合 40"/>
        <xdr:cNvGrpSpPr/>
      </xdr:nvGrpSpPr>
      <xdr:grpSpPr>
        <a:xfrm>
          <a:off x="7383876" y="3842016"/>
          <a:ext cx="5129368" cy="3425623"/>
          <a:chOff x="8953500" y="5646964"/>
          <a:chExt cx="4847619" cy="3601715"/>
        </a:xfrm>
      </xdr:grpSpPr>
      <xdr:pic>
        <xdr:nvPicPr>
          <xdr:cNvPr id="42" name="图片 41"/>
          <xdr:cNvPicPr>
            <a:picLocks noChangeAspect="1"/>
          </xdr:cNvPicPr>
        </xdr:nvPicPr>
        <xdr:blipFill>
          <a:blip xmlns:r="http://schemas.openxmlformats.org/officeDocument/2006/relationships" r:embed="rId10"/>
          <a:stretch>
            <a:fillRect/>
          </a:stretch>
        </xdr:blipFill>
        <xdr:spPr>
          <a:xfrm>
            <a:off x="8953500" y="5646964"/>
            <a:ext cx="4847619" cy="2790476"/>
          </a:xfrm>
          <a:prstGeom prst="rect">
            <a:avLst/>
          </a:prstGeom>
        </xdr:spPr>
      </xdr:pic>
      <xdr:pic>
        <xdr:nvPicPr>
          <xdr:cNvPr id="43" name="图片 42"/>
          <xdr:cNvPicPr>
            <a:picLocks noChangeAspect="1"/>
          </xdr:cNvPicPr>
        </xdr:nvPicPr>
        <xdr:blipFill>
          <a:blip xmlns:r="http://schemas.openxmlformats.org/officeDocument/2006/relationships" r:embed="rId11"/>
          <a:stretch>
            <a:fillRect/>
          </a:stretch>
        </xdr:blipFill>
        <xdr:spPr>
          <a:xfrm>
            <a:off x="8953500" y="8477250"/>
            <a:ext cx="4457143" cy="771429"/>
          </a:xfrm>
          <a:prstGeom prst="rect">
            <a:avLst/>
          </a:prstGeom>
        </xdr:spPr>
      </xdr:pic>
    </xdr:grpSp>
    <xdr:clientData/>
  </xdr:twoCellAnchor>
  <xdr:twoCellAnchor>
    <xdr:from>
      <xdr:col>0</xdr:col>
      <xdr:colOff>1047750</xdr:colOff>
      <xdr:row>44</xdr:row>
      <xdr:rowOff>95250</xdr:rowOff>
    </xdr:from>
    <xdr:to>
      <xdr:col>5</xdr:col>
      <xdr:colOff>898690</xdr:colOff>
      <xdr:row>50</xdr:row>
      <xdr:rowOff>2692</xdr:rowOff>
    </xdr:to>
    <xdr:grpSp>
      <xdr:nvGrpSpPr>
        <xdr:cNvPr id="44" name="组合 43"/>
        <xdr:cNvGrpSpPr/>
      </xdr:nvGrpSpPr>
      <xdr:grpSpPr>
        <a:xfrm>
          <a:off x="1047750" y="8454838"/>
          <a:ext cx="5935734" cy="915972"/>
          <a:chOff x="1047750" y="8218714"/>
          <a:chExt cx="5933333" cy="963357"/>
        </a:xfrm>
      </xdr:grpSpPr>
      <xdr:pic>
        <xdr:nvPicPr>
          <xdr:cNvPr id="45" name="图片 44"/>
          <xdr:cNvPicPr>
            <a:picLocks noChangeAspect="1"/>
          </xdr:cNvPicPr>
        </xdr:nvPicPr>
        <xdr:blipFill>
          <a:blip xmlns:r="http://schemas.openxmlformats.org/officeDocument/2006/relationships" r:embed="rId12"/>
          <a:stretch>
            <a:fillRect/>
          </a:stretch>
        </xdr:blipFill>
        <xdr:spPr>
          <a:xfrm>
            <a:off x="1061357" y="8218714"/>
            <a:ext cx="5914286" cy="761905"/>
          </a:xfrm>
          <a:prstGeom prst="rect">
            <a:avLst/>
          </a:prstGeom>
        </xdr:spPr>
      </xdr:pic>
      <xdr:pic>
        <xdr:nvPicPr>
          <xdr:cNvPr id="46" name="图片 45"/>
          <xdr:cNvPicPr>
            <a:picLocks noChangeAspect="1"/>
          </xdr:cNvPicPr>
        </xdr:nvPicPr>
        <xdr:blipFill>
          <a:blip xmlns:r="http://schemas.openxmlformats.org/officeDocument/2006/relationships" r:embed="rId13"/>
          <a:stretch>
            <a:fillRect/>
          </a:stretch>
        </xdr:blipFill>
        <xdr:spPr>
          <a:xfrm>
            <a:off x="1047750" y="8953500"/>
            <a:ext cx="5933333" cy="228571"/>
          </a:xfrm>
          <a:prstGeom prst="rect">
            <a:avLst/>
          </a:prstGeom>
        </xdr:spPr>
      </xdr:pic>
    </xdr:grpSp>
    <xdr:clientData/>
  </xdr:twoCellAnchor>
  <xdr:twoCellAnchor editAs="oneCell">
    <xdr:from>
      <xdr:col>10</xdr:col>
      <xdr:colOff>776409</xdr:colOff>
      <xdr:row>17</xdr:row>
      <xdr:rowOff>8005</xdr:rowOff>
    </xdr:from>
    <xdr:to>
      <xdr:col>18</xdr:col>
      <xdr:colOff>75075</xdr:colOff>
      <xdr:row>41</xdr:row>
      <xdr:rowOff>137519</xdr:rowOff>
    </xdr:to>
    <xdr:pic>
      <xdr:nvPicPr>
        <xdr:cNvPr id="47" name="图片 46"/>
        <xdr:cNvPicPr>
          <a:picLocks noChangeAspect="1"/>
        </xdr:cNvPicPr>
      </xdr:nvPicPr>
      <xdr:blipFill>
        <a:blip xmlns:r="http://schemas.openxmlformats.org/officeDocument/2006/relationships" r:embed="rId14"/>
        <a:stretch>
          <a:fillRect/>
        </a:stretch>
      </xdr:blipFill>
      <xdr:spPr>
        <a:xfrm>
          <a:off x="12721880" y="3784387"/>
          <a:ext cx="4543019" cy="4208456"/>
        </a:xfrm>
        <a:prstGeom prst="rect">
          <a:avLst/>
        </a:prstGeom>
      </xdr:spPr>
    </xdr:pic>
    <xdr:clientData/>
  </xdr:twoCellAnchor>
  <xdr:twoCellAnchor>
    <xdr:from>
      <xdr:col>0</xdr:col>
      <xdr:colOff>598714</xdr:colOff>
      <xdr:row>52</xdr:row>
      <xdr:rowOff>0</xdr:rowOff>
    </xdr:from>
    <xdr:to>
      <xdr:col>6</xdr:col>
      <xdr:colOff>645214</xdr:colOff>
      <xdr:row>58</xdr:row>
      <xdr:rowOff>108821</xdr:rowOff>
    </xdr:to>
    <xdr:grpSp>
      <xdr:nvGrpSpPr>
        <xdr:cNvPr id="48" name="组合 47"/>
        <xdr:cNvGrpSpPr/>
      </xdr:nvGrpSpPr>
      <xdr:grpSpPr>
        <a:xfrm>
          <a:off x="598714" y="9704294"/>
          <a:ext cx="9000000" cy="1117351"/>
          <a:chOff x="598714" y="9538607"/>
          <a:chExt cx="9000000" cy="1170178"/>
        </a:xfrm>
      </xdr:grpSpPr>
      <xdr:pic>
        <xdr:nvPicPr>
          <xdr:cNvPr id="49" name="图片 48"/>
          <xdr:cNvPicPr>
            <a:picLocks noChangeAspect="1"/>
          </xdr:cNvPicPr>
        </xdr:nvPicPr>
        <xdr:blipFill>
          <a:blip xmlns:r="http://schemas.openxmlformats.org/officeDocument/2006/relationships" r:embed="rId15"/>
          <a:stretch>
            <a:fillRect/>
          </a:stretch>
        </xdr:blipFill>
        <xdr:spPr>
          <a:xfrm>
            <a:off x="612321" y="9538607"/>
            <a:ext cx="8971428" cy="904762"/>
          </a:xfrm>
          <a:prstGeom prst="rect">
            <a:avLst/>
          </a:prstGeom>
        </xdr:spPr>
      </xdr:pic>
      <xdr:pic>
        <xdr:nvPicPr>
          <xdr:cNvPr id="50" name="图片 49"/>
          <xdr:cNvPicPr>
            <a:picLocks noChangeAspect="1"/>
          </xdr:cNvPicPr>
        </xdr:nvPicPr>
        <xdr:blipFill>
          <a:blip xmlns:r="http://schemas.openxmlformats.org/officeDocument/2006/relationships" r:embed="rId16"/>
          <a:stretch>
            <a:fillRect/>
          </a:stretch>
        </xdr:blipFill>
        <xdr:spPr>
          <a:xfrm>
            <a:off x="598714" y="10423071"/>
            <a:ext cx="9000000" cy="285714"/>
          </a:xfrm>
          <a:prstGeom prst="rect">
            <a:avLst/>
          </a:prstGeom>
        </xdr:spPr>
      </xdr:pic>
    </xdr:grpSp>
    <xdr:clientData/>
  </xdr:twoCellAnchor>
  <xdr:twoCellAnchor editAs="oneCell">
    <xdr:from>
      <xdr:col>1</xdr:col>
      <xdr:colOff>481052</xdr:colOff>
      <xdr:row>59</xdr:row>
      <xdr:rowOff>52827</xdr:rowOff>
    </xdr:from>
    <xdr:to>
      <xdr:col>5</xdr:col>
      <xdr:colOff>807634</xdr:colOff>
      <xdr:row>60</xdr:row>
      <xdr:rowOff>85458</xdr:rowOff>
    </xdr:to>
    <xdr:pic>
      <xdr:nvPicPr>
        <xdr:cNvPr id="51" name="图片 50"/>
        <xdr:cNvPicPr>
          <a:picLocks noChangeAspect="1"/>
        </xdr:cNvPicPr>
      </xdr:nvPicPr>
      <xdr:blipFill>
        <a:blip xmlns:r="http://schemas.openxmlformats.org/officeDocument/2006/relationships" r:embed="rId17"/>
        <a:stretch>
          <a:fillRect/>
        </a:stretch>
      </xdr:blipFill>
      <xdr:spPr>
        <a:xfrm>
          <a:off x="2509317" y="10933739"/>
          <a:ext cx="4383111" cy="200719"/>
        </a:xfrm>
        <a:prstGeom prst="rect">
          <a:avLst/>
        </a:prstGeom>
      </xdr:spPr>
    </xdr:pic>
    <xdr:clientData/>
  </xdr:twoCellAnchor>
  <xdr:twoCellAnchor>
    <xdr:from>
      <xdr:col>7</xdr:col>
      <xdr:colOff>549089</xdr:colOff>
      <xdr:row>42</xdr:row>
      <xdr:rowOff>1</xdr:rowOff>
    </xdr:from>
    <xdr:to>
      <xdr:col>16</xdr:col>
      <xdr:colOff>403406</xdr:colOff>
      <xdr:row>57</xdr:row>
      <xdr:rowOff>25608</xdr:rowOff>
    </xdr:to>
    <xdr:grpSp>
      <xdr:nvGrpSpPr>
        <xdr:cNvPr id="52" name="组合 51"/>
        <xdr:cNvGrpSpPr/>
      </xdr:nvGrpSpPr>
      <xdr:grpSpPr>
        <a:xfrm>
          <a:off x="10275795" y="8023413"/>
          <a:ext cx="5838258" cy="2546930"/>
          <a:chOff x="11185071" y="9892393"/>
          <a:chExt cx="5819048" cy="2679000"/>
        </a:xfrm>
      </xdr:grpSpPr>
      <xdr:pic>
        <xdr:nvPicPr>
          <xdr:cNvPr id="53" name="图片 52"/>
          <xdr:cNvPicPr>
            <a:picLocks noChangeAspect="1"/>
          </xdr:cNvPicPr>
        </xdr:nvPicPr>
        <xdr:blipFill>
          <a:blip xmlns:r="http://schemas.openxmlformats.org/officeDocument/2006/relationships" r:embed="rId18"/>
          <a:stretch>
            <a:fillRect/>
          </a:stretch>
        </xdr:blipFill>
        <xdr:spPr>
          <a:xfrm>
            <a:off x="11185071" y="9892393"/>
            <a:ext cx="5819048" cy="685714"/>
          </a:xfrm>
          <a:prstGeom prst="rect">
            <a:avLst/>
          </a:prstGeom>
        </xdr:spPr>
      </xdr:pic>
      <xdr:pic>
        <xdr:nvPicPr>
          <xdr:cNvPr id="54" name="图片 53"/>
          <xdr:cNvPicPr>
            <a:picLocks noChangeAspect="1"/>
          </xdr:cNvPicPr>
        </xdr:nvPicPr>
        <xdr:blipFill>
          <a:blip xmlns:r="http://schemas.openxmlformats.org/officeDocument/2006/relationships" r:embed="rId19"/>
          <a:stretch>
            <a:fillRect/>
          </a:stretch>
        </xdr:blipFill>
        <xdr:spPr>
          <a:xfrm>
            <a:off x="11185071" y="10599964"/>
            <a:ext cx="5819048" cy="1971429"/>
          </a:xfrm>
          <a:prstGeom prst="rect">
            <a:avLst/>
          </a:prstGeom>
        </xdr:spPr>
      </xdr:pic>
    </xdr:grpSp>
    <xdr:clientData/>
  </xdr:twoCellAnchor>
  <xdr:twoCellAnchor>
    <xdr:from>
      <xdr:col>0</xdr:col>
      <xdr:colOff>452238</xdr:colOff>
      <xdr:row>61</xdr:row>
      <xdr:rowOff>66435</xdr:rowOff>
    </xdr:from>
    <xdr:to>
      <xdr:col>6</xdr:col>
      <xdr:colOff>574928</xdr:colOff>
      <xdr:row>71</xdr:row>
      <xdr:rowOff>107150</xdr:rowOff>
    </xdr:to>
    <xdr:grpSp>
      <xdr:nvGrpSpPr>
        <xdr:cNvPr id="55" name="组合 54"/>
        <xdr:cNvGrpSpPr/>
      </xdr:nvGrpSpPr>
      <xdr:grpSpPr>
        <a:xfrm>
          <a:off x="452238" y="11283523"/>
          <a:ext cx="9076190" cy="1721598"/>
          <a:chOff x="476250" y="12110357"/>
          <a:chExt cx="9076190" cy="1809643"/>
        </a:xfrm>
      </xdr:grpSpPr>
      <xdr:pic>
        <xdr:nvPicPr>
          <xdr:cNvPr id="56" name="图片 55"/>
          <xdr:cNvPicPr>
            <a:picLocks noChangeAspect="1"/>
          </xdr:cNvPicPr>
        </xdr:nvPicPr>
        <xdr:blipFill>
          <a:blip xmlns:r="http://schemas.openxmlformats.org/officeDocument/2006/relationships" r:embed="rId20"/>
          <a:stretch>
            <a:fillRect/>
          </a:stretch>
        </xdr:blipFill>
        <xdr:spPr>
          <a:xfrm>
            <a:off x="476250" y="12110357"/>
            <a:ext cx="9066667" cy="990476"/>
          </a:xfrm>
          <a:prstGeom prst="rect">
            <a:avLst/>
          </a:prstGeom>
        </xdr:spPr>
      </xdr:pic>
      <xdr:pic>
        <xdr:nvPicPr>
          <xdr:cNvPr id="57" name="图片 56"/>
          <xdr:cNvPicPr>
            <a:picLocks noChangeAspect="1"/>
          </xdr:cNvPicPr>
        </xdr:nvPicPr>
        <xdr:blipFill>
          <a:blip xmlns:r="http://schemas.openxmlformats.org/officeDocument/2006/relationships" r:embed="rId21"/>
          <a:stretch>
            <a:fillRect/>
          </a:stretch>
        </xdr:blipFill>
        <xdr:spPr>
          <a:xfrm>
            <a:off x="476250" y="13062857"/>
            <a:ext cx="9076190" cy="857143"/>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15</xdr:col>
      <xdr:colOff>44824</xdr:colOff>
      <xdr:row>42</xdr:row>
      <xdr:rowOff>-1</xdr:rowOff>
    </xdr:from>
    <xdr:to>
      <xdr:col>16</xdr:col>
      <xdr:colOff>535752</xdr:colOff>
      <xdr:row>43</xdr:row>
      <xdr:rowOff>51285</xdr:rowOff>
    </xdr:to>
    <xdr:sp macro="[0]!设计流量渡槽" textlink="">
      <xdr:nvSpPr>
        <xdr:cNvPr id="6" name="矩形 5"/>
        <xdr:cNvSpPr/>
      </xdr:nvSpPr>
      <xdr:spPr>
        <a:xfrm>
          <a:off x="11555506" y="5531223"/>
          <a:ext cx="1109493" cy="24850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r>
            <a:rPr lang="zh-CN" altLang="en-US" sz="1100"/>
            <a:t>设计流量渡槽</a:t>
          </a:r>
          <a:endParaRPr lang="en-US" altLang="zh-CN" sz="1100"/>
        </a:p>
      </xdr:txBody>
    </xdr:sp>
    <xdr:clientData/>
  </xdr:twoCellAnchor>
  <xdr:twoCellAnchor>
    <xdr:from>
      <xdr:col>15</xdr:col>
      <xdr:colOff>35858</xdr:colOff>
      <xdr:row>45</xdr:row>
      <xdr:rowOff>98610</xdr:rowOff>
    </xdr:from>
    <xdr:to>
      <xdr:col>16</xdr:col>
      <xdr:colOff>526786</xdr:colOff>
      <xdr:row>46</xdr:row>
      <xdr:rowOff>188258</xdr:rowOff>
    </xdr:to>
    <xdr:sp macro="[0]!加大流量渡槽" textlink="">
      <xdr:nvSpPr>
        <xdr:cNvPr id="7" name="矩形 6"/>
        <xdr:cNvSpPr/>
      </xdr:nvSpPr>
      <xdr:spPr>
        <a:xfrm>
          <a:off x="11546540" y="6194610"/>
          <a:ext cx="1109493" cy="26894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r>
            <a:rPr lang="zh-CN" altLang="en-US" sz="1100"/>
            <a:t>加大流量渡槽</a:t>
          </a:r>
          <a:endParaRPr lang="en-US" altLang="zh-CN" sz="1100"/>
        </a:p>
      </xdr:txBody>
    </xdr:sp>
    <xdr:clientData/>
  </xdr:twoCellAnchor>
  <xdr:twoCellAnchor>
    <xdr:from>
      <xdr:col>12</xdr:col>
      <xdr:colOff>0</xdr:colOff>
      <xdr:row>10</xdr:row>
      <xdr:rowOff>0</xdr:rowOff>
    </xdr:from>
    <xdr:to>
      <xdr:col>13</xdr:col>
      <xdr:colOff>439419</xdr:colOff>
      <xdr:row>11</xdr:row>
      <xdr:rowOff>43816</xdr:rowOff>
    </xdr:to>
    <xdr:sp macro="[0]!加大流量明渠" textlink="">
      <xdr:nvSpPr>
        <xdr:cNvPr id="8" name="矩形 7"/>
        <xdr:cNvSpPr/>
      </xdr:nvSpPr>
      <xdr:spPr>
        <a:xfrm>
          <a:off x="9099176" y="2106706"/>
          <a:ext cx="1057984" cy="22311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r>
            <a:rPr lang="zh-CN" altLang="en-US" sz="1100"/>
            <a:t>加大流量明渠</a:t>
          </a:r>
          <a:endParaRPr lang="en-US" altLang="zh-CN" sz="1100"/>
        </a:p>
      </xdr:txBody>
    </xdr:sp>
    <xdr:clientData/>
  </xdr:twoCellAnchor>
  <xdr:twoCellAnchor>
    <xdr:from>
      <xdr:col>12</xdr:col>
      <xdr:colOff>0</xdr:colOff>
      <xdr:row>5</xdr:row>
      <xdr:rowOff>0</xdr:rowOff>
    </xdr:from>
    <xdr:to>
      <xdr:col>13</xdr:col>
      <xdr:colOff>439419</xdr:colOff>
      <xdr:row>6</xdr:row>
      <xdr:rowOff>25886</xdr:rowOff>
    </xdr:to>
    <xdr:sp macro="[0]!设计流量明渠" textlink="">
      <xdr:nvSpPr>
        <xdr:cNvPr id="9" name="矩形 8"/>
        <xdr:cNvSpPr/>
      </xdr:nvSpPr>
      <xdr:spPr>
        <a:xfrm>
          <a:off x="9099176" y="762000"/>
          <a:ext cx="1057984" cy="22311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r>
            <a:rPr lang="zh-CN" altLang="en-US" sz="1100"/>
            <a:t>设计流量明渠</a:t>
          </a:r>
          <a:endParaRPr lang="en-US" altLang="zh-CN" sz="1100"/>
        </a:p>
      </xdr:txBody>
    </xdr:sp>
    <xdr:clientData/>
  </xdr:twoCellAnchor>
  <xdr:twoCellAnchor>
    <xdr:from>
      <xdr:col>18</xdr:col>
      <xdr:colOff>125506</xdr:colOff>
      <xdr:row>27</xdr:row>
      <xdr:rowOff>80683</xdr:rowOff>
    </xdr:from>
    <xdr:to>
      <xdr:col>19</xdr:col>
      <xdr:colOff>564924</xdr:colOff>
      <xdr:row>28</xdr:row>
      <xdr:rowOff>124497</xdr:rowOff>
    </xdr:to>
    <xdr:sp macro="[0]!设计流量隧洞" textlink="">
      <xdr:nvSpPr>
        <xdr:cNvPr id="17" name="矩形 16"/>
        <xdr:cNvSpPr/>
      </xdr:nvSpPr>
      <xdr:spPr>
        <a:xfrm>
          <a:off x="13348447" y="2779059"/>
          <a:ext cx="1057983" cy="22310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r>
            <a:rPr lang="zh-CN" altLang="en-US" sz="1100"/>
            <a:t>设计流量隧洞</a:t>
          </a:r>
          <a:endParaRPr lang="en-US" altLang="zh-CN" sz="1100"/>
        </a:p>
      </xdr:txBody>
    </xdr:sp>
    <xdr:clientData/>
  </xdr:twoCellAnchor>
  <xdr:twoCellAnchor>
    <xdr:from>
      <xdr:col>18</xdr:col>
      <xdr:colOff>161364</xdr:colOff>
      <xdr:row>38</xdr:row>
      <xdr:rowOff>62752</xdr:rowOff>
    </xdr:from>
    <xdr:to>
      <xdr:col>19</xdr:col>
      <xdr:colOff>600782</xdr:colOff>
      <xdr:row>39</xdr:row>
      <xdr:rowOff>106567</xdr:rowOff>
    </xdr:to>
    <xdr:sp macro="[0]!加大流量隧洞" textlink="">
      <xdr:nvSpPr>
        <xdr:cNvPr id="18" name="矩形 17"/>
        <xdr:cNvSpPr/>
      </xdr:nvSpPr>
      <xdr:spPr>
        <a:xfrm>
          <a:off x="13384305" y="4823011"/>
          <a:ext cx="1057983" cy="22310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r>
            <a:rPr lang="zh-CN" altLang="en-US" sz="1100"/>
            <a:t>加大流量隧洞</a:t>
          </a:r>
          <a:endParaRPr lang="en-US" altLang="zh-CN" sz="1100"/>
        </a:p>
        <a:p>
          <a:pPr algn="l"/>
          <a:endParaRPr lang="en-US" altLang="zh-CN" sz="1100"/>
        </a:p>
        <a:p>
          <a:pPr algn="l"/>
          <a:r>
            <a:rPr lang="zh-CN" altLang="en-US" sz="1100"/>
            <a:t>流量隧洞</a:t>
          </a:r>
          <a:endParaRPr lang="en-US" altLang="zh-CN" sz="1100"/>
        </a:p>
      </xdr:txBody>
    </xdr:sp>
    <xdr:clientData/>
  </xdr:twoCellAnchor>
  <xdr:twoCellAnchor>
    <xdr:from>
      <xdr:col>12</xdr:col>
      <xdr:colOff>0</xdr:colOff>
      <xdr:row>15</xdr:row>
      <xdr:rowOff>0</xdr:rowOff>
    </xdr:from>
    <xdr:to>
      <xdr:col>13</xdr:col>
      <xdr:colOff>439419</xdr:colOff>
      <xdr:row>16</xdr:row>
      <xdr:rowOff>25886</xdr:rowOff>
    </xdr:to>
    <xdr:sp macro="[0]!设计流量梯形明渠" textlink="">
      <xdr:nvSpPr>
        <xdr:cNvPr id="10" name="矩形 9"/>
        <xdr:cNvSpPr/>
      </xdr:nvSpPr>
      <xdr:spPr>
        <a:xfrm>
          <a:off x="10365441" y="1030941"/>
          <a:ext cx="1291066" cy="19397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r>
            <a:rPr lang="zh-CN" altLang="en-US" sz="1100"/>
            <a:t>设计流量梯形渠</a:t>
          </a:r>
          <a:endParaRPr lang="en-US" altLang="zh-CN" sz="1100"/>
        </a:p>
      </xdr:txBody>
    </xdr:sp>
    <xdr:clientData/>
  </xdr:twoCellAnchor>
  <xdr:twoCellAnchor>
    <xdr:from>
      <xdr:col>12</xdr:col>
      <xdr:colOff>0</xdr:colOff>
      <xdr:row>22</xdr:row>
      <xdr:rowOff>0</xdr:rowOff>
    </xdr:from>
    <xdr:to>
      <xdr:col>13</xdr:col>
      <xdr:colOff>439419</xdr:colOff>
      <xdr:row>23</xdr:row>
      <xdr:rowOff>25886</xdr:rowOff>
    </xdr:to>
    <xdr:sp macro="[0]!加大流量梯形明渠" textlink="">
      <xdr:nvSpPr>
        <xdr:cNvPr id="11" name="矩形 10"/>
        <xdr:cNvSpPr/>
      </xdr:nvSpPr>
      <xdr:spPr>
        <a:xfrm>
          <a:off x="10365441" y="2823882"/>
          <a:ext cx="1291066" cy="1939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r>
            <a:rPr lang="zh-CN" altLang="en-US" sz="1100"/>
            <a:t>加大流量梯形渠</a:t>
          </a:r>
          <a:endParaRPr lang="en-US" altLang="zh-CN"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1517036</xdr:colOff>
      <xdr:row>32</xdr:row>
      <xdr:rowOff>59471</xdr:rowOff>
    </xdr:to>
    <xdr:pic>
      <xdr:nvPicPr>
        <xdr:cNvPr id="2" name="图片 1"/>
        <xdr:cNvPicPr>
          <a:picLocks noChangeAspect="1"/>
        </xdr:cNvPicPr>
      </xdr:nvPicPr>
      <xdr:blipFill>
        <a:blip xmlns:r="http://schemas.openxmlformats.org/officeDocument/2006/relationships" r:embed="rId1"/>
        <a:stretch>
          <a:fillRect/>
        </a:stretch>
      </xdr:blipFill>
      <xdr:spPr>
        <a:xfrm>
          <a:off x="0" y="0"/>
          <a:ext cx="5717561" cy="554587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24037;&#20316;/&#40857;&#22616;/&#26045;&#24037;&#22270;/&#30707;&#27827;&#19996;&#25903;&#28192;/&#30707;&#27827;&#19996;&#25903;&#28192;&#26029;&#38754;&#35774;&#35745;(CS&#65289;&#25913;&#26799;&#24418;&#28192;0802(&#26657;&#25913;&#65289;.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4037;&#20316;/&#40857;&#22616;/&#26045;&#24037;&#22270;/&#30707;&#27827;&#19996;&#25903;&#28192;/&#27700;&#38754;&#32447;&#35745;&#31639;21.02.24.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报告相关"/>
      <sheetName val="断面设计"/>
      <sheetName val="水面线计算"/>
      <sheetName val="线路"/>
      <sheetName val="长委计算水面线"/>
      <sheetName val="开挖底高程"/>
      <sheetName val="平面坐标参数表"/>
      <sheetName val="程序输入A"/>
      <sheetName val="程序输入B"/>
    </sheetNames>
    <sheetDataSet>
      <sheetData sheetId="0"/>
      <sheetData sheetId="1">
        <row r="8">
          <cell r="B8">
            <v>0.61035771418674445</v>
          </cell>
          <cell r="I8">
            <v>3000</v>
          </cell>
        </row>
      </sheetData>
      <sheetData sheetId="2"/>
      <sheetData sheetId="3"/>
      <sheetData sheetId="4"/>
      <sheetData sheetId="5"/>
      <sheetData sheetId="6"/>
      <sheetData sheetId="7"/>
      <sheetData sheetId="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断面设计"/>
      <sheetName val="程序输入文件A"/>
      <sheetName val="程序输入文件B"/>
      <sheetName val="水面线"/>
      <sheetName val="线路"/>
      <sheetName val="程序计算水面线"/>
      <sheetName val="Sheet1"/>
      <sheetName val="总平面表格"/>
      <sheetName val="分标表格"/>
      <sheetName val="分水"/>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19"/>
  <sheetViews>
    <sheetView topLeftCell="A10" zoomScale="85" zoomScaleNormal="85" workbookViewId="0">
      <selection activeCell="Q52" sqref="Q52:Q53"/>
    </sheetView>
  </sheetViews>
  <sheetFormatPr defaultColWidth="9" defaultRowHeight="13.5" x14ac:dyDescent="0.15"/>
  <cols>
    <col min="1" max="1" width="26.625" customWidth="1"/>
    <col min="2" max="2" width="11.5" customWidth="1"/>
    <col min="3" max="3" width="11.25" customWidth="1"/>
    <col min="4" max="4" width="18.5" customWidth="1"/>
    <col min="5" max="5" width="11.875" customWidth="1"/>
    <col min="6" max="6" width="37.625" customWidth="1"/>
    <col min="7" max="7" width="10.125" customWidth="1"/>
    <col min="9" max="9" width="10.125" customWidth="1"/>
    <col min="10" max="10" width="10" customWidth="1"/>
    <col min="11" max="11" width="14.375" customWidth="1"/>
    <col min="13" max="14" width="5.25" customWidth="1"/>
    <col min="15" max="15" width="7.875" customWidth="1"/>
    <col min="16" max="16" width="7.5" customWidth="1"/>
    <col min="17" max="17" width="11.875" customWidth="1"/>
    <col min="18" max="18" width="7.5" customWidth="1"/>
    <col min="19" max="19" width="23.625" customWidth="1"/>
    <col min="21" max="21" width="8.75" customWidth="1"/>
    <col min="22" max="22" width="13.625" customWidth="1"/>
    <col min="23" max="23" width="9.375" customWidth="1"/>
    <col min="24" max="24" width="10.125" customWidth="1"/>
  </cols>
  <sheetData>
    <row r="1" ht="15.6" customHeight="1" x14ac:dyDescent="0.15"/>
    <row r="2" ht="43.15" customHeight="1" x14ac:dyDescent="0.15"/>
    <row r="3" ht="15" customHeight="1" x14ac:dyDescent="0.15"/>
    <row r="4" ht="15" customHeight="1" x14ac:dyDescent="0.15"/>
    <row r="5" ht="15" customHeight="1" x14ac:dyDescent="0.15"/>
    <row r="6" ht="15" customHeight="1" x14ac:dyDescent="0.15"/>
    <row r="7" ht="15" customHeight="1" x14ac:dyDescent="0.15"/>
    <row r="8" ht="30" customHeight="1" x14ac:dyDescent="0.15"/>
    <row r="9" ht="15" customHeight="1" x14ac:dyDescent="0.15"/>
    <row r="10" ht="15" customHeight="1" x14ac:dyDescent="0.15"/>
    <row r="11" ht="15" customHeight="1" x14ac:dyDescent="0.15"/>
    <row r="12" ht="15" customHeight="1" x14ac:dyDescent="0.15"/>
    <row r="13" ht="15" customHeight="1" x14ac:dyDescent="0.15"/>
    <row r="14" ht="15" customHeight="1" x14ac:dyDescent="0.15"/>
    <row r="15" ht="15" customHeight="1" x14ac:dyDescent="0.15"/>
    <row r="16" ht="15" customHeight="1" x14ac:dyDescent="0.15"/>
    <row r="17" ht="15" customHeight="1" x14ac:dyDescent="0.15"/>
    <row r="18" ht="15" customHeight="1" x14ac:dyDescent="0.15"/>
    <row r="19" ht="15" customHeight="1" x14ac:dyDescent="0.15"/>
  </sheetData>
  <phoneticPr fontId="8" type="noConversion"/>
  <pageMargins left="0.7" right="0.7" top="0.75" bottom="0.75" header="0.3" footer="0.3"/>
  <pageSetup paperSize="9" orientation="portrait"/>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A48"/>
  <sheetViews>
    <sheetView topLeftCell="A4" zoomScale="85" zoomScaleNormal="85" workbookViewId="0">
      <selection activeCell="F24" sqref="F24"/>
    </sheetView>
  </sheetViews>
  <sheetFormatPr defaultColWidth="9" defaultRowHeight="13.5" x14ac:dyDescent="0.15"/>
  <cols>
    <col min="1" max="1" width="10.375" style="81" customWidth="1"/>
    <col min="2" max="2" width="13.875" style="81" bestFit="1" customWidth="1"/>
    <col min="3" max="5" width="9" style="81"/>
    <col min="6" max="6" width="13" style="81"/>
    <col min="7" max="7" width="14.125" style="81" customWidth="1"/>
    <col min="8" max="8" width="16.875" style="81" bestFit="1" customWidth="1"/>
    <col min="9" max="9" width="9" style="81" customWidth="1"/>
    <col min="10" max="10" width="11.125" style="81" bestFit="1" customWidth="1"/>
    <col min="11" max="11" width="11.75" style="81"/>
    <col min="12" max="12" width="9" style="81"/>
    <col min="13" max="13" width="11.125" style="81" bestFit="1" customWidth="1"/>
    <col min="14" max="14" width="9" style="81"/>
    <col min="15" max="15" width="13" style="81"/>
    <col min="16" max="23" width="9" style="81"/>
    <col min="24" max="24" width="9.5" style="81" bestFit="1" customWidth="1"/>
    <col min="25" max="25" width="9.75" style="81" bestFit="1" customWidth="1"/>
    <col min="26" max="26" width="10.375" style="81" customWidth="1"/>
    <col min="27" max="27" width="8.625" style="81" customWidth="1"/>
    <col min="28" max="28" width="9.625" style="81" customWidth="1"/>
    <col min="29" max="29" width="13" style="81"/>
    <col min="30" max="31" width="9" style="81"/>
    <col min="32" max="33" width="13" style="81"/>
    <col min="34" max="34" width="9" style="81"/>
    <col min="35" max="37" width="6.75" style="81" bestFit="1" customWidth="1"/>
    <col min="38" max="38" width="8.375" style="81" customWidth="1"/>
    <col min="39" max="39" width="8.75" style="81" customWidth="1"/>
    <col min="40" max="16384" width="9" style="81"/>
  </cols>
  <sheetData>
    <row r="1" spans="1:27" ht="27" x14ac:dyDescent="0.15">
      <c r="A1" s="103" t="s">
        <v>106</v>
      </c>
      <c r="B1" s="103" t="s">
        <v>107</v>
      </c>
      <c r="C1" s="103" t="s">
        <v>108</v>
      </c>
      <c r="D1" s="103" t="s">
        <v>109</v>
      </c>
      <c r="E1" s="103" t="s">
        <v>110</v>
      </c>
      <c r="F1" s="103" t="s">
        <v>111</v>
      </c>
    </row>
    <row r="2" spans="1:27" x14ac:dyDescent="0.15">
      <c r="A2" s="103" t="s">
        <v>131</v>
      </c>
      <c r="B2" s="103" t="s">
        <v>112</v>
      </c>
      <c r="C2" s="104">
        <v>1.2</v>
      </c>
      <c r="D2" s="104">
        <v>0.8</v>
      </c>
      <c r="E2" s="104">
        <v>14</v>
      </c>
      <c r="F2" s="104">
        <v>152</v>
      </c>
    </row>
    <row r="4" spans="1:27" ht="14.25" thickBot="1" x14ac:dyDescent="0.2">
      <c r="A4" s="238" t="s">
        <v>2</v>
      </c>
      <c r="B4" s="238"/>
      <c r="C4" s="238"/>
      <c r="D4" s="105"/>
      <c r="E4" s="105"/>
      <c r="F4" s="105"/>
      <c r="G4" s="105"/>
      <c r="H4" s="105"/>
      <c r="I4" s="105"/>
      <c r="J4" s="105"/>
      <c r="K4" s="105"/>
      <c r="L4" s="106"/>
      <c r="M4" s="106"/>
    </row>
    <row r="5" spans="1:27" x14ac:dyDescent="0.15">
      <c r="A5" s="239" t="s">
        <v>3</v>
      </c>
      <c r="B5" s="107" t="s">
        <v>4</v>
      </c>
      <c r="C5" s="107" t="s">
        <v>5</v>
      </c>
      <c r="D5" s="107" t="s">
        <v>6</v>
      </c>
      <c r="E5" s="107" t="s">
        <v>7</v>
      </c>
      <c r="F5" s="107" t="s">
        <v>8</v>
      </c>
      <c r="G5" s="107" t="s">
        <v>9</v>
      </c>
      <c r="H5" s="107" t="s">
        <v>10</v>
      </c>
      <c r="I5" s="108" t="s">
        <v>128</v>
      </c>
      <c r="J5" s="107" t="s">
        <v>113</v>
      </c>
      <c r="K5" s="107" t="s">
        <v>11</v>
      </c>
      <c r="L5" s="109" t="s">
        <v>114</v>
      </c>
      <c r="M5" s="106"/>
      <c r="O5" s="87" t="s">
        <v>13</v>
      </c>
      <c r="P5" s="87" t="s">
        <v>14</v>
      </c>
      <c r="Q5" s="87" t="s">
        <v>15</v>
      </c>
    </row>
    <row r="6" spans="1:27" x14ac:dyDescent="0.15">
      <c r="A6" s="240"/>
      <c r="B6" s="82" t="s">
        <v>16</v>
      </c>
      <c r="C6" s="82" t="s">
        <v>17</v>
      </c>
      <c r="D6" s="82" t="s">
        <v>18</v>
      </c>
      <c r="E6" s="82" t="s">
        <v>19</v>
      </c>
      <c r="F6" s="82" t="s">
        <v>20</v>
      </c>
      <c r="G6" s="82" t="s">
        <v>21</v>
      </c>
      <c r="H6" s="110" t="s">
        <v>22</v>
      </c>
      <c r="I6" s="111" t="s">
        <v>23</v>
      </c>
      <c r="J6" s="110" t="s">
        <v>24</v>
      </c>
      <c r="K6" s="82" t="s">
        <v>25</v>
      </c>
      <c r="L6" s="112" t="s">
        <v>24</v>
      </c>
      <c r="M6" s="106"/>
      <c r="O6" s="87" t="s">
        <v>26</v>
      </c>
      <c r="P6" s="87" t="s">
        <v>27</v>
      </c>
      <c r="Q6" s="87" t="s">
        <v>28</v>
      </c>
      <c r="S6" s="88"/>
      <c r="T6" s="88"/>
    </row>
    <row r="7" spans="1:27" ht="15.75" x14ac:dyDescent="0.15">
      <c r="A7" s="240"/>
      <c r="B7" s="82" t="s">
        <v>18</v>
      </c>
      <c r="C7" s="82" t="s">
        <v>18</v>
      </c>
      <c r="D7" s="82"/>
      <c r="E7" s="82" t="s">
        <v>129</v>
      </c>
      <c r="F7" s="82" t="s">
        <v>18</v>
      </c>
      <c r="G7" s="82"/>
      <c r="H7" s="110"/>
      <c r="I7" s="111"/>
      <c r="J7" s="110" t="s">
        <v>130</v>
      </c>
      <c r="K7" s="82" t="s">
        <v>31</v>
      </c>
      <c r="L7" s="112" t="s">
        <v>130</v>
      </c>
      <c r="M7" s="106"/>
      <c r="O7" s="87" t="s">
        <v>18</v>
      </c>
      <c r="P7" s="87" t="s">
        <v>18</v>
      </c>
      <c r="Q7" s="87" t="s">
        <v>18</v>
      </c>
      <c r="S7" s="88"/>
      <c r="T7" s="88"/>
    </row>
    <row r="8" spans="1:27" ht="14.25" thickBot="1" x14ac:dyDescent="0.2">
      <c r="A8" s="113" t="s">
        <v>32</v>
      </c>
      <c r="B8" s="114">
        <v>0.61035771418674445</v>
      </c>
      <c r="C8" s="114">
        <f>IF(B8&gt;(D2-D2*COS(RADIANS(F2/2))),2*D2*SIN(RADIANS(F2/2)),2*D2*SIN(ACOS((D2-B8)/D2)))</f>
        <v>1.5524731620415944</v>
      </c>
      <c r="D8" s="115">
        <f>TAN(RADIANS(E2))</f>
        <v>0.24932800284318068</v>
      </c>
      <c r="E8" s="115">
        <f>IF(B8&gt;(D2-D2*COS(RADIANS(F2/2))),F2/360*PI()*D2^2-D2^2*SIN(RADIANS(F2/2))*COS(RADIANS(F2/2))+(C8+D8*(B8-(D2-D2*COS(RADIANS(F2/2)))))*(B8-(D2-D2*COS(RADIANS(F2/2)))),ACOS((D2-B8)/D2)*D2^2-(D2-B8)*(D2^2-(D2-B8)^2)^0.5)</f>
        <v>0.70474827215761959</v>
      </c>
      <c r="F8" s="116">
        <f>IF(B8&gt;(D2-D2*COS(RADIANS(F2/2))),F2/360*2*PI()*D2+2*(B8-(D2-D2*COS(RADIANS(F2/2))))*(1+D8*D8)^(1/2),2*D2*ACOS((D2-B8)/D2))</f>
        <v>2.130349326053774</v>
      </c>
      <c r="G8" s="116">
        <f>E8/F8</f>
        <v>0.33081347905654718</v>
      </c>
      <c r="H8" s="117">
        <v>1.4999999999999999E-2</v>
      </c>
      <c r="I8" s="118">
        <v>3000</v>
      </c>
      <c r="J8" s="119">
        <f>E8*G8^(2/3)/I8^(1/2)/H8-L8</f>
        <v>3.0259570695495563E-4</v>
      </c>
      <c r="K8" s="120">
        <f>L8/E8</f>
        <v>0.58176801022124669</v>
      </c>
      <c r="L8" s="121">
        <v>0.41</v>
      </c>
      <c r="M8" s="84"/>
      <c r="O8" s="89">
        <f>B13/4+0.2</f>
        <v>0.3762266827793822</v>
      </c>
      <c r="P8" s="89">
        <f>B13+O8</f>
        <v>1.0811334138969109</v>
      </c>
      <c r="Q8" s="90">
        <v>1.2</v>
      </c>
      <c r="S8" s="91"/>
      <c r="T8" s="92"/>
      <c r="Z8" s="93"/>
      <c r="AA8" s="94"/>
    </row>
    <row r="9" spans="1:27" ht="14.25" thickBot="1" x14ac:dyDescent="0.2">
      <c r="A9" s="105"/>
      <c r="B9" s="105"/>
      <c r="C9" s="105"/>
      <c r="D9" s="105"/>
      <c r="E9" s="105"/>
      <c r="F9" s="105"/>
      <c r="G9" s="105"/>
      <c r="H9" s="105"/>
      <c r="I9" s="105"/>
      <c r="J9" s="105"/>
      <c r="K9" s="105"/>
      <c r="S9" s="95"/>
      <c r="T9" s="95"/>
    </row>
    <row r="10" spans="1:27" x14ac:dyDescent="0.15">
      <c r="A10" s="239" t="s">
        <v>3</v>
      </c>
      <c r="B10" s="107" t="s">
        <v>12</v>
      </c>
      <c r="C10" s="107" t="s">
        <v>5</v>
      </c>
      <c r="D10" s="107" t="s">
        <v>6</v>
      </c>
      <c r="E10" s="107" t="s">
        <v>7</v>
      </c>
      <c r="F10" s="107" t="s">
        <v>8</v>
      </c>
      <c r="G10" s="107" t="s">
        <v>9</v>
      </c>
      <c r="H10" s="107" t="s">
        <v>10</v>
      </c>
      <c r="I10" s="108" t="s">
        <v>128</v>
      </c>
      <c r="J10" s="107" t="s">
        <v>113</v>
      </c>
      <c r="K10" s="107" t="s">
        <v>11</v>
      </c>
      <c r="L10" s="109" t="s">
        <v>115</v>
      </c>
      <c r="S10" s="88"/>
      <c r="T10" s="88"/>
    </row>
    <row r="11" spans="1:27" x14ac:dyDescent="0.15">
      <c r="A11" s="240"/>
      <c r="B11" s="82" t="s">
        <v>16</v>
      </c>
      <c r="C11" s="82" t="s">
        <v>17</v>
      </c>
      <c r="D11" s="82" t="s">
        <v>18</v>
      </c>
      <c r="E11" s="82" t="s">
        <v>19</v>
      </c>
      <c r="F11" s="82" t="s">
        <v>20</v>
      </c>
      <c r="G11" s="82" t="s">
        <v>21</v>
      </c>
      <c r="H11" s="110" t="s">
        <v>22</v>
      </c>
      <c r="I11" s="111" t="s">
        <v>23</v>
      </c>
      <c r="J11" s="110" t="s">
        <v>24</v>
      </c>
      <c r="K11" s="82" t="s">
        <v>25</v>
      </c>
      <c r="L11" s="112" t="s">
        <v>24</v>
      </c>
      <c r="O11" s="87" t="s">
        <v>29</v>
      </c>
      <c r="P11" s="87" t="s">
        <v>30</v>
      </c>
    </row>
    <row r="12" spans="1:27" ht="15.75" x14ac:dyDescent="0.15">
      <c r="A12" s="240"/>
      <c r="B12" s="82" t="s">
        <v>18</v>
      </c>
      <c r="C12" s="82" t="s">
        <v>18</v>
      </c>
      <c r="D12" s="82"/>
      <c r="E12" s="82" t="s">
        <v>129</v>
      </c>
      <c r="F12" s="82" t="s">
        <v>18</v>
      </c>
      <c r="G12" s="82"/>
      <c r="H12" s="110"/>
      <c r="I12" s="111"/>
      <c r="J12" s="110" t="s">
        <v>130</v>
      </c>
      <c r="K12" s="82" t="s">
        <v>31</v>
      </c>
      <c r="L12" s="112" t="s">
        <v>130</v>
      </c>
      <c r="O12" s="87" t="s">
        <v>18</v>
      </c>
      <c r="P12" s="87" t="s">
        <v>18</v>
      </c>
    </row>
    <row r="13" spans="1:27" ht="14.25" thickBot="1" x14ac:dyDescent="0.2">
      <c r="A13" s="113" t="s">
        <v>32</v>
      </c>
      <c r="B13" s="114">
        <v>0.70490673111752866</v>
      </c>
      <c r="C13" s="114">
        <f>IF(B13&gt;(D2-D2*COS(RADIANS(F2/2))),2*D2*SIN(RADIANS(F2/2)),2*D2*SIN(ACOS((D2-B13)/D2)))</f>
        <v>1.5524731620415944</v>
      </c>
      <c r="D13" s="115">
        <f>TAN(RADIANS(E2))</f>
        <v>0.24932800284318068</v>
      </c>
      <c r="E13" s="115">
        <f>IF(B13&gt;(D2-D2*COS(RADIANS(F2/2))),F2/360*PI()*D2^2-D2^2*SIN(RADIANS(F2/2))*COS(RADIANS(F2/2))+(C13+D13*(B13-(D2-D2*COS(RADIANS(F2/2)))))*(B13-(D2-D2*COS(RADIANS(F2/2)))),ACOS((D2-B13)/D2)*D2^2-(D2-B13)*(D2^2-(D2-B13)^2)^0.5)</f>
        <v>0.85394560539612441</v>
      </c>
      <c r="F13" s="116">
        <f>IF(B13&gt;(D2-D2*COS(RADIANS(F2/2))),F2/360*2*PI()*D2+2*(B13-(D2-D2*COS(RADIANS(F2/2))))*(1+D13*D13)^(1/2),2*D2*ACOS((D2-B13)/D2))</f>
        <v>2.3252363370347751</v>
      </c>
      <c r="G13" s="116">
        <f>E13/F13</f>
        <v>0.36725110123003951</v>
      </c>
      <c r="H13" s="115">
        <f>H8</f>
        <v>1.4999999999999999E-2</v>
      </c>
      <c r="I13" s="122">
        <f>I8</f>
        <v>3000</v>
      </c>
      <c r="J13" s="119">
        <f>E13*G13^(2/3)/I13^(1/2)/H13-L13</f>
        <v>3.2544641638598826E-5</v>
      </c>
      <c r="K13" s="120">
        <f>L13/E13</f>
        <v>0.62416153515159134</v>
      </c>
      <c r="L13" s="96">
        <f>L8*1.3</f>
        <v>0.53300000000000003</v>
      </c>
      <c r="O13" s="89">
        <f>IF(B13&gt;($D$2-$D$2*COS(RADIANS($F$2/2))),C13+2*D13*(B13-($D$2-$D$2*COS(RADIANS($F$2/2)))),2*$D$2*SIN(ACOS(($D$2-B13)/$D$2)))</f>
        <v>1.6015629773312445</v>
      </c>
      <c r="P13" s="97">
        <f>ROUNDUP(O13*2.5,0)</f>
        <v>5</v>
      </c>
    </row>
    <row r="14" spans="1:27" ht="14.25" thickBot="1" x14ac:dyDescent="0.2">
      <c r="A14" s="238" t="s">
        <v>158</v>
      </c>
      <c r="B14" s="238"/>
      <c r="C14" s="238"/>
      <c r="D14"/>
      <c r="E14"/>
      <c r="F14"/>
      <c r="G14"/>
      <c r="H14"/>
      <c r="I14"/>
      <c r="J14"/>
      <c r="K14"/>
      <c r="L14"/>
      <c r="O14" s="91"/>
      <c r="P14" s="92"/>
    </row>
    <row r="15" spans="1:27" x14ac:dyDescent="0.15">
      <c r="A15" s="239" t="s">
        <v>3</v>
      </c>
      <c r="B15" s="107" t="s">
        <v>4</v>
      </c>
      <c r="C15" s="107" t="s">
        <v>5</v>
      </c>
      <c r="D15" s="107" t="s">
        <v>6</v>
      </c>
      <c r="E15" s="107" t="s">
        <v>7</v>
      </c>
      <c r="F15" s="107" t="s">
        <v>8</v>
      </c>
      <c r="G15" s="107" t="s">
        <v>9</v>
      </c>
      <c r="H15" s="107" t="s">
        <v>10</v>
      </c>
      <c r="I15" s="108" t="s">
        <v>128</v>
      </c>
      <c r="J15" s="107" t="s">
        <v>113</v>
      </c>
      <c r="K15" s="107" t="s">
        <v>11</v>
      </c>
      <c r="L15" s="109" t="s">
        <v>114</v>
      </c>
      <c r="M15" s="106"/>
      <c r="O15" s="91"/>
      <c r="P15" s="92"/>
    </row>
    <row r="16" spans="1:27" x14ac:dyDescent="0.15">
      <c r="A16" s="240"/>
      <c r="B16" s="176" t="s">
        <v>16</v>
      </c>
      <c r="C16" s="176" t="s">
        <v>17</v>
      </c>
      <c r="D16" s="176" t="s">
        <v>18</v>
      </c>
      <c r="E16" s="176" t="s">
        <v>19</v>
      </c>
      <c r="F16" s="176" t="s">
        <v>20</v>
      </c>
      <c r="G16" s="176" t="s">
        <v>21</v>
      </c>
      <c r="H16" s="110" t="s">
        <v>22</v>
      </c>
      <c r="I16" s="111" t="s">
        <v>23</v>
      </c>
      <c r="J16" s="110" t="s">
        <v>24</v>
      </c>
      <c r="K16" s="176" t="s">
        <v>25</v>
      </c>
      <c r="L16" s="112" t="s">
        <v>24</v>
      </c>
      <c r="M16" s="106"/>
      <c r="O16" s="177" t="s">
        <v>29</v>
      </c>
      <c r="P16" s="177" t="s">
        <v>30</v>
      </c>
    </row>
    <row r="17" spans="1:26" ht="15.75" x14ac:dyDescent="0.15">
      <c r="A17" s="240"/>
      <c r="B17" s="176" t="s">
        <v>18</v>
      </c>
      <c r="C17" s="176" t="s">
        <v>18</v>
      </c>
      <c r="D17" s="176"/>
      <c r="E17" s="176" t="s">
        <v>129</v>
      </c>
      <c r="F17" s="176" t="s">
        <v>18</v>
      </c>
      <c r="G17" s="176"/>
      <c r="H17" s="110"/>
      <c r="I17" s="111"/>
      <c r="J17" s="110" t="s">
        <v>130</v>
      </c>
      <c r="K17" s="176" t="s">
        <v>31</v>
      </c>
      <c r="L17" s="112" t="s">
        <v>130</v>
      </c>
      <c r="M17" s="106"/>
      <c r="O17" s="177" t="s">
        <v>18</v>
      </c>
      <c r="P17" s="177" t="s">
        <v>18</v>
      </c>
    </row>
    <row r="18" spans="1:26" ht="14.25" thickBot="1" x14ac:dyDescent="0.2">
      <c r="A18" s="241" t="s">
        <v>32</v>
      </c>
      <c r="B18" s="114">
        <v>0.59929999483550755</v>
      </c>
      <c r="C18" s="114">
        <v>0.9</v>
      </c>
      <c r="D18" s="115">
        <v>0.5</v>
      </c>
      <c r="E18" s="115">
        <f>(C18+D18*B18)*B18</f>
        <v>0.71895023725687646</v>
      </c>
      <c r="F18" s="116">
        <f>C18+2*B18*(1+D18*D18)^(1/2)</f>
        <v>2.240075527367468</v>
      </c>
      <c r="G18" s="116">
        <f>E18/F18</f>
        <v>0.32094910572135271</v>
      </c>
      <c r="H18" s="117">
        <v>1.4999999999999999E-2</v>
      </c>
      <c r="I18" s="118">
        <v>3000</v>
      </c>
      <c r="J18" s="119">
        <f>E18*G18^(2/3)/I18^(1/2)/H18-L18</f>
        <v>2.0825097303645013E-4</v>
      </c>
      <c r="K18" s="120">
        <f>L18/E18</f>
        <v>0.57027590889230007</v>
      </c>
      <c r="L18" s="121">
        <v>0.41</v>
      </c>
      <c r="M18" s="84"/>
      <c r="O18" s="178">
        <f>C18+2*D18*B18</f>
        <v>1.4992999948355075</v>
      </c>
      <c r="P18" s="180">
        <f>O18*2.5</f>
        <v>3.7482499870887684</v>
      </c>
    </row>
    <row r="19" spans="1:26" ht="14.25" thickBot="1" x14ac:dyDescent="0.2">
      <c r="A19" s="242"/>
      <c r="B19" s="114">
        <v>0.58853204167457374</v>
      </c>
      <c r="C19" s="114">
        <v>1.2</v>
      </c>
      <c r="D19" s="115">
        <v>0</v>
      </c>
      <c r="E19" s="115">
        <f t="shared" ref="E19:E20" si="0">(C19+D19*B19)*B19</f>
        <v>0.70623845000948848</v>
      </c>
      <c r="F19" s="116">
        <f t="shared" ref="F19:F20" si="1">C19+2*B19*(1+D19*D19)^(1/2)</f>
        <v>2.3770640833491474</v>
      </c>
      <c r="G19" s="116">
        <f t="shared" ref="G19:G20" si="2">E19/F19</f>
        <v>0.2971053472880878</v>
      </c>
      <c r="H19" s="117">
        <v>1.4E-2</v>
      </c>
      <c r="I19" s="118">
        <v>3000</v>
      </c>
      <c r="J19" s="119">
        <f t="shared" ref="J19:J20" si="3">E19*G19^(2/3)/I19^(1/2)/H19-L19</f>
        <v>8.1024798719964153E-5</v>
      </c>
      <c r="K19" s="120">
        <f t="shared" ref="K19:K20" si="4">L19/E19</f>
        <v>0.58054046759205979</v>
      </c>
      <c r="L19" s="121">
        <v>0.41</v>
      </c>
      <c r="O19" s="178">
        <f t="shared" ref="O19:O20" si="5">C19+2*D19*B19</f>
        <v>1.2</v>
      </c>
      <c r="P19" s="180">
        <f>O19*2.5</f>
        <v>3</v>
      </c>
    </row>
    <row r="20" spans="1:26" ht="14.25" thickBot="1" x14ac:dyDescent="0.2">
      <c r="A20" s="243"/>
      <c r="B20" s="114">
        <v>0.60237902196640114</v>
      </c>
      <c r="C20" s="114">
        <v>0.5</v>
      </c>
      <c r="D20" s="115">
        <v>1.2</v>
      </c>
      <c r="E20" s="115">
        <f t="shared" si="0"/>
        <v>0.73662209430943826</v>
      </c>
      <c r="F20" s="116">
        <f t="shared" si="1"/>
        <v>2.3818922244344209</v>
      </c>
      <c r="G20" s="116">
        <f t="shared" si="2"/>
        <v>0.30925920440600491</v>
      </c>
      <c r="H20" s="117">
        <v>1.4999999999999999E-2</v>
      </c>
      <c r="I20" s="118">
        <v>3000</v>
      </c>
      <c r="J20" s="119">
        <f t="shared" si="3"/>
        <v>2.2740556177791582E-5</v>
      </c>
      <c r="K20" s="120">
        <f t="shared" si="4"/>
        <v>0.55659476299630006</v>
      </c>
      <c r="L20" s="121">
        <v>0.41</v>
      </c>
      <c r="O20" s="178">
        <f t="shared" si="5"/>
        <v>1.9457096527193627</v>
      </c>
      <c r="P20" s="180">
        <f>O20*2.5</f>
        <v>4.8642741317984068</v>
      </c>
    </row>
    <row r="21" spans="1:26" ht="14.25" thickBot="1" x14ac:dyDescent="0.2">
      <c r="D21"/>
      <c r="E21"/>
      <c r="F21"/>
      <c r="G21"/>
      <c r="H21"/>
      <c r="I21"/>
      <c r="J21"/>
      <c r="K21"/>
      <c r="L21"/>
      <c r="O21" s="91"/>
      <c r="P21" s="92"/>
    </row>
    <row r="22" spans="1:26" x14ac:dyDescent="0.15">
      <c r="A22" s="239" t="s">
        <v>3</v>
      </c>
      <c r="B22" s="107" t="s">
        <v>4</v>
      </c>
      <c r="C22" s="107" t="s">
        <v>5</v>
      </c>
      <c r="D22" s="107" t="s">
        <v>6</v>
      </c>
      <c r="E22" s="107" t="s">
        <v>7</v>
      </c>
      <c r="F22" s="107" t="s">
        <v>8</v>
      </c>
      <c r="G22" s="107" t="s">
        <v>9</v>
      </c>
      <c r="H22" s="107" t="s">
        <v>10</v>
      </c>
      <c r="I22" s="108" t="s">
        <v>128</v>
      </c>
      <c r="J22" s="107" t="s">
        <v>113</v>
      </c>
      <c r="K22" s="107" t="s">
        <v>11</v>
      </c>
      <c r="L22" s="109" t="s">
        <v>114</v>
      </c>
      <c r="M22" s="106"/>
      <c r="O22" s="177" t="s">
        <v>13</v>
      </c>
      <c r="P22" s="177" t="s">
        <v>14</v>
      </c>
      <c r="Q22" s="177" t="s">
        <v>15</v>
      </c>
      <c r="R22"/>
      <c r="S22"/>
      <c r="T22"/>
    </row>
    <row r="23" spans="1:26" x14ac:dyDescent="0.15">
      <c r="A23" s="240"/>
      <c r="B23" s="176" t="s">
        <v>16</v>
      </c>
      <c r="C23" s="176" t="s">
        <v>17</v>
      </c>
      <c r="D23" s="176" t="s">
        <v>18</v>
      </c>
      <c r="E23" s="176" t="s">
        <v>19</v>
      </c>
      <c r="F23" s="176" t="s">
        <v>20</v>
      </c>
      <c r="G23" s="176" t="s">
        <v>21</v>
      </c>
      <c r="H23" s="110" t="s">
        <v>22</v>
      </c>
      <c r="I23" s="111" t="s">
        <v>23</v>
      </c>
      <c r="J23" s="110" t="s">
        <v>24</v>
      </c>
      <c r="K23" s="176" t="s">
        <v>25</v>
      </c>
      <c r="L23" s="112" t="s">
        <v>24</v>
      </c>
      <c r="M23" s="106"/>
      <c r="O23" s="177" t="s">
        <v>26</v>
      </c>
      <c r="P23" s="177" t="s">
        <v>27</v>
      </c>
      <c r="Q23" s="177" t="s">
        <v>28</v>
      </c>
      <c r="R23"/>
    </row>
    <row r="24" spans="1:26" ht="15.75" x14ac:dyDescent="0.15">
      <c r="A24" s="240"/>
      <c r="B24" s="176" t="s">
        <v>18</v>
      </c>
      <c r="C24" s="176" t="s">
        <v>18</v>
      </c>
      <c r="D24" s="176"/>
      <c r="E24" s="176" t="s">
        <v>129</v>
      </c>
      <c r="F24" s="176" t="s">
        <v>18</v>
      </c>
      <c r="G24" s="176"/>
      <c r="H24" s="110"/>
      <c r="I24" s="111"/>
      <c r="J24" s="110" t="s">
        <v>130</v>
      </c>
      <c r="K24" s="176" t="s">
        <v>31</v>
      </c>
      <c r="L24" s="112" t="s">
        <v>130</v>
      </c>
      <c r="M24" s="106"/>
      <c r="O24" s="177" t="s">
        <v>18</v>
      </c>
      <c r="P24" s="177" t="s">
        <v>18</v>
      </c>
      <c r="Q24" s="177" t="s">
        <v>18</v>
      </c>
      <c r="R24"/>
    </row>
    <row r="25" spans="1:26" ht="14.25" thickBot="1" x14ac:dyDescent="0.2">
      <c r="A25" s="241" t="s">
        <v>32</v>
      </c>
      <c r="B25" s="114">
        <v>0.69933715264816232</v>
      </c>
      <c r="C25" s="114">
        <v>0.9</v>
      </c>
      <c r="D25" s="115">
        <v>0.5</v>
      </c>
      <c r="E25" s="115">
        <f>(C25+D25*B25)*B25</f>
        <v>0.87393966392036559</v>
      </c>
      <c r="F25" s="116">
        <f t="shared" ref="F25:F27" si="6">C25+2*B25*(1+D25*D25)^(1/2)</f>
        <v>2.463765412512438</v>
      </c>
      <c r="G25" s="116">
        <f>E25/F25</f>
        <v>0.3547170763425731</v>
      </c>
      <c r="H25" s="117">
        <v>1.4999999999999999E-2</v>
      </c>
      <c r="I25" s="118">
        <v>3000</v>
      </c>
      <c r="J25" s="119">
        <f>E25*G25^(2/3)/I25^(1/2)/H25-L25</f>
        <v>2.9151567254137589E-5</v>
      </c>
      <c r="K25" s="120">
        <f>L25/E25</f>
        <v>0.60988191977583428</v>
      </c>
      <c r="L25" s="121">
        <f>$L$13</f>
        <v>0.53300000000000003</v>
      </c>
      <c r="M25" s="84"/>
      <c r="O25" s="178">
        <f>B25/4+0.2</f>
        <v>0.37483428816204056</v>
      </c>
      <c r="P25" s="178">
        <f>B25+O25</f>
        <v>1.0741714408102028</v>
      </c>
      <c r="Q25" s="179">
        <v>1.1000000000000001</v>
      </c>
      <c r="R25"/>
    </row>
    <row r="26" spans="1:26" ht="14.25" thickBot="1" x14ac:dyDescent="0.2">
      <c r="A26" s="242"/>
      <c r="B26" s="114">
        <v>0.71879706695576195</v>
      </c>
      <c r="C26" s="114">
        <v>1.2</v>
      </c>
      <c r="D26" s="115">
        <v>0</v>
      </c>
      <c r="E26" s="115">
        <f t="shared" ref="E26:E27" si="7">(C26+D26*B26)*B26</f>
        <v>0.86255648034691434</v>
      </c>
      <c r="F26" s="116">
        <f t="shared" si="6"/>
        <v>2.6375941339115236</v>
      </c>
      <c r="G26" s="116">
        <f t="shared" ref="G26:G27" si="8">E26/F26</f>
        <v>0.3270239606833491</v>
      </c>
      <c r="H26" s="117">
        <v>1.4E-2</v>
      </c>
      <c r="I26" s="118">
        <v>3000</v>
      </c>
      <c r="J26" s="119">
        <f t="shared" ref="J26:J27" si="9">E26*G26^(2/3)/I26^(1/2)/H26-L26</f>
        <v>9.3115410833599643E-4</v>
      </c>
      <c r="K26" s="120">
        <f t="shared" ref="K26:K27" si="10">L26/E26</f>
        <v>0.61793054964427496</v>
      </c>
      <c r="L26" s="121">
        <f t="shared" ref="L26:L27" si="11">$L$13</f>
        <v>0.53300000000000003</v>
      </c>
      <c r="O26" s="178">
        <f>B26/4+0.2</f>
        <v>0.3796992667389405</v>
      </c>
      <c r="P26" s="178">
        <f>B26+O26</f>
        <v>1.0984963336947025</v>
      </c>
      <c r="Q26" s="177">
        <v>1.1000000000000001</v>
      </c>
      <c r="R26"/>
    </row>
    <row r="27" spans="1:26" ht="14.25" thickBot="1" x14ac:dyDescent="0.2">
      <c r="A27" s="243"/>
      <c r="B27" s="114">
        <v>0.68087219758756856</v>
      </c>
      <c r="C27" s="114">
        <v>0.5</v>
      </c>
      <c r="D27" s="115">
        <v>1.2</v>
      </c>
      <c r="E27" s="115">
        <f t="shared" si="7"/>
        <v>0.89674043813105442</v>
      </c>
      <c r="F27" s="116">
        <f t="shared" si="6"/>
        <v>2.6271127442168636</v>
      </c>
      <c r="G27" s="116">
        <f t="shared" si="8"/>
        <v>0.34134067527367223</v>
      </c>
      <c r="H27" s="117">
        <v>1.4999999999999999E-2</v>
      </c>
      <c r="I27" s="118">
        <v>3000</v>
      </c>
      <c r="J27" s="119">
        <f t="shared" si="9"/>
        <v>9.7808244200470185E-5</v>
      </c>
      <c r="K27" s="120">
        <f t="shared" si="10"/>
        <v>0.59437489081105155</v>
      </c>
      <c r="L27" s="121">
        <f t="shared" si="11"/>
        <v>0.53300000000000003</v>
      </c>
      <c r="O27" s="178">
        <f>B27/4+0.2</f>
        <v>0.37021804939689218</v>
      </c>
      <c r="P27" s="178">
        <f>B27+O27</f>
        <v>1.0510902469844607</v>
      </c>
      <c r="Q27" s="177">
        <v>1.1000000000000001</v>
      </c>
      <c r="R27"/>
    </row>
    <row r="28" spans="1:26" x14ac:dyDescent="0.15">
      <c r="B28"/>
      <c r="C28"/>
      <c r="D28"/>
      <c r="E28"/>
      <c r="F28"/>
      <c r="G28"/>
      <c r="H28"/>
      <c r="I28"/>
      <c r="J28"/>
      <c r="K28"/>
      <c r="L28"/>
      <c r="O28"/>
      <c r="P28"/>
      <c r="Q28"/>
      <c r="R28"/>
      <c r="S28"/>
      <c r="T28"/>
      <c r="U28"/>
    </row>
    <row r="29" spans="1:26" ht="14.25" thickBot="1" x14ac:dyDescent="0.2">
      <c r="A29" s="238" t="s">
        <v>38</v>
      </c>
      <c r="B29" s="238"/>
      <c r="C29" s="238"/>
      <c r="D29" s="238"/>
      <c r="E29" s="238"/>
      <c r="F29" s="238"/>
      <c r="G29" s="238"/>
      <c r="H29" s="238"/>
      <c r="I29" s="238"/>
      <c r="J29" s="105"/>
      <c r="K29" s="105"/>
      <c r="L29" s="106"/>
      <c r="M29" s="106"/>
      <c r="N29"/>
      <c r="O29"/>
      <c r="P29"/>
      <c r="Q29"/>
      <c r="R29"/>
      <c r="S29"/>
      <c r="T29"/>
      <c r="U29"/>
    </row>
    <row r="30" spans="1:26" x14ac:dyDescent="0.15">
      <c r="A30" s="237" t="s">
        <v>3</v>
      </c>
      <c r="B30" s="82" t="s">
        <v>4</v>
      </c>
      <c r="C30" s="82" t="s">
        <v>5</v>
      </c>
      <c r="D30" s="82" t="s">
        <v>39</v>
      </c>
      <c r="E30" s="80" t="s">
        <v>40</v>
      </c>
      <c r="F30" s="80" t="s">
        <v>41</v>
      </c>
      <c r="G30" s="80" t="s">
        <v>42</v>
      </c>
      <c r="H30" s="80" t="s">
        <v>122</v>
      </c>
      <c r="I30" s="82" t="s">
        <v>44</v>
      </c>
      <c r="J30" s="82" t="s">
        <v>7</v>
      </c>
      <c r="K30" s="82" t="s">
        <v>8</v>
      </c>
      <c r="L30" s="82" t="s">
        <v>9</v>
      </c>
      <c r="M30" s="82" t="s">
        <v>10</v>
      </c>
      <c r="N30" s="111" t="s">
        <v>128</v>
      </c>
      <c r="O30" s="107" t="s">
        <v>113</v>
      </c>
      <c r="P30" s="82" t="s">
        <v>36</v>
      </c>
      <c r="Q30" s="82" t="s">
        <v>45</v>
      </c>
      <c r="R30" s="82" t="s">
        <v>46</v>
      </c>
      <c r="S30" s="109" t="s">
        <v>114</v>
      </c>
      <c r="T30" s="82" t="s">
        <v>37</v>
      </c>
      <c r="U30" s="82" t="s">
        <v>47</v>
      </c>
      <c r="W30" s="87" t="s">
        <v>30</v>
      </c>
      <c r="Z30" s="81" t="s">
        <v>187</v>
      </c>
    </row>
    <row r="31" spans="1:26" x14ac:dyDescent="0.15">
      <c r="A31" s="237"/>
      <c r="B31" s="82" t="s">
        <v>16</v>
      </c>
      <c r="C31" s="82" t="s">
        <v>17</v>
      </c>
      <c r="D31" s="82"/>
      <c r="E31" s="80" t="s">
        <v>21</v>
      </c>
      <c r="F31" s="80"/>
      <c r="G31" s="80"/>
      <c r="H31" s="80"/>
      <c r="I31" s="82"/>
      <c r="J31" s="82" t="s">
        <v>19</v>
      </c>
      <c r="K31" s="82" t="s">
        <v>20</v>
      </c>
      <c r="L31" s="82" t="s">
        <v>21</v>
      </c>
      <c r="M31" s="110" t="s">
        <v>22</v>
      </c>
      <c r="N31" s="111" t="s">
        <v>23</v>
      </c>
      <c r="O31" s="110" t="s">
        <v>24</v>
      </c>
      <c r="P31" s="82" t="s">
        <v>25</v>
      </c>
      <c r="Q31" s="123"/>
      <c r="R31" s="124" t="s">
        <v>126</v>
      </c>
      <c r="S31" s="124"/>
      <c r="T31" s="124" t="s">
        <v>125</v>
      </c>
      <c r="U31" s="124" t="s">
        <v>127</v>
      </c>
      <c r="W31" s="87" t="s">
        <v>18</v>
      </c>
      <c r="X31" s="98">
        <v>3</v>
      </c>
      <c r="Y31" s="98">
        <v>5</v>
      </c>
      <c r="Z31" s="87"/>
    </row>
    <row r="32" spans="1:26" ht="15.75" x14ac:dyDescent="0.15">
      <c r="A32" s="237"/>
      <c r="B32" s="82" t="s">
        <v>18</v>
      </c>
      <c r="C32" s="82" t="s">
        <v>18</v>
      </c>
      <c r="D32" s="82" t="s">
        <v>18</v>
      </c>
      <c r="E32" s="80" t="s">
        <v>18</v>
      </c>
      <c r="F32" s="80" t="s">
        <v>18</v>
      </c>
      <c r="G32" s="80" t="s">
        <v>18</v>
      </c>
      <c r="H32" s="80" t="s">
        <v>18</v>
      </c>
      <c r="I32" s="82"/>
      <c r="J32" s="82" t="s">
        <v>129</v>
      </c>
      <c r="K32" s="82" t="s">
        <v>18</v>
      </c>
      <c r="L32" s="82"/>
      <c r="M32" s="110"/>
      <c r="N32" s="111"/>
      <c r="O32" s="110" t="s">
        <v>130</v>
      </c>
      <c r="P32" s="82" t="s">
        <v>31</v>
      </c>
      <c r="Q32" s="123" t="s">
        <v>48</v>
      </c>
      <c r="S32" s="123" t="s">
        <v>49</v>
      </c>
      <c r="U32" s="123" t="s">
        <v>18</v>
      </c>
      <c r="W32" s="98"/>
      <c r="X32" s="204">
        <f>X31*$B$20</f>
        <v>1.8071370658992034</v>
      </c>
      <c r="Y32" s="204">
        <f>Y31*$B$20</f>
        <v>3.0118951098320057</v>
      </c>
      <c r="Z32" s="86">
        <v>4</v>
      </c>
    </row>
    <row r="33" spans="1:23" x14ac:dyDescent="0.15">
      <c r="A33" s="82" t="s">
        <v>198</v>
      </c>
      <c r="B33" s="125">
        <v>0.54746804082763056</v>
      </c>
      <c r="C33" s="126">
        <v>1.8</v>
      </c>
      <c r="D33" s="126">
        <v>2.4</v>
      </c>
      <c r="E33" s="85">
        <v>1.04</v>
      </c>
      <c r="F33" s="99">
        <f>D33-(E33-(E33^2-(C33/2)^2)^0.5)</f>
        <v>1.8811525688318151</v>
      </c>
      <c r="G33" s="100">
        <f>F33-(E33^2-(C33/2)^2)^0.5</f>
        <v>1.3599999999999999</v>
      </c>
      <c r="H33" s="99">
        <f>F33-G33</f>
        <v>0.52115256883181527</v>
      </c>
      <c r="I33" s="127">
        <f>ASIN((B33-G33)/E33)-ASIN((F33-G33)/E33)</f>
        <v>-1.4215939846788996</v>
      </c>
      <c r="J33" s="128">
        <f>IF(B33&gt;F33,G33*C33+H33*C33/2+PI()*E33^2*I33/(2*PI())*2+(E33^2-(B33-G33)^2)^0.5*(B33-G33),B33*C33)</f>
        <v>0.98544247348973502</v>
      </c>
      <c r="K33" s="128">
        <f>IF(B33&gt;F33,C33+2*F33+E33*I33,C33+2*B33)</f>
        <v>2.8949360816552612</v>
      </c>
      <c r="L33" s="128">
        <f>J33/K33</f>
        <v>0.34040215248078309</v>
      </c>
      <c r="M33" s="129">
        <v>1.4E-2</v>
      </c>
      <c r="N33" s="130">
        <v>7000</v>
      </c>
      <c r="O33" s="131">
        <f>J33*L33^(2/3)/N33^(1/2)/M33-S33</f>
        <v>1.5601623093414174E-4</v>
      </c>
      <c r="P33" s="131">
        <f>S33/J33</f>
        <v>0.41605675727378805</v>
      </c>
      <c r="Q33" s="132">
        <f>C33*G33+H33*C33/2+(PI()-2*ASIN(H33/E33))/(2*PI())*PI()*E33^2</f>
        <v>4.048301564534583</v>
      </c>
      <c r="R33" s="133">
        <f>1-J33/Q33</f>
        <v>0.75657878797301814</v>
      </c>
      <c r="S33" s="132">
        <f>L8</f>
        <v>0.41</v>
      </c>
      <c r="T33" s="132">
        <f>D33/C33</f>
        <v>1.3333333333333333</v>
      </c>
      <c r="U33" s="132">
        <f>D33-B33</f>
        <v>1.8525319591723695</v>
      </c>
      <c r="W33" s="87">
        <f>5*C33</f>
        <v>9</v>
      </c>
    </row>
    <row r="34" spans="1:23" ht="14.25" thickBot="1" x14ac:dyDescent="0.2"/>
    <row r="35" spans="1:23" ht="14.25" thickBot="1" x14ac:dyDescent="0.2">
      <c r="A35" s="237" t="s">
        <v>3</v>
      </c>
      <c r="B35" s="82" t="s">
        <v>4</v>
      </c>
      <c r="C35" s="82" t="s">
        <v>5</v>
      </c>
      <c r="D35" s="82" t="s">
        <v>39</v>
      </c>
      <c r="E35" s="80" t="s">
        <v>40</v>
      </c>
      <c r="F35" s="80" t="s">
        <v>41</v>
      </c>
      <c r="G35" s="80" t="s">
        <v>42</v>
      </c>
      <c r="H35" s="80" t="s">
        <v>43</v>
      </c>
      <c r="I35" s="82" t="s">
        <v>44</v>
      </c>
      <c r="J35" s="82" t="s">
        <v>7</v>
      </c>
      <c r="K35" s="82" t="s">
        <v>8</v>
      </c>
      <c r="L35" s="82" t="s">
        <v>9</v>
      </c>
      <c r="M35" s="82" t="s">
        <v>10</v>
      </c>
      <c r="N35" s="111" t="s">
        <v>128</v>
      </c>
      <c r="O35" s="107" t="s">
        <v>113</v>
      </c>
      <c r="P35" s="82" t="s">
        <v>36</v>
      </c>
      <c r="Q35" s="82" t="s">
        <v>45</v>
      </c>
      <c r="R35" s="82" t="s">
        <v>46</v>
      </c>
      <c r="S35" s="109" t="s">
        <v>115</v>
      </c>
      <c r="T35" s="82" t="s">
        <v>37</v>
      </c>
      <c r="U35" s="82" t="s">
        <v>47</v>
      </c>
    </row>
    <row r="36" spans="1:23" x14ac:dyDescent="0.15">
      <c r="A36" s="237"/>
      <c r="B36" s="82" t="s">
        <v>16</v>
      </c>
      <c r="C36" s="82" t="s">
        <v>17</v>
      </c>
      <c r="D36" s="82"/>
      <c r="E36" s="80" t="s">
        <v>21</v>
      </c>
      <c r="F36" s="80"/>
      <c r="G36" s="80"/>
      <c r="H36" s="80"/>
      <c r="I36" s="82"/>
      <c r="J36" s="82" t="s">
        <v>19</v>
      </c>
      <c r="K36" s="82" t="s">
        <v>20</v>
      </c>
      <c r="L36" s="82" t="s">
        <v>21</v>
      </c>
      <c r="M36" s="110" t="s">
        <v>22</v>
      </c>
      <c r="N36" s="111" t="s">
        <v>23</v>
      </c>
      <c r="O36" s="110" t="s">
        <v>24</v>
      </c>
      <c r="P36" s="82" t="s">
        <v>25</v>
      </c>
      <c r="Q36" s="123"/>
      <c r="R36" s="123"/>
      <c r="S36" s="107"/>
      <c r="T36" s="123"/>
      <c r="U36" s="123"/>
    </row>
    <row r="37" spans="1:23" ht="15.75" x14ac:dyDescent="0.15">
      <c r="A37" s="237"/>
      <c r="B37" s="82" t="s">
        <v>18</v>
      </c>
      <c r="C37" s="82" t="s">
        <v>18</v>
      </c>
      <c r="D37" s="82" t="s">
        <v>18</v>
      </c>
      <c r="E37" s="80" t="s">
        <v>18</v>
      </c>
      <c r="F37" s="80" t="s">
        <v>18</v>
      </c>
      <c r="G37" s="80" t="s">
        <v>18</v>
      </c>
      <c r="H37" s="80" t="s">
        <v>18</v>
      </c>
      <c r="I37" s="82"/>
      <c r="J37" s="82" t="s">
        <v>129</v>
      </c>
      <c r="K37" s="82" t="s">
        <v>18</v>
      </c>
      <c r="L37" s="82"/>
      <c r="M37" s="110"/>
      <c r="N37" s="111"/>
      <c r="O37" s="110" t="s">
        <v>130</v>
      </c>
      <c r="P37" s="82" t="s">
        <v>31</v>
      </c>
      <c r="Q37" s="123" t="s">
        <v>48</v>
      </c>
      <c r="R37" s="123"/>
      <c r="S37" s="123" t="s">
        <v>49</v>
      </c>
      <c r="T37" s="123"/>
      <c r="U37" s="123" t="s">
        <v>18</v>
      </c>
    </row>
    <row r="38" spans="1:23" x14ac:dyDescent="0.15">
      <c r="A38" s="82" t="s">
        <v>199</v>
      </c>
      <c r="B38" s="125">
        <v>0.66032433911965993</v>
      </c>
      <c r="C38" s="134">
        <f>C33</f>
        <v>1.8</v>
      </c>
      <c r="D38" s="134">
        <f t="shared" ref="D38:E38" si="12">D33</f>
        <v>2.4</v>
      </c>
      <c r="E38" s="134">
        <f t="shared" si="12"/>
        <v>1.04</v>
      </c>
      <c r="F38" s="99">
        <f>D38-(E38-(E38^2-(C38/2)^2)^0.5)</f>
        <v>1.8811525688318151</v>
      </c>
      <c r="G38" s="100">
        <f>F38-(E38^2-(C38/2)^2)^0.5</f>
        <v>1.3599999999999999</v>
      </c>
      <c r="H38" s="99">
        <f>F38-G38</f>
        <v>0.52115256883181527</v>
      </c>
      <c r="I38" s="127">
        <f>ASIN((B38-G38)/E38)-ASIN((F38-G38)/E38)</f>
        <v>-1.2628186926025147</v>
      </c>
      <c r="J38" s="128">
        <f>IF(B38&gt;F38,G38*C38+H38*C38/2+PI()*E38^2*I38/(2*PI())*2+(E38^2-(B38-G38)^2)^0.5*(B38-G38),B38*C38)</f>
        <v>1.1885838104153879</v>
      </c>
      <c r="K38" s="128">
        <f>IF(B38&gt;F38,C38+2*F38+2*E38*I38,C38+2*B38)</f>
        <v>3.1206486782393199</v>
      </c>
      <c r="L38" s="128">
        <f>J38/K38</f>
        <v>0.38087716143875278</v>
      </c>
      <c r="M38" s="127">
        <f>M33</f>
        <v>1.4E-2</v>
      </c>
      <c r="N38" s="135">
        <f>N33</f>
        <v>7000</v>
      </c>
      <c r="O38" s="131">
        <f>J38*L38^(2/3)/N38^(1/2)/M38-S38</f>
        <v>1.8269153762562329E-4</v>
      </c>
      <c r="P38" s="131">
        <f>S38/J38</f>
        <v>0.44843282848832217</v>
      </c>
      <c r="Q38" s="132">
        <f>C38*G38+H38*C38/2+(PI()-2*ASIN(H38/E38))/(2*PI())*PI()*E38^2</f>
        <v>4.048301564534583</v>
      </c>
      <c r="R38" s="133">
        <f>1-J38/Q38</f>
        <v>0.70639938960376469</v>
      </c>
      <c r="S38" s="132">
        <f>L13</f>
        <v>0.53300000000000003</v>
      </c>
      <c r="T38" s="132">
        <f>D33/C33</f>
        <v>1.3333333333333333</v>
      </c>
      <c r="U38" s="132">
        <f>D38-B38</f>
        <v>1.7396756608803399</v>
      </c>
    </row>
    <row r="40" spans="1:23" x14ac:dyDescent="0.15">
      <c r="A40" s="238" t="s">
        <v>123</v>
      </c>
      <c r="B40" s="238"/>
      <c r="C40" s="238"/>
      <c r="D40" s="238"/>
      <c r="E40" s="238"/>
      <c r="F40" s="238"/>
      <c r="G40" s="238"/>
      <c r="H40" s="238"/>
      <c r="I40" s="238"/>
    </row>
    <row r="41" spans="1:23" ht="14.25" thickBot="1" x14ac:dyDescent="0.2"/>
    <row r="42" spans="1:23" x14ac:dyDescent="0.15">
      <c r="A42" s="237" t="s">
        <v>3</v>
      </c>
      <c r="B42" s="82" t="s">
        <v>4</v>
      </c>
      <c r="C42" s="82" t="s">
        <v>35</v>
      </c>
      <c r="D42" s="82" t="s">
        <v>7</v>
      </c>
      <c r="E42" s="82" t="s">
        <v>9</v>
      </c>
      <c r="F42" s="82" t="s">
        <v>10</v>
      </c>
      <c r="G42" s="111" t="s">
        <v>128</v>
      </c>
      <c r="H42" s="82" t="s">
        <v>116</v>
      </c>
      <c r="I42" s="136" t="s">
        <v>36</v>
      </c>
      <c r="J42" s="123" t="s">
        <v>117</v>
      </c>
      <c r="K42" s="82" t="s">
        <v>37</v>
      </c>
      <c r="L42" s="123" t="s">
        <v>118</v>
      </c>
      <c r="M42" s="107" t="s">
        <v>113</v>
      </c>
      <c r="N42" s="82" t="s">
        <v>0</v>
      </c>
      <c r="O42" s="123" t="s">
        <v>119</v>
      </c>
      <c r="Q42" s="105"/>
      <c r="R42" s="87" t="s">
        <v>30</v>
      </c>
      <c r="V42" s="81" t="s">
        <v>124</v>
      </c>
    </row>
    <row r="43" spans="1:23" ht="15.75" x14ac:dyDescent="0.15">
      <c r="A43" s="237"/>
      <c r="B43" s="82" t="s">
        <v>16</v>
      </c>
      <c r="C43" s="82" t="s">
        <v>21</v>
      </c>
      <c r="D43" s="82" t="s">
        <v>19</v>
      </c>
      <c r="E43" s="82" t="s">
        <v>21</v>
      </c>
      <c r="F43" s="110" t="s">
        <v>22</v>
      </c>
      <c r="G43" s="111" t="s">
        <v>23</v>
      </c>
      <c r="H43" s="123" t="s">
        <v>24</v>
      </c>
      <c r="I43" s="82" t="s">
        <v>25</v>
      </c>
      <c r="J43" s="123">
        <f>C44*2/10+B44</f>
        <v>0.61053568697040295</v>
      </c>
      <c r="K43" s="137" t="s">
        <v>120</v>
      </c>
      <c r="L43" s="123"/>
      <c r="M43" s="110" t="s">
        <v>130</v>
      </c>
      <c r="N43" s="82"/>
      <c r="O43" s="123" t="s">
        <v>18</v>
      </c>
      <c r="Q43" s="106"/>
      <c r="R43" s="87" t="s">
        <v>18</v>
      </c>
      <c r="S43" s="87">
        <v>11</v>
      </c>
      <c r="T43" s="87">
        <v>18</v>
      </c>
      <c r="U43" s="87">
        <v>8</v>
      </c>
      <c r="V43" s="87"/>
      <c r="W43" s="101"/>
    </row>
    <row r="44" spans="1:23" x14ac:dyDescent="0.15">
      <c r="A44" s="82" t="s">
        <v>121</v>
      </c>
      <c r="B44" s="127">
        <v>0.47053568697040293</v>
      </c>
      <c r="C44" s="126">
        <v>0.7</v>
      </c>
      <c r="D44" s="128">
        <f>PI()*C44^2/2+(B44-C44)*2*C44</f>
        <v>0.44844016188806335</v>
      </c>
      <c r="E44" s="128">
        <f>D44/(PI()*C44+2*(B44-C44))</f>
        <v>0.2576966498082563</v>
      </c>
      <c r="F44" s="129">
        <v>1.4E-2</v>
      </c>
      <c r="G44" s="130">
        <v>1000</v>
      </c>
      <c r="H44" s="132">
        <f>D44*E44^(2/3)/G44^(1/2)/F44-M44</f>
        <v>0.41</v>
      </c>
      <c r="I44" s="128">
        <f>N44/D44</f>
        <v>0.9142802871932364</v>
      </c>
      <c r="J44" s="138">
        <v>1.4</v>
      </c>
      <c r="K44" s="132">
        <f>J44/C44/2</f>
        <v>1</v>
      </c>
      <c r="L44" s="132">
        <f>(J44-C44)/C44</f>
        <v>1</v>
      </c>
      <c r="M44" s="139">
        <f>D44*E44^(2/3)/G44^0.5/F44-N44</f>
        <v>1.8739776229698135E-4</v>
      </c>
      <c r="N44" s="139">
        <f>L8</f>
        <v>0.41</v>
      </c>
      <c r="O44" s="132">
        <f>IF(B44&gt;C44,C44*2,2*(C44^2-(C44-B44)^2)^0.5)</f>
        <v>1.3226430040579431</v>
      </c>
      <c r="Q44" s="140"/>
      <c r="R44" s="98"/>
      <c r="S44" s="97">
        <f>(O13/2-O48/2)/TAN($S$43/180*PI())</f>
        <v>0.6179887290491991</v>
      </c>
      <c r="T44" s="97">
        <f>(O13/2-O48/2)/TAN($T$43/180*PI())</f>
        <v>0.3697062430776808</v>
      </c>
      <c r="U44" s="97">
        <f>(O13/2-O48/2)/TAN($U$43/180*PI())</f>
        <v>0.85473265083834749</v>
      </c>
      <c r="V44" s="86">
        <v>5</v>
      </c>
      <c r="W44" s="102"/>
    </row>
    <row r="45" spans="1:23" ht="14.25" thickBot="1" x14ac:dyDescent="0.2">
      <c r="A45" s="105"/>
      <c r="B45" s="141"/>
      <c r="C45" s="141"/>
      <c r="D45" s="141"/>
      <c r="E45" s="141"/>
      <c r="F45" s="141"/>
      <c r="G45" s="141"/>
      <c r="H45" s="142"/>
      <c r="I45" s="143"/>
      <c r="J45" s="106"/>
      <c r="K45" s="106"/>
      <c r="L45" s="83"/>
      <c r="M45" s="144"/>
      <c r="N45" s="144"/>
      <c r="O45" s="141"/>
      <c r="Q45" s="141"/>
      <c r="R45" s="87">
        <f>ROUNDUP(5*O48,)</f>
        <v>7</v>
      </c>
    </row>
    <row r="46" spans="1:23" x14ac:dyDescent="0.15">
      <c r="A46" s="237" t="s">
        <v>3</v>
      </c>
      <c r="B46" s="82" t="s">
        <v>4</v>
      </c>
      <c r="C46" s="82" t="s">
        <v>35</v>
      </c>
      <c r="D46" s="82" t="s">
        <v>7</v>
      </c>
      <c r="E46" s="82" t="s">
        <v>9</v>
      </c>
      <c r="F46" s="82" t="s">
        <v>10</v>
      </c>
      <c r="G46" s="111" t="s">
        <v>128</v>
      </c>
      <c r="H46" s="82" t="s">
        <v>116</v>
      </c>
      <c r="I46" s="136" t="s">
        <v>36</v>
      </c>
      <c r="J46" s="123" t="s">
        <v>117</v>
      </c>
      <c r="K46" s="82" t="s">
        <v>37</v>
      </c>
      <c r="L46" s="123" t="s">
        <v>118</v>
      </c>
      <c r="M46" s="107" t="s">
        <v>113</v>
      </c>
      <c r="N46" s="82" t="s">
        <v>1</v>
      </c>
      <c r="O46" s="123" t="s">
        <v>119</v>
      </c>
      <c r="Q46" s="141"/>
    </row>
    <row r="47" spans="1:23" ht="15.75" x14ac:dyDescent="0.15">
      <c r="A47" s="237"/>
      <c r="B47" s="82" t="s">
        <v>16</v>
      </c>
      <c r="C47" s="82" t="s">
        <v>21</v>
      </c>
      <c r="D47" s="82" t="s">
        <v>19</v>
      </c>
      <c r="E47" s="82" t="s">
        <v>21</v>
      </c>
      <c r="F47" s="110" t="s">
        <v>22</v>
      </c>
      <c r="G47" s="111" t="s">
        <v>23</v>
      </c>
      <c r="H47" s="123" t="s">
        <v>24</v>
      </c>
      <c r="I47" s="82" t="s">
        <v>25</v>
      </c>
      <c r="J47" s="123">
        <f>C48*2/10+B48</f>
        <v>0.67657868286424339</v>
      </c>
      <c r="K47" s="123"/>
      <c r="L47" s="123"/>
      <c r="M47" s="110" t="s">
        <v>130</v>
      </c>
      <c r="N47" s="82"/>
      <c r="O47" s="123" t="s">
        <v>18</v>
      </c>
      <c r="Q47" s="141"/>
    </row>
    <row r="48" spans="1:23" x14ac:dyDescent="0.15">
      <c r="A48" s="82" t="s">
        <v>121</v>
      </c>
      <c r="B48" s="127">
        <v>0.53657868286424337</v>
      </c>
      <c r="C48" s="128">
        <f>C44</f>
        <v>0.7</v>
      </c>
      <c r="D48" s="128">
        <f>PI()*C48^2/2+(B48-C48)*2*C48</f>
        <v>0.54090035613943999</v>
      </c>
      <c r="E48" s="128">
        <f>D48/(PI()*C48+2*(B48-C48))</f>
        <v>0.28890048649176386</v>
      </c>
      <c r="F48" s="127">
        <f>F44</f>
        <v>1.4E-2</v>
      </c>
      <c r="G48" s="135">
        <f>G44</f>
        <v>1000</v>
      </c>
      <c r="H48" s="132">
        <f>D48*E48^(2/3)/G48^(1/2)/F48-M48</f>
        <v>0.53300000000000003</v>
      </c>
      <c r="I48" s="128">
        <f>N48/D48</f>
        <v>0.98539406371290439</v>
      </c>
      <c r="J48" s="138">
        <v>1.4</v>
      </c>
      <c r="K48" s="132">
        <f>J48/C48/2</f>
        <v>1</v>
      </c>
      <c r="L48" s="132">
        <f>(J48-C48)/C48</f>
        <v>1</v>
      </c>
      <c r="M48" s="139">
        <f>D48*E48^(2/3)/G48^0.5/F48-N48</f>
        <v>9.3461917493531388E-4</v>
      </c>
      <c r="N48" s="139">
        <f>L13</f>
        <v>0.53300000000000003</v>
      </c>
      <c r="O48" s="132">
        <f>IF(B48&gt;C48,C48*2,2*(C48^2-(C48-B48)^2)^0.5)</f>
        <v>1.3613132969388264</v>
      </c>
      <c r="Q48" s="141"/>
    </row>
  </sheetData>
  <mergeCells count="14">
    <mergeCell ref="A46:A47"/>
    <mergeCell ref="A4:C4"/>
    <mergeCell ref="A29:I29"/>
    <mergeCell ref="A5:A7"/>
    <mergeCell ref="A40:I40"/>
    <mergeCell ref="A42:A43"/>
    <mergeCell ref="A30:A32"/>
    <mergeCell ref="A35:A37"/>
    <mergeCell ref="A10:A12"/>
    <mergeCell ref="A15:A17"/>
    <mergeCell ref="A18:A20"/>
    <mergeCell ref="A22:A24"/>
    <mergeCell ref="A25:A27"/>
    <mergeCell ref="A14:C14"/>
  </mergeCells>
  <phoneticPr fontId="8" type="noConversion"/>
  <pageMargins left="0.7" right="0.7" top="0.75" bottom="0.75" header="0.3" footer="0.3"/>
  <pageSetup paperSize="9" scale="60" fitToHeight="0"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BK127"/>
  <sheetViews>
    <sheetView tabSelected="1" zoomScale="70" zoomScaleNormal="70" workbookViewId="0">
      <pane xSplit="2" ySplit="4" topLeftCell="C5" activePane="bottomRight" state="frozen"/>
      <selection pane="topRight"/>
      <selection pane="bottomLeft"/>
      <selection pane="bottomRight" activeCell="G72" sqref="G72"/>
    </sheetView>
  </sheetViews>
  <sheetFormatPr defaultColWidth="8.875" defaultRowHeight="15" x14ac:dyDescent="0.15"/>
  <cols>
    <col min="1" max="1" width="11.25" style="21" customWidth="1"/>
    <col min="2" max="2" width="26.125" customWidth="1"/>
    <col min="3" max="3" width="12.875" customWidth="1"/>
    <col min="4" max="4" width="14" customWidth="1"/>
    <col min="5" max="5" width="5.5" style="175" customWidth="1"/>
    <col min="6" max="6" width="5.5" customWidth="1"/>
    <col min="7" max="7" width="15.5" customWidth="1"/>
    <col min="8" max="8" width="17.625" customWidth="1"/>
    <col min="9" max="9" width="15.5" customWidth="1"/>
    <col min="10" max="12" width="8.875" customWidth="1"/>
    <col min="13" max="13" width="9.25" customWidth="1"/>
    <col min="14" max="15" width="8.875" customWidth="1"/>
    <col min="16" max="16" width="8.75" style="22" customWidth="1"/>
    <col min="17" max="17" width="6.5" customWidth="1"/>
    <col min="18" max="18" width="13.5" customWidth="1"/>
    <col min="19" max="19" width="5.5" customWidth="1"/>
    <col min="20" max="21" width="8.875" customWidth="1"/>
    <col min="22" max="22" width="13.5" customWidth="1"/>
    <col min="23" max="23" width="15.5" customWidth="1"/>
    <col min="24" max="24" width="13.5" customWidth="1"/>
    <col min="25" max="26" width="8.875" customWidth="1"/>
    <col min="27" max="27" width="8.75" style="23" customWidth="1"/>
    <col min="28" max="28" width="11.5" customWidth="1"/>
    <col min="29" max="29" width="7.5" customWidth="1"/>
    <col min="30" max="30" width="9.5" customWidth="1"/>
    <col min="31" max="31" width="7.375" customWidth="1"/>
    <col min="32" max="33" width="9.5" customWidth="1"/>
    <col min="34" max="37" width="8.875" customWidth="1"/>
    <col min="40" max="41" width="0" hidden="1" customWidth="1"/>
    <col min="42" max="42" width="9.5" style="24"/>
    <col min="43" max="43" width="14.125" style="20"/>
    <col min="44" max="63" width="8.875" style="20"/>
  </cols>
  <sheetData>
    <row r="1" spans="1:49" s="18" customFormat="1" ht="12.75" x14ac:dyDescent="0.2">
      <c r="A1" s="25" t="s">
        <v>50</v>
      </c>
      <c r="B1" s="26" t="s">
        <v>51</v>
      </c>
      <c r="C1" s="27" t="s">
        <v>52</v>
      </c>
      <c r="D1" s="28" t="s">
        <v>53</v>
      </c>
      <c r="E1" s="169"/>
      <c r="F1" s="30" t="s">
        <v>54</v>
      </c>
      <c r="G1" s="31" t="s">
        <v>55</v>
      </c>
      <c r="H1" s="32" t="s">
        <v>56</v>
      </c>
      <c r="I1" s="49" t="s">
        <v>57</v>
      </c>
      <c r="J1" s="50"/>
      <c r="K1" s="50"/>
      <c r="L1" s="50"/>
      <c r="M1" s="50"/>
      <c r="N1" s="51"/>
      <c r="O1" s="29"/>
      <c r="P1" s="52"/>
      <c r="Q1" s="51"/>
      <c r="R1" s="50"/>
      <c r="S1" s="50"/>
      <c r="T1" s="50"/>
      <c r="U1" s="50"/>
      <c r="V1" s="51"/>
      <c r="W1" s="51"/>
      <c r="X1" s="51"/>
      <c r="Y1" s="51"/>
      <c r="Z1" s="50"/>
      <c r="AA1" s="65"/>
      <c r="AB1" s="66"/>
      <c r="AC1" s="66"/>
      <c r="AD1" s="66"/>
      <c r="AE1" s="29"/>
      <c r="AF1" s="66"/>
      <c r="AG1" s="66"/>
      <c r="AH1" s="66"/>
      <c r="AI1" s="66"/>
      <c r="AJ1" s="66"/>
      <c r="AK1" s="66"/>
      <c r="AL1" s="72"/>
      <c r="AM1" s="72"/>
      <c r="AN1" s="73"/>
      <c r="AO1" s="73"/>
      <c r="AP1" s="75"/>
    </row>
    <row r="2" spans="1:49" s="18" customFormat="1" ht="12.75" x14ac:dyDescent="0.2">
      <c r="A2" s="25" t="s">
        <v>58</v>
      </c>
      <c r="B2" s="26">
        <v>1</v>
      </c>
      <c r="C2" s="27">
        <v>2</v>
      </c>
      <c r="D2" s="28"/>
      <c r="E2" s="169"/>
      <c r="F2" s="30"/>
      <c r="G2" s="33">
        <v>3</v>
      </c>
      <c r="H2" s="34"/>
      <c r="I2" s="53">
        <v>0</v>
      </c>
      <c r="J2" s="50"/>
      <c r="K2" s="50"/>
      <c r="L2" s="50"/>
      <c r="M2" s="50"/>
      <c r="N2" s="51"/>
      <c r="O2" s="29"/>
      <c r="P2" s="52"/>
      <c r="Q2" s="51"/>
      <c r="R2" s="50"/>
      <c r="S2" s="50"/>
      <c r="T2" s="50"/>
      <c r="U2" s="50"/>
      <c r="V2" s="51"/>
      <c r="W2" s="51"/>
      <c r="X2" s="51"/>
      <c r="Y2" s="51"/>
      <c r="Z2" s="50"/>
      <c r="AA2" s="65"/>
      <c r="AB2" s="66"/>
      <c r="AC2" s="66"/>
      <c r="AD2" s="66"/>
      <c r="AE2" s="29"/>
      <c r="AF2" s="66"/>
      <c r="AG2" s="66"/>
      <c r="AH2" s="66"/>
      <c r="AI2" s="66"/>
      <c r="AJ2" s="66"/>
      <c r="AK2" s="66"/>
      <c r="AL2" s="72"/>
      <c r="AM2" s="72"/>
      <c r="AN2" s="73"/>
      <c r="AO2" s="73"/>
      <c r="AP2" s="75"/>
    </row>
    <row r="3" spans="1:49" s="19" customFormat="1" ht="12.75" x14ac:dyDescent="0.2">
      <c r="A3" s="35"/>
      <c r="B3" s="36" t="s">
        <v>59</v>
      </c>
      <c r="C3" s="37" t="s">
        <v>60</v>
      </c>
      <c r="D3" s="37" t="s">
        <v>61</v>
      </c>
      <c r="E3" s="170" t="s">
        <v>35</v>
      </c>
      <c r="F3" s="39" t="s">
        <v>62</v>
      </c>
      <c r="G3" s="244" t="s">
        <v>63</v>
      </c>
      <c r="H3" s="245"/>
      <c r="I3" s="246"/>
      <c r="J3" s="39" t="s">
        <v>64</v>
      </c>
      <c r="K3" s="39" t="s">
        <v>65</v>
      </c>
      <c r="L3" s="39" t="s">
        <v>5</v>
      </c>
      <c r="M3" s="39" t="s">
        <v>66</v>
      </c>
      <c r="N3" s="54" t="s">
        <v>10</v>
      </c>
      <c r="O3" s="38" t="s">
        <v>67</v>
      </c>
      <c r="P3" s="55" t="s">
        <v>68</v>
      </c>
      <c r="Q3" s="54" t="s">
        <v>69</v>
      </c>
      <c r="R3" s="39" t="s">
        <v>70</v>
      </c>
      <c r="S3" s="39" t="s">
        <v>8</v>
      </c>
      <c r="T3" s="39" t="s">
        <v>9</v>
      </c>
      <c r="U3" s="39" t="s">
        <v>36</v>
      </c>
      <c r="V3" s="54" t="s">
        <v>71</v>
      </c>
      <c r="W3" s="54" t="s">
        <v>72</v>
      </c>
      <c r="X3" s="54" t="s">
        <v>73</v>
      </c>
      <c r="Y3" s="54" t="s">
        <v>74</v>
      </c>
      <c r="Z3" s="39"/>
      <c r="AA3" s="67" t="s">
        <v>75</v>
      </c>
      <c r="AB3" s="5" t="s">
        <v>76</v>
      </c>
      <c r="AC3" s="5" t="s">
        <v>77</v>
      </c>
      <c r="AD3" s="5" t="s">
        <v>78</v>
      </c>
      <c r="AE3" s="38" t="s">
        <v>79</v>
      </c>
      <c r="AF3" s="5" t="s">
        <v>80</v>
      </c>
      <c r="AG3" s="5" t="s">
        <v>80</v>
      </c>
      <c r="AH3" s="5" t="s">
        <v>81</v>
      </c>
      <c r="AI3" s="5" t="s">
        <v>81</v>
      </c>
      <c r="AJ3" s="5" t="s">
        <v>82</v>
      </c>
      <c r="AK3" s="5" t="s">
        <v>82</v>
      </c>
      <c r="AL3" s="5" t="s">
        <v>83</v>
      </c>
      <c r="AM3" s="5" t="s">
        <v>83</v>
      </c>
      <c r="AN3" s="35"/>
      <c r="AO3" s="35"/>
      <c r="AP3" s="247" t="s">
        <v>84</v>
      </c>
    </row>
    <row r="4" spans="1:49" s="19" customFormat="1" ht="12.75" x14ac:dyDescent="0.15">
      <c r="A4" s="35"/>
      <c r="B4" s="36"/>
      <c r="C4" s="37"/>
      <c r="D4" s="37"/>
      <c r="E4" s="171"/>
      <c r="F4" s="41"/>
      <c r="G4" s="42" t="s">
        <v>85</v>
      </c>
      <c r="H4" s="42" t="s">
        <v>86</v>
      </c>
      <c r="I4" s="42" t="s">
        <v>87</v>
      </c>
      <c r="J4" s="41"/>
      <c r="K4" s="41"/>
      <c r="L4" s="41" t="s">
        <v>88</v>
      </c>
      <c r="M4" s="41" t="s">
        <v>18</v>
      </c>
      <c r="N4" s="56" t="s">
        <v>22</v>
      </c>
      <c r="O4" s="40" t="s">
        <v>89</v>
      </c>
      <c r="P4" s="57" t="s">
        <v>24</v>
      </c>
      <c r="Q4" s="56" t="s">
        <v>16</v>
      </c>
      <c r="R4" s="41" t="s">
        <v>90</v>
      </c>
      <c r="S4" s="41" t="s">
        <v>20</v>
      </c>
      <c r="T4" s="41" t="s">
        <v>21</v>
      </c>
      <c r="U4" s="41" t="s">
        <v>91</v>
      </c>
      <c r="V4" s="56" t="s">
        <v>18</v>
      </c>
      <c r="W4" s="56" t="s">
        <v>18</v>
      </c>
      <c r="X4" s="56" t="s">
        <v>18</v>
      </c>
      <c r="Y4" s="56"/>
      <c r="Z4" s="41"/>
      <c r="AA4" s="41"/>
      <c r="AB4" s="56"/>
      <c r="AC4" s="56"/>
      <c r="AD4" s="56" t="s">
        <v>92</v>
      </c>
      <c r="AE4" s="40" t="s">
        <v>93</v>
      </c>
      <c r="AF4" s="56" t="s">
        <v>78</v>
      </c>
      <c r="AG4" s="56" t="s">
        <v>94</v>
      </c>
      <c r="AH4" s="56" t="s">
        <v>95</v>
      </c>
      <c r="AI4" s="56" t="s">
        <v>94</v>
      </c>
      <c r="AJ4" s="56" t="s">
        <v>95</v>
      </c>
      <c r="AK4" s="56" t="s">
        <v>94</v>
      </c>
      <c r="AL4" s="56" t="s">
        <v>95</v>
      </c>
      <c r="AM4" s="56" t="s">
        <v>94</v>
      </c>
      <c r="AN4" s="35"/>
      <c r="AO4" s="35"/>
      <c r="AP4" s="248"/>
    </row>
    <row r="5" spans="1:49" s="18" customFormat="1" ht="12.75" x14ac:dyDescent="0.2">
      <c r="A5" s="2" t="s">
        <v>32</v>
      </c>
      <c r="B5" s="43" t="str">
        <f>线路!B2</f>
        <v>IP0</v>
      </c>
      <c r="C5" s="44">
        <f>线路!E2</f>
        <v>454571.62109999999</v>
      </c>
      <c r="D5" s="44">
        <f>线路!F2</f>
        <v>3047091.8583999998</v>
      </c>
      <c r="E5" s="172">
        <f>线路!G2</f>
        <v>10</v>
      </c>
      <c r="F5" s="6">
        <f>线路!H2</f>
        <v>0</v>
      </c>
      <c r="G5" s="145">
        <f>线路!L2</f>
        <v>0</v>
      </c>
      <c r="H5" s="145">
        <f>线路!M2</f>
        <v>0</v>
      </c>
      <c r="I5" s="145">
        <f>线路!N2</f>
        <v>0</v>
      </c>
      <c r="J5" s="58">
        <f t="shared" ref="J5:J13" si="0">I5-G5</f>
        <v>0</v>
      </c>
      <c r="K5" s="58">
        <v>0</v>
      </c>
      <c r="L5" s="58">
        <f>IF(AO5=0,断面设计!$C$8,IF(AO5=1,断面设计!$C$33,IF(AO5=2,断面设计!$C$44*2,0)))</f>
        <v>1.5524731620415944</v>
      </c>
      <c r="M5" s="7">
        <f>IF(AO5=0,断面设计!$D$8,0)</f>
        <v>0.24932800284318068</v>
      </c>
      <c r="N5" s="59">
        <f t="shared" ref="N5:N12" si="1">IF(AO5=0,0.015,0.014)</f>
        <v>1.4999999999999999E-2</v>
      </c>
      <c r="O5" s="60">
        <f>IF(AO5=0,断面设计!$I$8,IF(AO5=1,断面设计!$N$33,IF(AO5=2,断面设计!$G$44,断面设计!$I$8)))</f>
        <v>3000</v>
      </c>
      <c r="P5" s="61">
        <f>IF(AO5=0,断面设计!$L$8,IF(AO5=1,断面设计!$S$33,IF(AO5=2,断面设计!$N$44,0)))</f>
        <v>0.41</v>
      </c>
      <c r="Q5" s="59">
        <f>IF(AO5=0,断面设计!$B$8,IF(AO5=1,断面设计!$B$33,IF(AO5=2,断面设计!$B$44,0)))</f>
        <v>0.61035771418674445</v>
      </c>
      <c r="R5" s="58">
        <f>IF(AO5=0,断面设计!$E$8,IF(AO5=1,断面设计!$J$33,IF(AO5=2,断面设计!$D$44,0)))</f>
        <v>0.70474827215761959</v>
      </c>
      <c r="S5" s="58">
        <f>IF(AO5=0,断面设计!$F$8,IF(AO5=1,断面设计!$K$33,IF(AO5=2,断面设计!$D$44/断面设计!$E$44,0)))</f>
        <v>2.130349326053774</v>
      </c>
      <c r="T5" s="58">
        <f t="shared" ref="T5:T17" si="2">R5/S5</f>
        <v>0.33081347905654718</v>
      </c>
      <c r="U5" s="58">
        <f t="shared" ref="U5:U17" si="3">P5/R5</f>
        <v>0.58176801022124669</v>
      </c>
      <c r="V5" s="59">
        <v>0</v>
      </c>
      <c r="W5" s="59"/>
      <c r="X5" s="59">
        <v>0</v>
      </c>
      <c r="Y5" s="59">
        <v>0</v>
      </c>
      <c r="Z5" s="58">
        <v>0</v>
      </c>
      <c r="AA5" s="68"/>
      <c r="AB5" s="56">
        <f t="shared" ref="AB5:AB13" si="4">Q5</f>
        <v>0.61035771418674445</v>
      </c>
      <c r="AC5" s="56">
        <f t="shared" ref="AC5:AC69" si="5">IF(AE5&lt;1,Y5+AA5+V5+X5,Y5+AA5+V5+X5+W5)</f>
        <v>0</v>
      </c>
      <c r="AD5" s="56">
        <v>2425</v>
      </c>
      <c r="AE5" s="60">
        <f>IF(AO5=0,0,IF(AO5=2,IF(AN5=1,20,IF(AN5=0,0,25)),IF(AN5=1,15,IF(AN5=0,0,IF(AO5=3,20,20)))))</f>
        <v>0</v>
      </c>
      <c r="AF5" s="56" t="str">
        <f t="shared" ref="AF5:AF13" si="6">IF(AE5=0," ",IF(AN5=1,AD5+W5,AD5))</f>
        <v xml:space="preserve"> </v>
      </c>
      <c r="AG5" s="56" t="str">
        <f>IF(AE5=0," ",AF5-断面设计!$B$8)</f>
        <v xml:space="preserve"> </v>
      </c>
      <c r="AH5" s="56" t="str">
        <f t="shared" ref="AH5:AH6" si="7">IF(J5&lt;0.01," ",AD5+V5+J5/2/O5+J5/2/1000*Z5)</f>
        <v xml:space="preserve"> </v>
      </c>
      <c r="AI5" s="56" t="str">
        <f t="shared" ref="AI5:AI6" si="8">IF(J5&lt;0.01," ",AH5-AB5)</f>
        <v xml:space="preserve"> </v>
      </c>
      <c r="AJ5" s="56" t="str">
        <f t="shared" ref="AJ5:AJ6" si="9">IF(J5&lt;0.01," ",AD5-J5/2/O5-J5/2/1000*Z5)</f>
        <v xml:space="preserve"> </v>
      </c>
      <c r="AK5" s="56" t="str">
        <f t="shared" ref="AK5:AK6" si="10">IF(J5&lt;0.01," ",AJ5-AB5)</f>
        <v xml:space="preserve"> </v>
      </c>
      <c r="AL5" s="56">
        <v>2425</v>
      </c>
      <c r="AM5" s="56">
        <f t="shared" ref="AM5" si="11">IF(AN5=2,IF(AE5=0,AD5-AB5,AD5+W5-AB5),AD5-AB5+V5/2)</f>
        <v>2424.3896422858134</v>
      </c>
      <c r="AN5" s="45"/>
      <c r="AO5" s="45">
        <v>0</v>
      </c>
      <c r="AQ5" s="77"/>
      <c r="AR5" s="78"/>
    </row>
    <row r="6" spans="1:49" s="18" customFormat="1" ht="12.75" x14ac:dyDescent="0.2">
      <c r="A6" s="2"/>
      <c r="B6" s="43" t="str">
        <f>线路!B3</f>
        <v>IP1</v>
      </c>
      <c r="C6" s="44">
        <f>线路!E3</f>
        <v>454567.78100000002</v>
      </c>
      <c r="D6" s="44">
        <f>线路!F3</f>
        <v>3047079.2993000001</v>
      </c>
      <c r="E6" s="172">
        <f>线路!G3</f>
        <v>10</v>
      </c>
      <c r="F6" s="6">
        <f>线路!H3</f>
        <v>28.047999999999998</v>
      </c>
      <c r="G6" s="145">
        <f>线路!L3</f>
        <v>10.635333971694568</v>
      </c>
      <c r="H6" s="145">
        <f>线路!M3</f>
        <v>13.082983714691416</v>
      </c>
      <c r="I6" s="145">
        <f>线路!N3</f>
        <v>15.530633457688262</v>
      </c>
      <c r="J6" s="58">
        <f t="shared" si="0"/>
        <v>4.8952994859936947</v>
      </c>
      <c r="K6" s="58">
        <f>H6-H5</f>
        <v>13.082983714691416</v>
      </c>
      <c r="L6" s="58">
        <f>IF(AO6=0,断面设计!$C$8,IF(AO6=1,断面设计!$C$33,IF(AO6=2,断面设计!$C$44*2,0)))</f>
        <v>1.5524731620415944</v>
      </c>
      <c r="M6" s="7">
        <f>IF(AO6=0,断面设计!$D$8,0)</f>
        <v>0.24932800284318068</v>
      </c>
      <c r="N6" s="59">
        <f t="shared" si="1"/>
        <v>1.4999999999999999E-2</v>
      </c>
      <c r="O6" s="60">
        <f>IF(AO6=0,断面设计!$I$8,IF(AO6=1,断面设计!$N$33,IF(AO6=2,断面设计!$G$44,断面设计!$I$8)))</f>
        <v>3000</v>
      </c>
      <c r="P6" s="61">
        <f>IF(AO6=0,断面设计!$L$8,IF(AO6=1,断面设计!$S$33,IF(AO6=2,断面设计!$N$44,0)))</f>
        <v>0.41</v>
      </c>
      <c r="Q6" s="59">
        <f>IF(AO6=0,断面设计!$B$8,IF(AO6=1,断面设计!$B$33,IF(AO6=2,断面设计!$B$44,0)))</f>
        <v>0.61035771418674445</v>
      </c>
      <c r="R6" s="58">
        <f>IF(AO6=0,断面设计!$E$8,IF(AO6=1,断面设计!$J$33,IF(AO6=2,断面设计!$D$44,0)))</f>
        <v>0.70474827215761959</v>
      </c>
      <c r="S6" s="58">
        <f>IF(AO6=0,断面设计!$F$8,IF(AO6=1,断面设计!$K$33,IF(AO6=2,断面设计!$D$44/断面设计!$E$44,0)))</f>
        <v>2.130349326053774</v>
      </c>
      <c r="T6" s="58">
        <f t="shared" si="2"/>
        <v>0.33081347905654718</v>
      </c>
      <c r="U6" s="58">
        <f t="shared" si="3"/>
        <v>0.58176801022124669</v>
      </c>
      <c r="V6" s="59">
        <f t="shared" ref="V6:V17" si="12">(I6-G6)*N6^2/T6^(4/3)*U6^2*3/4*((L6+Q6*M6*2*1.3)/E6)^0.5</f>
        <v>5.3937207666451706E-4</v>
      </c>
      <c r="W6" s="59"/>
      <c r="X6" s="59">
        <f>IF(AN6=0,IF(AN5=2,(H6-H5-AE5)/O6,(H6-H5)/O6),IF(AN6=1,IF(AN5=2,IF(AE6&lt;9,(H6-H5-AE6-AE5)/[1]断面设计!$I$8,(H6-H5-AE6-AE5)/[1]断面设计!$I$8),(H6-H5-AE6)/O5),(H6-H5)/O6))</f>
        <v>4.3609945715638049E-3</v>
      </c>
      <c r="Y6" s="59">
        <f t="shared" ref="Y6" si="13">$Y$5</f>
        <v>0</v>
      </c>
      <c r="Z6" s="58">
        <f t="shared" ref="Z6" si="14">Z5</f>
        <v>0</v>
      </c>
      <c r="AA6" s="68"/>
      <c r="AB6" s="56">
        <f t="shared" si="4"/>
        <v>0.61035771418674445</v>
      </c>
      <c r="AC6" s="56">
        <f t="shared" si="5"/>
        <v>4.9003666482283223E-3</v>
      </c>
      <c r="AD6" s="56">
        <f t="shared" ref="AD6" si="15">AD5-AC6</f>
        <v>2424.9950996333519</v>
      </c>
      <c r="AE6" s="60">
        <f t="shared" ref="AE6" si="16">IF(AO6=0,0,IF(AO6=2,IF(AN6=1,20,IF(AN6=0,0,25)),IF(AN6=1,15,IF(AN6=0,0,IF(AO6=3,20,20)))))</f>
        <v>0</v>
      </c>
      <c r="AF6" s="56" t="str">
        <f t="shared" si="6"/>
        <v xml:space="preserve"> </v>
      </c>
      <c r="AG6" s="56" t="str">
        <f>IF(AE6=0," ",AF6-[1]断面设计!$B$8)</f>
        <v xml:space="preserve"> </v>
      </c>
      <c r="AH6" s="56">
        <f t="shared" si="7"/>
        <v>2424.996454888676</v>
      </c>
      <c r="AI6" s="56">
        <f t="shared" si="8"/>
        <v>2424.3860971744894</v>
      </c>
      <c r="AJ6" s="56">
        <f t="shared" si="9"/>
        <v>2424.9942837501044</v>
      </c>
      <c r="AK6" s="56">
        <f t="shared" si="10"/>
        <v>2424.3839260359177</v>
      </c>
      <c r="AL6" s="56">
        <f t="shared" ref="AL6" si="17">AM6+AB6</f>
        <v>2424.9953693193902</v>
      </c>
      <c r="AM6" s="56">
        <f t="shared" ref="AM6" si="18">IF(AN6=2,IF(AE6=0,AD6-AB6,AD6+W6-AB6),AD6-AB6+V6/2)</f>
        <v>2424.3850116052035</v>
      </c>
      <c r="AN6" s="45"/>
      <c r="AO6" s="45">
        <v>0</v>
      </c>
      <c r="AP6" s="76"/>
      <c r="AQ6" s="77"/>
      <c r="AR6" s="78"/>
    </row>
    <row r="7" spans="1:49" s="18" customFormat="1" ht="12.75" x14ac:dyDescent="0.2">
      <c r="A7" s="45"/>
      <c r="B7" s="43" t="str">
        <f>线路!B4</f>
        <v>IP2</v>
      </c>
      <c r="C7" s="44">
        <f>线路!E4</f>
        <v>454574.0588</v>
      </c>
      <c r="D7" s="44">
        <f>线路!F4</f>
        <v>3047047.1425999999</v>
      </c>
      <c r="E7" s="172">
        <f>线路!G4</f>
        <v>10</v>
      </c>
      <c r="F7" s="6">
        <f>线路!H4</f>
        <v>17.306000000000001</v>
      </c>
      <c r="G7" s="145">
        <f>线路!L4</f>
        <v>44.274845242587652</v>
      </c>
      <c r="H7" s="145">
        <f>线路!M4</f>
        <v>45.785078644338348</v>
      </c>
      <c r="I7" s="145">
        <f>线路!N4</f>
        <v>47.295312046089037</v>
      </c>
      <c r="J7" s="58">
        <f t="shared" si="0"/>
        <v>3.0204668035013853</v>
      </c>
      <c r="K7" s="58">
        <f t="shared" ref="K7:K13" si="19">H7-H6</f>
        <v>32.702094929646933</v>
      </c>
      <c r="L7" s="58">
        <f>IF(AO7=0,断面设计!$C$8,IF(AO7=1,断面设计!$C$33,IF(AO7=2,断面设计!$C$44*2,0)))</f>
        <v>1.5524731620415944</v>
      </c>
      <c r="M7" s="7">
        <f>IF(AO7=0,断面设计!$D$8,0)</f>
        <v>0.24932800284318068</v>
      </c>
      <c r="N7" s="59">
        <f t="shared" si="1"/>
        <v>1.4999999999999999E-2</v>
      </c>
      <c r="O7" s="60">
        <f>IF(AO7=0,断面设计!$I$8,IF(AO7=1,断面设计!$N$33,IF(AO7=2,断面设计!$G$44,断面设计!$I$8)))</f>
        <v>3000</v>
      </c>
      <c r="P7" s="61">
        <f>IF(AO7=0,断面设计!$L$8,IF(AO7=1,断面设计!$S$33,IF(AO7=2,断面设计!$N$44,0)))</f>
        <v>0.41</v>
      </c>
      <c r="Q7" s="59">
        <f>IF(AO7=0,断面设计!$B$8,IF(AO7=1,断面设计!$B$33,IF(AO7=2,断面设计!$B$44,0)))</f>
        <v>0.61035771418674445</v>
      </c>
      <c r="R7" s="58">
        <f>IF(AO7=0,断面设计!$E$8,IF(AO7=1,断面设计!$J$33,IF(AO7=2,断面设计!$D$44,0)))</f>
        <v>0.70474827215761959</v>
      </c>
      <c r="S7" s="58">
        <f>IF(AO7=0,断面设计!$F$8,IF(AO7=1,断面设计!$K$33,IF(AO7=2,断面设计!$D$44/断面设计!$E$44,0)))</f>
        <v>2.130349326053774</v>
      </c>
      <c r="T7" s="58">
        <f t="shared" si="2"/>
        <v>0.33081347905654718</v>
      </c>
      <c r="U7" s="58">
        <f t="shared" si="3"/>
        <v>0.58176801022124669</v>
      </c>
      <c r="V7" s="59">
        <f t="shared" si="12"/>
        <v>3.3279995574572621E-4</v>
      </c>
      <c r="W7" s="59"/>
      <c r="X7" s="59">
        <f>IF(AN7=0,IF(AN6=2,(H7-H6-AE6)/O7,(H7-H6)/O7),IF(AN7=1,IF(AN6=2,IF(AE7&lt;9,(H7-H6-AE7-AE6)/断面设计!$I$8,(H7-H6-AE7-AE6)/断面设计!$I$8),(H7-H6-AE7)/O6),(H7-H6)/O7))</f>
        <v>1.0900698309882311E-2</v>
      </c>
      <c r="Y7" s="59">
        <f t="shared" ref="Y7:Y28" si="20">$Y$5</f>
        <v>0</v>
      </c>
      <c r="Z7" s="58">
        <f t="shared" ref="Z7:Z28" si="21">Z6</f>
        <v>0</v>
      </c>
      <c r="AA7" s="68"/>
      <c r="AB7" s="56">
        <f t="shared" si="4"/>
        <v>0.61035771418674445</v>
      </c>
      <c r="AC7" s="56">
        <f t="shared" si="5"/>
        <v>1.1233498265628037E-2</v>
      </c>
      <c r="AD7" s="56">
        <f t="shared" ref="AD7:AD13" si="22">AD6-AC7</f>
        <v>2424.9838661350864</v>
      </c>
      <c r="AE7" s="60">
        <f t="shared" ref="AE7:AE8" si="23">IF(AO7=0,0,IF(AO7=2,IF(AN7=1,20,IF(AN7=0,0,25)),IF(AN7=1,15,IF(AN7=0,0,IF(AO7=3,20,20)))))</f>
        <v>0</v>
      </c>
      <c r="AF7" s="56" t="str">
        <f t="shared" si="6"/>
        <v xml:space="preserve"> </v>
      </c>
      <c r="AG7" s="56" t="str">
        <f>IF(AE7=0," ",AF7-断面设计!$B$8)</f>
        <v xml:space="preserve"> </v>
      </c>
      <c r="AH7" s="56">
        <f t="shared" ref="AH7:AH69" si="24">IF(J7&lt;0.01," ",AD7+V7+J7/2/O7+J7/2/1000*Z7)</f>
        <v>2424.9847023461762</v>
      </c>
      <c r="AI7" s="56">
        <f t="shared" ref="AI7:AI69" si="25">IF(J7&lt;0.01," ",AH7-AB7)</f>
        <v>2424.3743446319895</v>
      </c>
      <c r="AJ7" s="56">
        <f t="shared" ref="AJ7:AJ69" si="26">IF(J7&lt;0.01," ",AD7-J7/2/O7-J7/2/1000*Z7)</f>
        <v>2424.9833627239523</v>
      </c>
      <c r="AK7" s="56">
        <f t="shared" ref="AK7:AK69" si="27">IF(J7&lt;0.01," ",AJ7-AB7)</f>
        <v>2424.3730050097656</v>
      </c>
      <c r="AL7" s="56">
        <f t="shared" ref="AL7:AL69" si="28">AM7+AB7</f>
        <v>2424.9840325350642</v>
      </c>
      <c r="AM7" s="56">
        <f t="shared" ref="AM7:AM69" si="29">IF(AN7=2,IF(AE7=0,AD7-AB7,AD7+W7-AB7),AD7-AB7+V7/2)</f>
        <v>2424.3736748208776</v>
      </c>
      <c r="AN7" s="45"/>
      <c r="AO7" s="45">
        <v>0</v>
      </c>
      <c r="AP7" s="76"/>
      <c r="AQ7" s="77"/>
      <c r="AR7" s="78"/>
    </row>
    <row r="8" spans="1:49" s="18" customFormat="1" ht="12.75" x14ac:dyDescent="0.2">
      <c r="A8" s="45"/>
      <c r="B8" s="43" t="str">
        <f>线路!B5</f>
        <v>IP3</v>
      </c>
      <c r="C8" s="44">
        <f>线路!E5</f>
        <v>454565.68150000001</v>
      </c>
      <c r="D8" s="44">
        <f>线路!F5</f>
        <v>3046970.7656</v>
      </c>
      <c r="E8" s="172">
        <f>线路!G5</f>
        <v>10</v>
      </c>
      <c r="F8" s="6">
        <f>线路!H5</f>
        <v>34.000999999999998</v>
      </c>
      <c r="G8" s="145">
        <f>线路!L5</f>
        <v>119.55114129817177</v>
      </c>
      <c r="H8" s="145">
        <f>线路!M5</f>
        <v>122.51828829302472</v>
      </c>
      <c r="I8" s="145">
        <f>线路!N5</f>
        <v>125.48543528787769</v>
      </c>
      <c r="J8" s="58">
        <f t="shared" si="0"/>
        <v>5.934293989705921</v>
      </c>
      <c r="K8" s="58">
        <f t="shared" si="19"/>
        <v>76.733209648686369</v>
      </c>
      <c r="L8" s="58">
        <f>IF(AO8=0,断面设计!$C$8,IF(AO8=1,断面设计!$C$33,IF(AO8=2,断面设计!$C$44*2,0)))</f>
        <v>1.5524731620415944</v>
      </c>
      <c r="M8" s="7">
        <f>IF(AO8=0,断面设计!$D$8,0)</f>
        <v>0.24932800284318068</v>
      </c>
      <c r="N8" s="59">
        <f t="shared" si="1"/>
        <v>1.4999999999999999E-2</v>
      </c>
      <c r="O8" s="60">
        <f>IF(AO8=0,断面设计!$I$8,IF(AO8=1,断面设计!$N$33,IF(AO8=2,断面设计!$G$44,断面设计!$I$8)))</f>
        <v>3000</v>
      </c>
      <c r="P8" s="61">
        <f>IF(AO8=0,断面设计!$L$8,IF(AO8=1,断面设计!$S$33,IF(AO8=2,断面设计!$N$44,0)))</f>
        <v>0.41</v>
      </c>
      <c r="Q8" s="59">
        <f>IF(AO8=0,断面设计!$B$8,IF(AO8=1,断面设计!$B$33,IF(AO8=2,断面设计!$B$44,0)))</f>
        <v>0.61035771418674445</v>
      </c>
      <c r="R8" s="58">
        <f>IF(AO8=0,断面设计!$E$8,IF(AO8=1,断面设计!$J$33,IF(AO8=2,断面设计!$D$44,0)))</f>
        <v>0.70474827215761959</v>
      </c>
      <c r="S8" s="58">
        <f>IF(AO8=0,断面设计!$F$8,IF(AO8=1,断面设计!$K$33,IF(AO8=2,断面设计!$D$44/断面设计!$E$44,0)))</f>
        <v>2.130349326053774</v>
      </c>
      <c r="T8" s="58">
        <f t="shared" si="2"/>
        <v>0.33081347905654718</v>
      </c>
      <c r="U8" s="58">
        <f t="shared" si="3"/>
        <v>0.58176801022124669</v>
      </c>
      <c r="V8" s="59">
        <f t="shared" si="12"/>
        <v>6.5385018463599007E-4</v>
      </c>
      <c r="W8" s="59"/>
      <c r="X8" s="59">
        <f>IF(AN8=0,IF(AN7=2,(H8-H7-AE7)/O8,(H8-H7)/O8),IF(AN8=1,IF(AN7=2,IF(AE8&lt;9,(H8-H7-AE8-AE7)/断面设计!$I$8,(H8-H7-AE8-AE7)/断面设计!$I$8),(H8-H7-AE8)/O7),(H8-H7)/O8))</f>
        <v>2.5577736549562122E-2</v>
      </c>
      <c r="Y8" s="59">
        <f t="shared" si="20"/>
        <v>0</v>
      </c>
      <c r="Z8" s="58">
        <f t="shared" si="21"/>
        <v>0</v>
      </c>
      <c r="AA8" s="68"/>
      <c r="AB8" s="56">
        <f t="shared" si="4"/>
        <v>0.61035771418674445</v>
      </c>
      <c r="AC8" s="56">
        <f t="shared" si="5"/>
        <v>2.6231586734198113E-2</v>
      </c>
      <c r="AD8" s="56">
        <f t="shared" si="22"/>
        <v>2424.957634548352</v>
      </c>
      <c r="AE8" s="60">
        <f t="shared" si="23"/>
        <v>0</v>
      </c>
      <c r="AF8" s="56" t="str">
        <f t="shared" si="6"/>
        <v xml:space="preserve"> </v>
      </c>
      <c r="AG8" s="56" t="str">
        <f>IF(AE8=0," ",AF8-断面设计!$B$8)</f>
        <v xml:space="preserve"> </v>
      </c>
      <c r="AH8" s="56">
        <f t="shared" si="24"/>
        <v>2424.959277447535</v>
      </c>
      <c r="AI8" s="56">
        <f t="shared" si="25"/>
        <v>2424.3489197333483</v>
      </c>
      <c r="AJ8" s="56">
        <f t="shared" si="26"/>
        <v>2424.9566454993537</v>
      </c>
      <c r="AK8" s="56">
        <f t="shared" si="27"/>
        <v>2424.3462877851671</v>
      </c>
      <c r="AL8" s="56">
        <f t="shared" si="28"/>
        <v>2424.9579614734444</v>
      </c>
      <c r="AM8" s="56">
        <f t="shared" si="29"/>
        <v>2424.3476037592577</v>
      </c>
      <c r="AN8" s="45"/>
      <c r="AO8" s="45">
        <v>0</v>
      </c>
      <c r="AP8" s="76"/>
      <c r="AQ8" s="77"/>
      <c r="AR8" s="78"/>
    </row>
    <row r="9" spans="1:49" s="18" customFormat="1" ht="12.75" x14ac:dyDescent="0.2">
      <c r="A9" s="45"/>
      <c r="B9" s="43" t="str">
        <f>线路!B6</f>
        <v>IP4</v>
      </c>
      <c r="C9" s="44">
        <f>线路!E6</f>
        <v>454635.95539999998</v>
      </c>
      <c r="D9" s="44">
        <f>线路!F6</f>
        <v>3046837.148</v>
      </c>
      <c r="E9" s="172">
        <f>线路!G6</f>
        <v>10</v>
      </c>
      <c r="F9" s="6">
        <f>线路!H6</f>
        <v>65.007000000000005</v>
      </c>
      <c r="G9" s="145">
        <f>线路!L6</f>
        <v>267.0269457213397</v>
      </c>
      <c r="H9" s="145">
        <f>线路!M6</f>
        <v>272.69987665555948</v>
      </c>
      <c r="I9" s="145">
        <f>线路!N6</f>
        <v>278.37280758977926</v>
      </c>
      <c r="J9" s="58">
        <f t="shared" si="0"/>
        <v>11.345861868439556</v>
      </c>
      <c r="K9" s="58">
        <f t="shared" si="19"/>
        <v>150.18158836253474</v>
      </c>
      <c r="L9" s="58">
        <f>IF(AO9=0,断面设计!$C$8,IF(AO9=1,断面设计!$C$33,IF(AO9=2,断面设计!$C$44*2,0)))</f>
        <v>1.5524731620415944</v>
      </c>
      <c r="M9" s="7">
        <f>IF(AO9=0,断面设计!$D$8,0)</f>
        <v>0.24932800284318068</v>
      </c>
      <c r="N9" s="59">
        <f t="shared" si="1"/>
        <v>1.4999999999999999E-2</v>
      </c>
      <c r="O9" s="60">
        <f>IF(AO9=0,断面设计!$I$8,IF(AO9=1,断面设计!$N$33,IF(AO9=2,断面设计!$G$44,断面设计!$I$8)))</f>
        <v>3000</v>
      </c>
      <c r="P9" s="61">
        <f>IF(AO9=0,断面设计!$L$8,IF(AO9=1,断面设计!$S$33,IF(AO9=2,断面设计!$N$44,0)))</f>
        <v>0.41</v>
      </c>
      <c r="Q9" s="59">
        <f>IF(AO9=0,断面设计!$B$8,IF(AO9=1,断面设计!$B$33,IF(AO9=2,断面设计!$B$44,0)))</f>
        <v>0.61035771418674445</v>
      </c>
      <c r="R9" s="58">
        <f>IF(AO9=0,断面设计!$E$8,IF(AO9=1,断面设计!$J$33,IF(AO9=2,断面设计!$D$44,0)))</f>
        <v>0.70474827215761959</v>
      </c>
      <c r="S9" s="58">
        <f>IF(AO9=0,断面设计!$F$8,IF(AO9=1,断面设计!$K$33,IF(AO9=2,断面设计!$D$44/断面设计!$E$44,0)))</f>
        <v>2.130349326053774</v>
      </c>
      <c r="T9" s="58">
        <f t="shared" si="2"/>
        <v>0.33081347905654718</v>
      </c>
      <c r="U9" s="58">
        <f t="shared" si="3"/>
        <v>0.58176801022124669</v>
      </c>
      <c r="V9" s="59">
        <f t="shared" si="12"/>
        <v>1.2501055543258101E-3</v>
      </c>
      <c r="W9" s="59"/>
      <c r="X9" s="59">
        <f>IF(AN9=0,IF(AN8=2,(H9-H8-AE8)/O9,(H9-H8)/O9),IF(AN9=1,IF(AN8=2,IF(AE9&lt;9,(H9-H8-AE9-AE8)/断面设计!$I$8,(H9-H8-AE9-AE8)/断面设计!$I$8),(H9-H8-AE9)/O8),(H9-H8)/O9))</f>
        <v>5.006052945417825E-2</v>
      </c>
      <c r="Y9" s="59">
        <f t="shared" si="20"/>
        <v>0</v>
      </c>
      <c r="Z9" s="58">
        <f t="shared" si="21"/>
        <v>0</v>
      </c>
      <c r="AA9" s="68"/>
      <c r="AB9" s="56">
        <f t="shared" si="4"/>
        <v>0.61035771418674445</v>
      </c>
      <c r="AC9" s="56">
        <f t="shared" si="5"/>
        <v>5.1310635008504059E-2</v>
      </c>
      <c r="AD9" s="56">
        <f t="shared" si="22"/>
        <v>2424.9063239133434</v>
      </c>
      <c r="AE9" s="60">
        <f>IF(AO9=0,0,IF(AO9=2,IF(AN9=1,20,IF(AN9=0,0,25)),IF(AN9=1,15,IF(AN9=0,0,IF(AO9=3,20,20)))))</f>
        <v>0</v>
      </c>
      <c r="AF9" s="56" t="str">
        <f t="shared" si="6"/>
        <v xml:space="preserve"> </v>
      </c>
      <c r="AG9" s="56" t="str">
        <f>IF(AE9=0," ",AF9-断面设计!$B$8)</f>
        <v xml:space="preserve"> </v>
      </c>
      <c r="AH9" s="56">
        <f t="shared" si="24"/>
        <v>2424.9094649958756</v>
      </c>
      <c r="AI9" s="56">
        <f t="shared" si="25"/>
        <v>2424.299107281689</v>
      </c>
      <c r="AJ9" s="56">
        <f t="shared" si="26"/>
        <v>2424.9044329363655</v>
      </c>
      <c r="AK9" s="56">
        <f t="shared" si="27"/>
        <v>2424.2940752221789</v>
      </c>
      <c r="AL9" s="56">
        <f t="shared" si="28"/>
        <v>2424.9069489661206</v>
      </c>
      <c r="AM9" s="56">
        <f t="shared" si="29"/>
        <v>2424.2965912519339</v>
      </c>
      <c r="AN9" s="45"/>
      <c r="AO9" s="45">
        <v>0</v>
      </c>
      <c r="AP9" s="76"/>
      <c r="AQ9" s="77"/>
      <c r="AR9" s="78"/>
    </row>
    <row r="10" spans="1:49" s="18" customFormat="1" ht="12.75" x14ac:dyDescent="0.2">
      <c r="A10" s="45"/>
      <c r="B10" s="43" t="str">
        <f>线路!B7</f>
        <v>IP5</v>
      </c>
      <c r="C10" s="44">
        <f>线路!E7</f>
        <v>454682.10649999999</v>
      </c>
      <c r="D10" s="44">
        <f>线路!F7</f>
        <v>3046839.3637999999</v>
      </c>
      <c r="E10" s="172">
        <f>线路!G7</f>
        <v>10</v>
      </c>
      <c r="F10" s="6">
        <f>线路!H7</f>
        <v>94.441999999999993</v>
      </c>
      <c r="G10" s="145">
        <f>线路!L7</f>
        <v>307.39854757643349</v>
      </c>
      <c r="H10" s="145">
        <f>线路!M7</f>
        <v>315.6401668372759</v>
      </c>
      <c r="I10" s="145">
        <f>线路!N7</f>
        <v>323.88178609811831</v>
      </c>
      <c r="J10" s="58">
        <f t="shared" si="0"/>
        <v>16.483238521684825</v>
      </c>
      <c r="K10" s="58">
        <f t="shared" si="19"/>
        <v>42.940290181716421</v>
      </c>
      <c r="L10" s="58">
        <f>IF(AO10=0,断面设计!$C$8,IF(AO10=1,断面设计!$C$33,IF(AO10=2,断面设计!$C$44*2,0)))</f>
        <v>1.5524731620415944</v>
      </c>
      <c r="M10" s="7">
        <f>IF(AO10=0,断面设计!$D$8,0)</f>
        <v>0.24932800284318068</v>
      </c>
      <c r="N10" s="59">
        <f t="shared" si="1"/>
        <v>1.4999999999999999E-2</v>
      </c>
      <c r="O10" s="60">
        <f>IF(AO10=0,断面设计!$I$8,IF(AO10=1,断面设计!$N$33,IF(AO10=2,断面设计!$G$44,断面设计!$I$8)))</f>
        <v>3000</v>
      </c>
      <c r="P10" s="61">
        <f>IF(AO10=0,断面设计!$L$8,IF(AO10=1,断面设计!$S$33,IF(AO10=2,断面设计!$N$44,0)))</f>
        <v>0.41</v>
      </c>
      <c r="Q10" s="59">
        <f>IF(AO10=0,断面设计!$B$8,IF(AO10=1,断面设计!$B$33,IF(AO10=2,断面设计!$B$44,0)))</f>
        <v>0.61035771418674445</v>
      </c>
      <c r="R10" s="58">
        <f>IF(AO10=0,断面设计!$E$8,IF(AO10=1,断面设计!$J$33,IF(AO10=2,断面设计!$D$44,0)))</f>
        <v>0.70474827215761959</v>
      </c>
      <c r="S10" s="58">
        <f>IF(AO10=0,断面设计!$F$8,IF(AO10=1,断面设计!$K$33,IF(AO10=2,断面设计!$D$44/断面设计!$E$44,0)))</f>
        <v>2.130349326053774</v>
      </c>
      <c r="T10" s="58">
        <f t="shared" si="2"/>
        <v>0.33081347905654718</v>
      </c>
      <c r="U10" s="58">
        <f t="shared" si="3"/>
        <v>0.58176801022124669</v>
      </c>
      <c r="V10" s="59">
        <f t="shared" si="12"/>
        <v>1.8161500878618887E-3</v>
      </c>
      <c r="W10" s="59"/>
      <c r="X10" s="59">
        <f>IF(AN10=0,IF(AN9=2,(H10-H9-AE9)/O10,(H10-H9)/O10),IF(AN10=1,IF(AN9=2,IF(AE10&lt;9,(H10-H9-AE10-AE9)/断面设计!$I$8,(H10-H9-AE10-AE9)/断面设计!$I$8),(H10-H9-AE10)/O9),(H10-H9)/O10))</f>
        <v>1.431343006057214E-2</v>
      </c>
      <c r="Y10" s="59">
        <f t="shared" si="20"/>
        <v>0</v>
      </c>
      <c r="Z10" s="58">
        <f t="shared" si="21"/>
        <v>0</v>
      </c>
      <c r="AA10" s="68"/>
      <c r="AB10" s="56">
        <f t="shared" si="4"/>
        <v>0.61035771418674445</v>
      </c>
      <c r="AC10" s="56">
        <f t="shared" si="5"/>
        <v>1.6129580148434026E-2</v>
      </c>
      <c r="AD10" s="56">
        <f t="shared" si="22"/>
        <v>2424.8901943331948</v>
      </c>
      <c r="AE10" s="60">
        <f>IF(AO10=0,0,IF(AO10=2,IF(AN10=1,20,IF(AN10=0,0,25)),IF(AN10=1,15,IF(AN10=0,0,IF(AO10=3,20,20)))))</f>
        <v>0</v>
      </c>
      <c r="AF10" s="56" t="str">
        <f t="shared" si="6"/>
        <v xml:space="preserve"> </v>
      </c>
      <c r="AG10" s="56" t="str">
        <f>IF(AE10=0," ",AF10-断面设计!$B$8)</f>
        <v xml:space="preserve"> </v>
      </c>
      <c r="AH10" s="56">
        <f t="shared" si="24"/>
        <v>2424.8947576897031</v>
      </c>
      <c r="AI10" s="56">
        <f t="shared" si="25"/>
        <v>2424.2843999755164</v>
      </c>
      <c r="AJ10" s="56">
        <f t="shared" si="26"/>
        <v>2424.8874471267745</v>
      </c>
      <c r="AK10" s="56">
        <f t="shared" si="27"/>
        <v>2424.2770894125879</v>
      </c>
      <c r="AL10" s="56">
        <f t="shared" si="28"/>
        <v>2424.8911024082386</v>
      </c>
      <c r="AM10" s="56">
        <f t="shared" si="29"/>
        <v>2424.2807446940519</v>
      </c>
      <c r="AN10" s="45"/>
      <c r="AO10" s="45">
        <v>0</v>
      </c>
      <c r="AP10" s="76"/>
      <c r="AQ10" s="77"/>
      <c r="AR10" s="78"/>
    </row>
    <row r="11" spans="1:49" s="18" customFormat="1" ht="13.5" x14ac:dyDescent="0.2">
      <c r="A11" s="45"/>
      <c r="B11" s="43" t="str">
        <f>线路!B8</f>
        <v>IP6</v>
      </c>
      <c r="C11" s="44">
        <f>线路!E8</f>
        <v>454680.82520000002</v>
      </c>
      <c r="D11" s="44">
        <f>线路!F8</f>
        <v>3046796.0151</v>
      </c>
      <c r="E11" s="172">
        <f>线路!G8</f>
        <v>10</v>
      </c>
      <c r="F11" s="6">
        <f>线路!H8</f>
        <v>81.003</v>
      </c>
      <c r="G11" s="145">
        <f>线路!L8</f>
        <v>347.90119834975656</v>
      </c>
      <c r="H11" s="145">
        <f>线路!M8</f>
        <v>354.97004361972137</v>
      </c>
      <c r="I11" s="145">
        <f>线路!N8</f>
        <v>362.03888888968623</v>
      </c>
      <c r="J11" s="58">
        <f t="shared" si="0"/>
        <v>14.137690539929679</v>
      </c>
      <c r="K11" s="58">
        <f t="shared" si="19"/>
        <v>39.329876782445467</v>
      </c>
      <c r="L11" s="58">
        <f>IF(AO11=0,断面设计!$C$8,IF(AO11=1,断面设计!$C$33,IF(AO11=2,断面设计!$C$44*2,0)))</f>
        <v>1.5524731620415944</v>
      </c>
      <c r="M11" s="7">
        <f>IF(AO11=0,断面设计!$D$8,0)</f>
        <v>0.24932800284318068</v>
      </c>
      <c r="N11" s="59">
        <f t="shared" si="1"/>
        <v>1.4999999999999999E-2</v>
      </c>
      <c r="O11" s="60">
        <f>IF(AO11=0,断面设计!$I$8,IF(AO11=1,断面设计!$N$33,IF(AO11=2,断面设计!$G$44,断面设计!$I$8)))</f>
        <v>3000</v>
      </c>
      <c r="P11" s="61">
        <f>IF(AO11=0,断面设计!$L$8,IF(AO11=1,断面设计!$S$33,IF(AO11=2,断面设计!$N$44,0)))</f>
        <v>0.41</v>
      </c>
      <c r="Q11" s="59">
        <f>IF(AO11=0,断面设计!$B$8,IF(AO11=1,断面设计!$B$33,IF(AO11=2,断面设计!$B$44,0)))</f>
        <v>0.61035771418674445</v>
      </c>
      <c r="R11" s="58">
        <f>IF(AO11=0,断面设计!$E$8,IF(AO11=1,断面设计!$J$33,IF(AO11=2,断面设计!$D$44,0)))</f>
        <v>0.70474827215761959</v>
      </c>
      <c r="S11" s="58">
        <f>IF(AO11=0,断面设计!$F$8,IF(AO11=1,断面设计!$K$33,IF(AO11=2,断面设计!$D$44/断面设计!$E$44,0)))</f>
        <v>2.130349326053774</v>
      </c>
      <c r="T11" s="58">
        <f t="shared" si="2"/>
        <v>0.33081347905654718</v>
      </c>
      <c r="U11" s="58">
        <f t="shared" si="3"/>
        <v>0.58176801022124669</v>
      </c>
      <c r="V11" s="59">
        <f t="shared" si="12"/>
        <v>1.5577137880082683E-3</v>
      </c>
      <c r="W11" s="59"/>
      <c r="X11" s="59">
        <f>IF(AN11=0,IF(AN10=2,(H11-H10-AE10)/O11,(H11-H10)/O11),IF(AN11=1,IF(AN10=2,IF(AE11&lt;9,(H11-H10-AE11-AE10)/断面设计!$I$8,(H11-H10-AE11-AE10)/断面设计!$I$8),(H11-H10-AE11)/O10),(H11-H10)/O11))</f>
        <v>1.3109958927481822E-2</v>
      </c>
      <c r="Y11" s="59">
        <f t="shared" si="20"/>
        <v>0</v>
      </c>
      <c r="Z11" s="58">
        <f t="shared" si="21"/>
        <v>0</v>
      </c>
      <c r="AA11" s="68"/>
      <c r="AB11" s="56">
        <f t="shared" si="4"/>
        <v>0.61035771418674445</v>
      </c>
      <c r="AC11" s="56">
        <f t="shared" si="5"/>
        <v>1.466767271549009E-2</v>
      </c>
      <c r="AD11" s="56">
        <f t="shared" si="22"/>
        <v>2424.8755266604794</v>
      </c>
      <c r="AE11" s="60">
        <v>0</v>
      </c>
      <c r="AF11" s="56" t="str">
        <f t="shared" si="6"/>
        <v xml:space="preserve"> </v>
      </c>
      <c r="AG11" s="56" t="str">
        <f>IF(AE11=0," ",AF11-断面设计!$B$8)</f>
        <v xml:space="preserve"> </v>
      </c>
      <c r="AH11" s="56">
        <f t="shared" si="24"/>
        <v>2424.8794406560241</v>
      </c>
      <c r="AI11" s="56">
        <f t="shared" si="25"/>
        <v>2424.2690829418375</v>
      </c>
      <c r="AJ11" s="56">
        <f t="shared" si="26"/>
        <v>2424.8731703787225</v>
      </c>
      <c r="AK11" s="56">
        <f t="shared" si="27"/>
        <v>2424.2628126645359</v>
      </c>
      <c r="AL11" s="56">
        <f t="shared" si="28"/>
        <v>2424.8763055173736</v>
      </c>
      <c r="AM11" s="56">
        <f t="shared" si="29"/>
        <v>2424.2659478031869</v>
      </c>
      <c r="AN11" s="45"/>
      <c r="AO11" s="45">
        <v>0</v>
      </c>
      <c r="AP11" s="76"/>
      <c r="AQ11" s="77"/>
      <c r="AR11" s="78"/>
      <c r="AS11" s="20"/>
      <c r="AT11" s="20"/>
      <c r="AU11" s="20"/>
      <c r="AV11" s="20"/>
      <c r="AW11" s="20"/>
    </row>
    <row r="12" spans="1:49" s="18" customFormat="1" ht="12.75" x14ac:dyDescent="0.2">
      <c r="A12" s="45"/>
      <c r="B12" s="43" t="str">
        <f>线路!B9</f>
        <v>IP7</v>
      </c>
      <c r="C12" s="44">
        <f>线路!E9</f>
        <v>454719.5442</v>
      </c>
      <c r="D12" s="44">
        <f>线路!F9</f>
        <v>3046788.7061000001</v>
      </c>
      <c r="E12" s="172">
        <f>线路!G9</f>
        <v>10</v>
      </c>
      <c r="F12" s="6">
        <f>线路!H9</f>
        <v>29.306999999999999</v>
      </c>
      <c r="G12" s="145">
        <f>线路!L9</f>
        <v>390.28567363753865</v>
      </c>
      <c r="H12" s="145">
        <f>线路!M9</f>
        <v>392.84319185694852</v>
      </c>
      <c r="I12" s="145">
        <f>线路!N9</f>
        <v>395.40071007635845</v>
      </c>
      <c r="J12" s="58">
        <f t="shared" si="0"/>
        <v>5.1150364388198</v>
      </c>
      <c r="K12" s="58">
        <f t="shared" si="19"/>
        <v>37.873148237227156</v>
      </c>
      <c r="L12" s="58">
        <f>IF(AO12=0,断面设计!$C$8,IF(AO12=1,断面设计!$C$33,IF(AO12=2,断面设计!$C$44*2,0)))</f>
        <v>1.5524731620415944</v>
      </c>
      <c r="M12" s="7">
        <f>IF(AO12=0,断面设计!$D$8,0)</f>
        <v>0.24932800284318068</v>
      </c>
      <c r="N12" s="59">
        <f t="shared" si="1"/>
        <v>1.4999999999999999E-2</v>
      </c>
      <c r="O12" s="60">
        <f>IF(AO12=0,断面设计!$I$8,IF(AO12=1,断面设计!$N$33,IF(AO12=2,断面设计!$G$44,断面设计!$I$8)))</f>
        <v>3000</v>
      </c>
      <c r="P12" s="61">
        <f>IF(AO12=0,断面设计!$L$8,IF(AO12=1,断面设计!$S$33,IF(AO12=2,断面设计!$N$44,0)))</f>
        <v>0.41</v>
      </c>
      <c r="Q12" s="59">
        <f>IF(AO12=0,断面设计!$B$8,IF(AO12=1,断面设计!$B$33,IF(AO12=2,断面设计!$B$44,0)))</f>
        <v>0.61035771418674445</v>
      </c>
      <c r="R12" s="58">
        <f>IF(AO12=0,断面设计!$E$8,IF(AO12=1,断面设计!$J$33,IF(AO12=2,断面设计!$D$44,0)))</f>
        <v>0.70474827215761959</v>
      </c>
      <c r="S12" s="58">
        <f>IF(AO12=0,断面设计!$F$8,IF(AO12=1,断面设计!$K$33,IF(AO12=2,断面设计!$D$44/断面设计!$E$44,0)))</f>
        <v>2.130349326053774</v>
      </c>
      <c r="T12" s="58">
        <f t="shared" si="2"/>
        <v>0.33081347905654718</v>
      </c>
      <c r="U12" s="58">
        <f t="shared" si="3"/>
        <v>0.58176801022124669</v>
      </c>
      <c r="V12" s="59">
        <f t="shared" si="12"/>
        <v>5.635830522963157E-4</v>
      </c>
      <c r="W12" s="59"/>
      <c r="X12" s="59">
        <f>IF(AN12=0,IF(AN11=2,(H12-H11-AE11)/O12,(H12-H11)/O12),IF(AN12=1,IF(AN11=2,IF(AE12&lt;9,(H12-H11-AE12-AE11)/断面设计!$I$8,(H12-H11-AE12-AE11)/断面设计!$I$8),(H12-H11-AE12)/O11),(H12-H11)/O12))</f>
        <v>1.2624382745742384E-2</v>
      </c>
      <c r="Y12" s="59">
        <f t="shared" si="20"/>
        <v>0</v>
      </c>
      <c r="Z12" s="58">
        <f t="shared" si="21"/>
        <v>0</v>
      </c>
      <c r="AA12" s="68"/>
      <c r="AB12" s="56">
        <f t="shared" si="4"/>
        <v>0.61035771418674445</v>
      </c>
      <c r="AC12" s="56">
        <f t="shared" si="5"/>
        <v>1.3187965798038701E-2</v>
      </c>
      <c r="AD12" s="56">
        <f t="shared" si="22"/>
        <v>2424.8623386946815</v>
      </c>
      <c r="AE12" s="60">
        <f>IF(AO12=0,0,IF(AO12=2,IF(AN12=1,20,IF(AN12=0,0,25)),IF(AN12=1,15,IF(AN12=0,0,IF(AO12=3,20,20)))))</f>
        <v>0</v>
      </c>
      <c r="AF12" s="56" t="str">
        <f t="shared" si="6"/>
        <v xml:space="preserve"> </v>
      </c>
      <c r="AG12" s="56" t="str">
        <f>IF(AE12=0," ",AF12-断面设计!$B$8)</f>
        <v xml:space="preserve"> </v>
      </c>
      <c r="AH12" s="56">
        <f t="shared" si="24"/>
        <v>2424.8637547838066</v>
      </c>
      <c r="AI12" s="56">
        <f t="shared" si="25"/>
        <v>2424.25339706962</v>
      </c>
      <c r="AJ12" s="56">
        <f t="shared" si="26"/>
        <v>2424.8614861886085</v>
      </c>
      <c r="AK12" s="56">
        <f t="shared" si="27"/>
        <v>2424.2511284744219</v>
      </c>
      <c r="AL12" s="56">
        <f t="shared" si="28"/>
        <v>2424.8626204862076</v>
      </c>
      <c r="AM12" s="56">
        <f t="shared" si="29"/>
        <v>2424.2522627720209</v>
      </c>
      <c r="AN12" s="45"/>
      <c r="AO12" s="45">
        <v>0</v>
      </c>
      <c r="AP12" s="76"/>
      <c r="AQ12" s="77"/>
      <c r="AR12" s="78"/>
    </row>
    <row r="13" spans="1:49" s="18" customFormat="1" ht="12.75" x14ac:dyDescent="0.2">
      <c r="A13" s="45"/>
      <c r="B13" s="43" t="str">
        <f>线路!B10</f>
        <v>IP8</v>
      </c>
      <c r="C13" s="44">
        <f>线路!E10</f>
        <v>454746.22570000001</v>
      </c>
      <c r="D13" s="44">
        <f>线路!F10</f>
        <v>3046797.6940000001</v>
      </c>
      <c r="E13" s="172">
        <f>线路!G10</f>
        <v>10</v>
      </c>
      <c r="F13" s="6">
        <f>线路!H10</f>
        <v>108.42</v>
      </c>
      <c r="G13" s="145">
        <f>线路!L10</f>
        <v>407.07014620573824</v>
      </c>
      <c r="H13" s="145">
        <f>线路!M10</f>
        <v>416.53157608079948</v>
      </c>
      <c r="I13" s="145">
        <f>线路!N10</f>
        <v>425.99300595586078</v>
      </c>
      <c r="J13" s="58">
        <f t="shared" si="0"/>
        <v>18.922859750122541</v>
      </c>
      <c r="K13" s="58">
        <f t="shared" si="19"/>
        <v>23.68838422385096</v>
      </c>
      <c r="L13" s="58">
        <f>IF(AO13=0,断面设计!$C$8,IF(AO13=1,断面设计!$C$33,IF(AO13=2,断面设计!$C$44*2,0)))</f>
        <v>1.5524731620415944</v>
      </c>
      <c r="M13" s="7">
        <f>IF(AO13=0,断面设计!$D$8,0)</f>
        <v>0.24932800284318068</v>
      </c>
      <c r="N13" s="59">
        <f t="shared" ref="N13:N34" si="30">IF(AO13=0,0.015,0.014)</f>
        <v>1.4999999999999999E-2</v>
      </c>
      <c r="O13" s="60">
        <f>IF(AO13=0,断面设计!$I$8,IF(AO13=1,断面设计!$N$33,IF(AO13=2,断面设计!$G$44,断面设计!$I$8)))</f>
        <v>3000</v>
      </c>
      <c r="P13" s="61">
        <f>IF(AO13=0,断面设计!$L$8,IF(AO13=1,断面设计!$S$33,IF(AO13=2,断面设计!$N$44,0)))</f>
        <v>0.41</v>
      </c>
      <c r="Q13" s="59">
        <f>IF(AO13=0,断面设计!$B$8,IF(AO13=1,断面设计!$B$33,IF(AO13=2,断面设计!$B$44,0)))</f>
        <v>0.61035771418674445</v>
      </c>
      <c r="R13" s="58">
        <f>IF(AO13=0,断面设计!$E$8,IF(AO13=1,断面设计!$J$33,IF(AO13=2,断面设计!$D$44,0)))</f>
        <v>0.70474827215761959</v>
      </c>
      <c r="S13" s="58">
        <f>IF(AO13=0,断面设计!$F$8,IF(AO13=1,断面设计!$K$33,IF(AO13=2,断面设计!$D$44/断面设计!$E$44,0)))</f>
        <v>2.130349326053774</v>
      </c>
      <c r="T13" s="58">
        <f t="shared" si="2"/>
        <v>0.33081347905654718</v>
      </c>
      <c r="U13" s="58">
        <f t="shared" si="3"/>
        <v>0.58176801022124669</v>
      </c>
      <c r="V13" s="59">
        <f t="shared" si="12"/>
        <v>2.0849515313736099E-3</v>
      </c>
      <c r="W13" s="59"/>
      <c r="X13" s="59">
        <f>IF(AN13=0,IF(AN12=2,(H13-H12-AE12)/O13,(H13-H12)/O13),IF(AN13=1,IF(AN12=2,IF(AE13&lt;9,(H13-H12-AE13-AE12)/断面设计!$I$8,(H13-H12-AE13-AE12)/断面设计!$I$8),(H13-H12-AE13)/O12),(H13-H12)/O13))</f>
        <v>7.8961280746169867E-3</v>
      </c>
      <c r="Y13" s="59">
        <f t="shared" si="20"/>
        <v>0</v>
      </c>
      <c r="Z13" s="58">
        <f t="shared" si="21"/>
        <v>0</v>
      </c>
      <c r="AA13" s="68"/>
      <c r="AB13" s="56">
        <f t="shared" si="4"/>
        <v>0.61035771418674445</v>
      </c>
      <c r="AC13" s="56">
        <f t="shared" si="5"/>
        <v>9.9810796059905966E-3</v>
      </c>
      <c r="AD13" s="56">
        <f t="shared" si="22"/>
        <v>2424.8523576150756</v>
      </c>
      <c r="AE13" s="60">
        <f>IF(AO13=0,0,IF(AO13=2,IF(AN13=1,20,IF(AN13=0,0,25)),IF(AN13=1,15,IF(AN13=0,0,IF(AO13=3,20,20)))))</f>
        <v>0</v>
      </c>
      <c r="AF13" s="56" t="str">
        <f t="shared" si="6"/>
        <v xml:space="preserve"> </v>
      </c>
      <c r="AG13" s="56" t="str">
        <f>IF(AE13=0," ",AF13-断面设计!$B$8)</f>
        <v xml:space="preserve"> </v>
      </c>
      <c r="AH13" s="56">
        <f t="shared" si="24"/>
        <v>2424.8575963765652</v>
      </c>
      <c r="AI13" s="56">
        <f t="shared" si="25"/>
        <v>2424.2472386623785</v>
      </c>
      <c r="AJ13" s="56">
        <f t="shared" si="26"/>
        <v>2424.8492038051172</v>
      </c>
      <c r="AK13" s="56">
        <f t="shared" si="27"/>
        <v>2424.2388460909306</v>
      </c>
      <c r="AL13" s="56">
        <f t="shared" si="28"/>
        <v>2424.8534000908412</v>
      </c>
      <c r="AM13" s="56">
        <f t="shared" si="29"/>
        <v>2424.2430423766546</v>
      </c>
      <c r="AN13" s="45"/>
      <c r="AO13" s="45">
        <v>0</v>
      </c>
      <c r="AP13" s="76"/>
      <c r="AQ13" s="77"/>
      <c r="AR13" s="78"/>
    </row>
    <row r="14" spans="1:49" s="18" customFormat="1" ht="12.75" x14ac:dyDescent="0.2">
      <c r="A14" s="45"/>
      <c r="B14" s="43" t="str">
        <f>线路!B11</f>
        <v>IP9</v>
      </c>
      <c r="C14" s="44">
        <f>线路!E11</f>
        <v>454746.47810000001</v>
      </c>
      <c r="D14" s="44">
        <f>线路!F11</f>
        <v>3046724.1513</v>
      </c>
      <c r="E14" s="172">
        <f>线路!G11</f>
        <v>10</v>
      </c>
      <c r="F14" s="6">
        <f>线路!H11</f>
        <v>61.661999999999999</v>
      </c>
      <c r="G14" s="145">
        <f>线路!L11</f>
        <v>479.69716323983045</v>
      </c>
      <c r="H14" s="145">
        <f>线路!M11</f>
        <v>485.07818785665415</v>
      </c>
      <c r="I14" s="145">
        <f>线路!N11</f>
        <v>490.45921247347786</v>
      </c>
      <c r="J14" s="58">
        <f t="shared" ref="J14:J50" si="31">I14-G14</f>
        <v>10.762049233647417</v>
      </c>
      <c r="K14" s="58">
        <f t="shared" ref="K14:K50" si="32">H14-H13</f>
        <v>68.546611775854672</v>
      </c>
      <c r="L14" s="58">
        <f>IF(AO14=0,断面设计!$C$8,IF(AO14=1,断面设计!$C$33,IF(AO14=2,断面设计!$C$44*2,0)))</f>
        <v>1.5524731620415944</v>
      </c>
      <c r="M14" s="7">
        <f>IF(AO14=0,断面设计!$D$8,0)</f>
        <v>0.24932800284318068</v>
      </c>
      <c r="N14" s="59">
        <f t="shared" si="30"/>
        <v>1.4999999999999999E-2</v>
      </c>
      <c r="O14" s="60">
        <f>IF(AO14=0,断面设计!$I$8,IF(AO14=1,断面设计!$N$33,IF(AO14=2,断面设计!$G$44,断面设计!$I$8)))</f>
        <v>3000</v>
      </c>
      <c r="P14" s="61">
        <f>IF(AO14=0,断面设计!$L$8,IF(AO14=1,断面设计!$S$33,IF(AO14=2,断面设计!$N$44,0)))</f>
        <v>0.41</v>
      </c>
      <c r="Q14" s="59">
        <f>IF(AO14=0,断面设计!$B$8,IF(AO14=1,断面设计!$B$33,IF(AO14=2,断面设计!$B$44,0)))</f>
        <v>0.61035771418674445</v>
      </c>
      <c r="R14" s="58">
        <f>IF(AO14=0,断面设计!$E$8,IF(AO14=1,断面设计!$J$33,IF(AO14=2,断面设计!$D$44,0)))</f>
        <v>0.70474827215761959</v>
      </c>
      <c r="S14" s="58">
        <f>IF(AO14=0,断面设计!$F$8,IF(AO14=1,断面设计!$K$33,IF(AO14=2,断面设计!$D$44/断面设计!$E$44,0)))</f>
        <v>2.130349326053774</v>
      </c>
      <c r="T14" s="58">
        <f t="shared" si="2"/>
        <v>0.33081347905654718</v>
      </c>
      <c r="U14" s="58">
        <f t="shared" si="3"/>
        <v>0.58176801022124669</v>
      </c>
      <c r="V14" s="59">
        <f t="shared" si="12"/>
        <v>1.1857801266146391E-3</v>
      </c>
      <c r="W14" s="59"/>
      <c r="X14" s="59">
        <f>IF(AN14=0,IF(AN13=2,(H14-H13-AE13)/O14,(H14-H13)/O14),IF(AN14=1,IF(AN13=2,IF(AE14&lt;9,(H14-H13-AE14-AE13)/断面设计!$I$8,(H14-H13-AE14-AE13)/断面设计!$I$8),(H14-H13-AE14)/O13),(H14-H13)/O14))</f>
        <v>2.2848870591951558E-2</v>
      </c>
      <c r="Y14" s="59">
        <f t="shared" si="20"/>
        <v>0</v>
      </c>
      <c r="Z14" s="58">
        <f t="shared" si="21"/>
        <v>0</v>
      </c>
      <c r="AA14" s="68"/>
      <c r="AB14" s="56">
        <f t="shared" ref="AB14:AB81" si="33">Q14</f>
        <v>0.61035771418674445</v>
      </c>
      <c r="AC14" s="56">
        <f t="shared" si="5"/>
        <v>2.4034650718566197E-2</v>
      </c>
      <c r="AD14" s="56">
        <f t="shared" ref="AD14:AD81" si="34">AD13-AC14</f>
        <v>2424.8283229643571</v>
      </c>
      <c r="AE14" s="60">
        <f t="shared" ref="AE14:AE81" si="35">IF(AO14=0,0,IF(AO14=2,IF(AN14=1,20,IF(AN14=0,0,25)),IF(AN14=1,15,IF(AN14=0,0,IF(AO14=3,20,20)))))</f>
        <v>0</v>
      </c>
      <c r="AF14" s="56" t="str">
        <f t="shared" ref="AF14:AF81" si="36">IF(AE14=0," ",IF(AN14=1,AD14+W14,AD14))</f>
        <v xml:space="preserve"> </v>
      </c>
      <c r="AG14" s="56" t="str">
        <f>IF(AE14=0," ",AF14-断面设计!$B$8)</f>
        <v xml:space="preserve"> </v>
      </c>
      <c r="AH14" s="56">
        <f t="shared" si="24"/>
        <v>2424.8313024193558</v>
      </c>
      <c r="AI14" s="56">
        <f t="shared" si="25"/>
        <v>2424.2209447051691</v>
      </c>
      <c r="AJ14" s="56">
        <f t="shared" si="26"/>
        <v>2424.8265292894848</v>
      </c>
      <c r="AK14" s="56">
        <f t="shared" si="27"/>
        <v>2424.2161715752982</v>
      </c>
      <c r="AL14" s="56">
        <f t="shared" si="28"/>
        <v>2424.8289158544203</v>
      </c>
      <c r="AM14" s="56">
        <f t="shared" si="29"/>
        <v>2424.2185581402337</v>
      </c>
      <c r="AN14" s="45"/>
      <c r="AO14" s="45">
        <v>0</v>
      </c>
      <c r="AP14" s="76"/>
      <c r="AQ14" s="77"/>
      <c r="AR14" s="78"/>
    </row>
    <row r="15" spans="1:49" s="18" customFormat="1" ht="12.75" x14ac:dyDescent="0.2">
      <c r="A15" s="45"/>
      <c r="B15" s="43" t="str">
        <f>线路!B12</f>
        <v>IP10</v>
      </c>
      <c r="C15" s="44">
        <f>线路!E12</f>
        <v>454719.53419999999</v>
      </c>
      <c r="D15" s="44">
        <f>线路!F12</f>
        <v>3046709.5011</v>
      </c>
      <c r="E15" s="172">
        <f>线路!G12</f>
        <v>10</v>
      </c>
      <c r="F15" s="6">
        <f>线路!H12</f>
        <v>39.631999999999998</v>
      </c>
      <c r="G15" s="145">
        <f>线路!L12</f>
        <v>511.55654132415441</v>
      </c>
      <c r="H15" s="145">
        <f>线路!M12</f>
        <v>515.01508576990636</v>
      </c>
      <c r="I15" s="145">
        <f>线路!N12</f>
        <v>518.47363021565832</v>
      </c>
      <c r="J15" s="58">
        <f t="shared" si="31"/>
        <v>6.9170888915039086</v>
      </c>
      <c r="K15" s="58">
        <f t="shared" si="32"/>
        <v>29.93689791325221</v>
      </c>
      <c r="L15" s="58">
        <f>IF(AO15=0,断面设计!$C$8,IF(AO15=1,断面设计!$C$33,IF(AO15=2,断面设计!$C$44*2,0)))</f>
        <v>1.5524731620415944</v>
      </c>
      <c r="M15" s="7">
        <f>IF(AO15=0,断面设计!$D$8,0)</f>
        <v>0.24932800284318068</v>
      </c>
      <c r="N15" s="59">
        <f t="shared" si="30"/>
        <v>1.4999999999999999E-2</v>
      </c>
      <c r="O15" s="60">
        <f>IF(AO15=0,断面设计!$I$8,IF(AO15=1,断面设计!$N$33,IF(AO15=2,断面设计!$G$44,断面设计!$I$8)))</f>
        <v>3000</v>
      </c>
      <c r="P15" s="61">
        <f>IF(AO15=0,断面设计!$L$8,IF(AO15=1,断面设计!$S$33,IF(AO15=2,断面设计!$N$44,0)))</f>
        <v>0.41</v>
      </c>
      <c r="Q15" s="59">
        <f>IF(AO15=0,断面设计!$B$8,IF(AO15=1,断面设计!$B$33,IF(AO15=2,断面设计!$B$44,0)))</f>
        <v>0.61035771418674445</v>
      </c>
      <c r="R15" s="58">
        <f>IF(AO15=0,断面设计!$E$8,IF(AO15=1,断面设计!$J$33,IF(AO15=2,断面设计!$D$44,0)))</f>
        <v>0.70474827215761959</v>
      </c>
      <c r="S15" s="58">
        <f>IF(AO15=0,断面设计!$F$8,IF(AO15=1,断面设计!$K$33,IF(AO15=2,断面设计!$D$44/断面设计!$E$44,0)))</f>
        <v>2.130349326053774</v>
      </c>
      <c r="T15" s="58">
        <f t="shared" si="2"/>
        <v>0.33081347905654718</v>
      </c>
      <c r="U15" s="58">
        <f t="shared" si="3"/>
        <v>0.58176801022124669</v>
      </c>
      <c r="V15" s="59">
        <f t="shared" si="12"/>
        <v>7.6213612886366546E-4</v>
      </c>
      <c r="W15" s="59"/>
      <c r="X15" s="59">
        <f>IF(AN15=0,IF(AN14=2,(H15-H14-AE14)/O15,(H15-H14)/O15),IF(AN15=1,IF(AN14=2,IF(AE15&lt;9,(H15-H14-AE15-AE14)/断面设计!$I$8,(H15-H14-AE15-AE14)/断面设计!$I$8),(H15-H14-AE15)/O14),(H15-H14)/O15))</f>
        <v>9.9789659710840702E-3</v>
      </c>
      <c r="Y15" s="59">
        <f t="shared" si="20"/>
        <v>0</v>
      </c>
      <c r="Z15" s="58">
        <f t="shared" si="21"/>
        <v>0</v>
      </c>
      <c r="AA15" s="68"/>
      <c r="AB15" s="56">
        <f t="shared" si="33"/>
        <v>0.61035771418674445</v>
      </c>
      <c r="AC15" s="56">
        <f t="shared" si="5"/>
        <v>1.0741102099947736E-2</v>
      </c>
      <c r="AD15" s="56">
        <f t="shared" si="34"/>
        <v>2424.8175818622572</v>
      </c>
      <c r="AE15" s="60">
        <f t="shared" si="35"/>
        <v>0</v>
      </c>
      <c r="AF15" s="56" t="str">
        <f t="shared" si="36"/>
        <v xml:space="preserve"> </v>
      </c>
      <c r="AG15" s="56" t="str">
        <f>IF(AE15=0," ",AF15-断面设计!$B$8)</f>
        <v xml:space="preserve"> </v>
      </c>
      <c r="AH15" s="56">
        <f t="shared" si="24"/>
        <v>2424.8194968465345</v>
      </c>
      <c r="AI15" s="56">
        <f t="shared" si="25"/>
        <v>2424.2091391323479</v>
      </c>
      <c r="AJ15" s="56">
        <f t="shared" si="26"/>
        <v>2424.8164290141085</v>
      </c>
      <c r="AK15" s="56">
        <f t="shared" si="27"/>
        <v>2424.2060712999219</v>
      </c>
      <c r="AL15" s="56">
        <f t="shared" si="28"/>
        <v>2424.8179629303218</v>
      </c>
      <c r="AM15" s="56">
        <f t="shared" si="29"/>
        <v>2424.2076052161351</v>
      </c>
      <c r="AN15" s="45"/>
      <c r="AO15" s="45">
        <v>0</v>
      </c>
      <c r="AP15" s="76"/>
      <c r="AQ15" s="77"/>
      <c r="AR15" s="78"/>
    </row>
    <row r="16" spans="1:49" s="18" customFormat="1" ht="12.75" x14ac:dyDescent="0.2">
      <c r="A16" s="45"/>
      <c r="B16" s="43" t="str">
        <f>线路!B13</f>
        <v>IP11</v>
      </c>
      <c r="C16" s="44">
        <f>线路!E13</f>
        <v>454704.29810000001</v>
      </c>
      <c r="D16" s="44">
        <f>线路!F13</f>
        <v>3046712.4896999998</v>
      </c>
      <c r="E16" s="172">
        <f>线路!G13</f>
        <v>10</v>
      </c>
      <c r="F16" s="6">
        <f>线路!H13</f>
        <v>49.905999999999999</v>
      </c>
      <c r="G16" s="145">
        <f>线路!L13</f>
        <v>525.74360454632892</v>
      </c>
      <c r="H16" s="145">
        <f>线路!M13</f>
        <v>530.09872462883038</v>
      </c>
      <c r="I16" s="145">
        <f>线路!N13</f>
        <v>534.45384471133184</v>
      </c>
      <c r="J16" s="58">
        <f t="shared" si="31"/>
        <v>8.7102401650029151</v>
      </c>
      <c r="K16" s="58">
        <f t="shared" si="32"/>
        <v>15.083638858924019</v>
      </c>
      <c r="L16" s="58">
        <f>IF(AO16=0,断面设计!$C$8,IF(AO16=1,断面设计!$C$33,IF(AO16=2,断面设计!$C$44*2,0)))</f>
        <v>1.5524731620415944</v>
      </c>
      <c r="M16" s="7">
        <f>IF(AO16=0,断面设计!$D$8,0)</f>
        <v>0.24932800284318068</v>
      </c>
      <c r="N16" s="59">
        <f t="shared" si="30"/>
        <v>1.4999999999999999E-2</v>
      </c>
      <c r="O16" s="60">
        <f>IF(AO16=0,断面设计!$I$8,IF(AO16=1,断面设计!$N$33,IF(AO16=2,断面设计!$G$44,断面设计!$I$8)))</f>
        <v>3000</v>
      </c>
      <c r="P16" s="61">
        <f>IF(AO16=0,断面设计!$L$8,IF(AO16=1,断面设计!$S$33,IF(AO16=2,断面设计!$N$44,0)))</f>
        <v>0.41</v>
      </c>
      <c r="Q16" s="59">
        <f>IF(AO16=0,断面设计!$B$8,IF(AO16=1,断面设计!$B$33,IF(AO16=2,断面设计!$B$44,0)))</f>
        <v>0.61035771418674445</v>
      </c>
      <c r="R16" s="58">
        <f>IF(AO16=0,断面设计!$E$8,IF(AO16=1,断面设计!$J$33,IF(AO16=2,断面设计!$D$44,0)))</f>
        <v>0.70474827215761959</v>
      </c>
      <c r="S16" s="58">
        <f>IF(AO16=0,断面设计!$F$8,IF(AO16=1,断面设计!$K$33,IF(AO16=2,断面设计!$D$44/断面设计!$E$44,0)))</f>
        <v>2.130349326053774</v>
      </c>
      <c r="T16" s="58">
        <f t="shared" si="2"/>
        <v>0.33081347905654718</v>
      </c>
      <c r="U16" s="58">
        <f t="shared" si="3"/>
        <v>0.58176801022124669</v>
      </c>
      <c r="V16" s="59">
        <f t="shared" si="12"/>
        <v>9.5970845899955189E-4</v>
      </c>
      <c r="W16" s="59"/>
      <c r="X16" s="59">
        <f>IF(AN16=0,IF(AN15=2,(H16-H15-AE15)/O16,(H16-H15)/O16),IF(AN16=1,IF(AN15=2,IF(AE16&lt;9,(H16-H15-AE16-AE15)/断面设计!$I$8,(H16-H15-AE16-AE15)/断面设计!$I$8),(H16-H15-AE16)/O15),(H16-H15)/O16))</f>
        <v>5.0278796196413398E-3</v>
      </c>
      <c r="Y16" s="59">
        <f t="shared" si="20"/>
        <v>0</v>
      </c>
      <c r="Z16" s="58">
        <f t="shared" si="21"/>
        <v>0</v>
      </c>
      <c r="AA16" s="68"/>
      <c r="AB16" s="56">
        <f t="shared" si="33"/>
        <v>0.61035771418674445</v>
      </c>
      <c r="AC16" s="56">
        <f t="shared" si="5"/>
        <v>5.9875880786408918E-3</v>
      </c>
      <c r="AD16" s="56">
        <f t="shared" si="34"/>
        <v>2424.8115942741783</v>
      </c>
      <c r="AE16" s="60">
        <f t="shared" si="35"/>
        <v>0</v>
      </c>
      <c r="AF16" s="56" t="str">
        <f t="shared" si="36"/>
        <v xml:space="preserve"> </v>
      </c>
      <c r="AG16" s="56" t="str">
        <f>IF(AE16=0," ",AF16-断面设计!$B$8)</f>
        <v xml:space="preserve"> </v>
      </c>
      <c r="AH16" s="56">
        <f t="shared" si="24"/>
        <v>2424.8140056893317</v>
      </c>
      <c r="AI16" s="56">
        <f t="shared" si="25"/>
        <v>2424.203647975145</v>
      </c>
      <c r="AJ16" s="56">
        <f t="shared" si="26"/>
        <v>2424.810142567484</v>
      </c>
      <c r="AK16" s="56">
        <f t="shared" si="27"/>
        <v>2424.1997848532974</v>
      </c>
      <c r="AL16" s="56">
        <f t="shared" si="28"/>
        <v>2424.8120741284079</v>
      </c>
      <c r="AM16" s="56">
        <f t="shared" si="29"/>
        <v>2424.2017164142212</v>
      </c>
      <c r="AN16" s="45"/>
      <c r="AO16" s="45">
        <v>0</v>
      </c>
      <c r="AP16" s="76"/>
      <c r="AQ16" s="77"/>
      <c r="AR16" s="78"/>
    </row>
    <row r="17" spans="1:44" s="18" customFormat="1" ht="12.75" x14ac:dyDescent="0.2">
      <c r="A17" s="45"/>
      <c r="B17" s="43" t="str">
        <f>线路!B14</f>
        <v>IP12</v>
      </c>
      <c r="C17" s="44">
        <f>线路!E14</f>
        <v>454667.45449999999</v>
      </c>
      <c r="D17" s="44">
        <f>线路!F14</f>
        <v>3046682.8574999999</v>
      </c>
      <c r="E17" s="172">
        <f>线路!G14</f>
        <v>10</v>
      </c>
      <c r="F17" s="6">
        <f>线路!H14</f>
        <v>34.216000000000001</v>
      </c>
      <c r="G17" s="145">
        <f>线路!L14</f>
        <v>574.00408712895489</v>
      </c>
      <c r="H17" s="145">
        <f>线路!M14</f>
        <v>576.98999641326679</v>
      </c>
      <c r="I17" s="145">
        <f>线路!N14</f>
        <v>579.9759056975787</v>
      </c>
      <c r="J17" s="58">
        <f t="shared" si="31"/>
        <v>5.971818568623803</v>
      </c>
      <c r="K17" s="58">
        <f t="shared" si="32"/>
        <v>46.891271784436412</v>
      </c>
      <c r="L17" s="58">
        <f>IF(AO17=0,断面设计!$C$8,IF(AO17=1,断面设计!$C$33,IF(AO17=2,断面设计!$C$44*2,0)))</f>
        <v>1.5524731620415944</v>
      </c>
      <c r="M17" s="7">
        <f>IF(AO17=0,断面设计!$D$8,0)</f>
        <v>0.24932800284318068</v>
      </c>
      <c r="N17" s="59">
        <f t="shared" si="30"/>
        <v>1.4999999999999999E-2</v>
      </c>
      <c r="O17" s="60">
        <f>IF(AO17=0,断面设计!$I$8,IF(AO17=1,断面设计!$N$33,IF(AO17=2,断面设计!$G$44,断面设计!$I$8)))</f>
        <v>3000</v>
      </c>
      <c r="P17" s="61">
        <f>IF(AO17=0,断面设计!$L$8,IF(AO17=1,断面设计!$S$33,IF(AO17=2,断面设计!$N$44,0)))</f>
        <v>0.41</v>
      </c>
      <c r="Q17" s="59">
        <f>IF(AO17=0,断面设计!$B$8,IF(AO17=1,断面设计!$B$33,IF(AO17=2,断面设计!$B$44,0)))</f>
        <v>0.61035771418674445</v>
      </c>
      <c r="R17" s="58">
        <f>IF(AO17=0,断面设计!$E$8,IF(AO17=1,断面设计!$J$33,IF(AO17=2,断面设计!$D$44,0)))</f>
        <v>0.70474827215761959</v>
      </c>
      <c r="S17" s="58">
        <f>IF(AO17=0,断面设计!$F$8,IF(AO17=1,断面设计!$K$33,IF(AO17=2,断面设计!$D$44/断面设计!$E$44,0)))</f>
        <v>2.130349326053774</v>
      </c>
      <c r="T17" s="58">
        <f t="shared" si="2"/>
        <v>0.33081347905654718</v>
      </c>
      <c r="U17" s="58">
        <f t="shared" si="3"/>
        <v>0.58176801022124669</v>
      </c>
      <c r="V17" s="59">
        <f t="shared" si="12"/>
        <v>6.5798470390591611E-4</v>
      </c>
      <c r="W17" s="59"/>
      <c r="X17" s="59">
        <f>IF(AN17=0,IF(AN16=2,(H17-H16-AE16)/O17,(H17-H16)/O17),IF(AN17=1,IF(AN16=2,IF(AE17&lt;9,(H17-H16-AE17-AE16)/断面设计!$I$8,(H17-H16-AE17-AE16)/断面设计!$I$8),(H17-H16-AE17)/O16),(H17-H16)/O17))</f>
        <v>1.5630423928145471E-2</v>
      </c>
      <c r="Y17" s="59">
        <f t="shared" si="20"/>
        <v>0</v>
      </c>
      <c r="Z17" s="58">
        <f t="shared" si="21"/>
        <v>0</v>
      </c>
      <c r="AA17" s="68"/>
      <c r="AB17" s="56">
        <f t="shared" si="33"/>
        <v>0.61035771418674445</v>
      </c>
      <c r="AC17" s="56">
        <f t="shared" si="5"/>
        <v>1.6288408632051388E-2</v>
      </c>
      <c r="AD17" s="56">
        <f t="shared" si="34"/>
        <v>2424.7953058655462</v>
      </c>
      <c r="AE17" s="60">
        <f t="shared" si="35"/>
        <v>0</v>
      </c>
      <c r="AF17" s="56" t="str">
        <f t="shared" si="36"/>
        <v xml:space="preserve"> </v>
      </c>
      <c r="AG17" s="56" t="str">
        <f>IF(AE17=0," ",AF17-断面设计!$B$8)</f>
        <v xml:space="preserve"> </v>
      </c>
      <c r="AH17" s="56">
        <f t="shared" si="24"/>
        <v>2424.7969591533451</v>
      </c>
      <c r="AI17" s="56">
        <f t="shared" si="25"/>
        <v>2424.1866014391585</v>
      </c>
      <c r="AJ17" s="56">
        <f t="shared" si="26"/>
        <v>2424.7943105624513</v>
      </c>
      <c r="AK17" s="56">
        <f t="shared" si="27"/>
        <v>2424.1839528482647</v>
      </c>
      <c r="AL17" s="56">
        <f t="shared" si="28"/>
        <v>2424.7956348578982</v>
      </c>
      <c r="AM17" s="56">
        <f t="shared" si="29"/>
        <v>2424.1852771437116</v>
      </c>
      <c r="AN17" s="45"/>
      <c r="AO17" s="45">
        <v>0</v>
      </c>
      <c r="AP17" s="76"/>
      <c r="AQ17" s="77"/>
      <c r="AR17" s="78"/>
    </row>
    <row r="18" spans="1:44" s="234" customFormat="1" ht="12.75" x14ac:dyDescent="0.2">
      <c r="A18" s="226"/>
      <c r="B18" s="218" t="str">
        <f>线路!B15</f>
        <v>1#斗门</v>
      </c>
      <c r="C18" s="208">
        <f>线路!E15</f>
        <v>454658.65740000003</v>
      </c>
      <c r="D18" s="208">
        <f>线路!F15</f>
        <v>3046654.0397000001</v>
      </c>
      <c r="E18" s="219">
        <f>线路!G15</f>
        <v>10</v>
      </c>
      <c r="F18" s="207">
        <f>线路!H15</f>
        <v>0</v>
      </c>
      <c r="G18" s="220">
        <f>线路!L15</f>
        <v>607.02860056508428</v>
      </c>
      <c r="H18" s="220">
        <f>线路!M15</f>
        <v>607.02860056508428</v>
      </c>
      <c r="I18" s="220">
        <f>线路!N15</f>
        <v>607.02860056508428</v>
      </c>
      <c r="J18" s="221">
        <f t="shared" ref="J18:J28" si="37">I18-G18</f>
        <v>0</v>
      </c>
      <c r="K18" s="221">
        <f t="shared" ref="K18:K28" si="38">H18-H17</f>
        <v>30.038604151817481</v>
      </c>
      <c r="L18" s="58">
        <f>IF(AO18=0,断面设计!$C$8,IF(AO18=1,断面设计!$C$33,IF(AO18=2,断面设计!$C$44*2,0)))</f>
        <v>1.5524731620415944</v>
      </c>
      <c r="M18" s="7">
        <f>IF(AO18=0,断面设计!$D$8,0)</f>
        <v>0.24932800284318068</v>
      </c>
      <c r="N18" s="222">
        <f t="shared" ref="N18:N28" si="39">IF(AO18=0,0.015,0.014)</f>
        <v>1.4999999999999999E-2</v>
      </c>
      <c r="O18" s="60">
        <f>IF(AO18=0,断面设计!$I$8,IF(AO18=1,断面设计!$N$33,IF(AO18=2,断面设计!$G$44,断面设计!$I$8)))</f>
        <v>3000</v>
      </c>
      <c r="P18" s="61">
        <f>IF(AO18=0,断面设计!$L$8,IF(AO18=1,断面设计!$S$33,IF(AO18=2,断面设计!$N$44,0)))</f>
        <v>0.41</v>
      </c>
      <c r="Q18" s="59">
        <f>IF(AO18=0,断面设计!$B$8,IF(AO18=1,断面设计!$B$33,IF(AO18=2,断面设计!$B$44,0)))</f>
        <v>0.61035771418674445</v>
      </c>
      <c r="R18" s="58">
        <f>IF(AO18=0,断面设计!$E$8,IF(AO18=1,断面设计!$J$33,IF(AO18=2,断面设计!$D$44,0)))</f>
        <v>0.70474827215761959</v>
      </c>
      <c r="S18" s="58">
        <f>IF(AO18=0,断面设计!$F$8,IF(AO18=1,断面设计!$K$33,IF(AO18=2,断面设计!$D$44/断面设计!$E$44,0)))</f>
        <v>2.130349326053774</v>
      </c>
      <c r="T18" s="221">
        <f t="shared" ref="T18:T28" si="40">R18/S18</f>
        <v>0.33081347905654718</v>
      </c>
      <c r="U18" s="221">
        <f t="shared" ref="U18:U28" si="41">P18/R18</f>
        <v>0.58176801022124669</v>
      </c>
      <c r="V18" s="222">
        <f t="shared" ref="V18:V28" si="42">(I18-G18)*N18^2/T18^(4/3)*U18^2*3/4*((L18+Q18*M18*2*1.3)/E18)^0.5</f>
        <v>0</v>
      </c>
      <c r="W18" s="222"/>
      <c r="X18" s="222">
        <f>IF(AN18=0,IF(AN17=2,(H18-H17-AE17)/O18,(H18-H17)/O18),IF(AN18=1,IF(AN17=2,IF(AE18&lt;9,(H18-H17-AE18-AE17)/断面设计!$I$8,(H18-H17-AE18-AE17)/断面设计!$I$8),(H18-H17-AE18)/O17),(H18-H17)/O18))</f>
        <v>1.0012868050605826E-2</v>
      </c>
      <c r="Y18" s="222">
        <f t="shared" si="20"/>
        <v>0</v>
      </c>
      <c r="Z18" s="221">
        <f t="shared" si="21"/>
        <v>0</v>
      </c>
      <c r="AA18" s="230"/>
      <c r="AB18" s="225">
        <f t="shared" ref="AB18:AB28" si="43">Q18</f>
        <v>0.61035771418674445</v>
      </c>
      <c r="AC18" s="225">
        <f t="shared" ref="AC18:AC28" si="44">IF(AE18&lt;1,Y18+AA18+V18+X18,Y18+AA18+V18+X18+W18)</f>
        <v>1.0012868050605826E-2</v>
      </c>
      <c r="AD18" s="225">
        <f t="shared" ref="AD18:AD28" si="45">AD17-AC18</f>
        <v>2424.7852929974956</v>
      </c>
      <c r="AE18" s="223">
        <f t="shared" ref="AE18:AE28" si="46">IF(AO18=0,0,IF(AO18=2,IF(AN18=1,20,IF(AN18=0,0,25)),IF(AN18=1,15,IF(AN18=0,0,IF(AO18=3,20,20)))))</f>
        <v>0</v>
      </c>
      <c r="AF18" s="225" t="str">
        <f t="shared" ref="AF18:AF28" si="47">IF(AE18=0," ",IF(AN18=1,AD18+W18,AD18))</f>
        <v xml:space="preserve"> </v>
      </c>
      <c r="AG18" s="225" t="str">
        <f>IF(AE18=0," ",AF18-断面设计!$B$8)</f>
        <v xml:space="preserve"> </v>
      </c>
      <c r="AH18" s="225" t="str">
        <f t="shared" ref="AH18:AH28" si="48">IF(J18&lt;0.01," ",AD18+V18+J18/2/O18+J18/2/1000*Z18)</f>
        <v xml:space="preserve"> </v>
      </c>
      <c r="AI18" s="225" t="str">
        <f t="shared" ref="AI18:AI28" si="49">IF(J18&lt;0.01," ",AH18-AB18)</f>
        <v xml:space="preserve"> </v>
      </c>
      <c r="AJ18" s="225" t="str">
        <f t="shared" ref="AJ18:AJ28" si="50">IF(J18&lt;0.01," ",AD18-J18/2/O18-J18/2/1000*Z18)</f>
        <v xml:space="preserve"> </v>
      </c>
      <c r="AK18" s="225" t="str">
        <f t="shared" ref="AK18:AK28" si="51">IF(J18&lt;0.01," ",AJ18-AB18)</f>
        <v xml:space="preserve"> </v>
      </c>
      <c r="AL18" s="225">
        <f t="shared" ref="AL18:AL28" si="52">AM18+AB18</f>
        <v>2424.7852929974956</v>
      </c>
      <c r="AM18" s="225">
        <f t="shared" ref="AM18:AM28" si="53">IF(AN18=2,IF(AE18=0,AD18-AB18,AD18+W18-AB18),AD18-AB18+V18/2)</f>
        <v>2424.174935283309</v>
      </c>
      <c r="AN18" s="226"/>
      <c r="AO18" s="226">
        <v>0</v>
      </c>
      <c r="AP18" s="231"/>
      <c r="AQ18" s="232"/>
      <c r="AR18" s="233"/>
    </row>
    <row r="19" spans="1:44" s="18" customFormat="1" ht="12.75" x14ac:dyDescent="0.2">
      <c r="A19" s="45"/>
      <c r="B19" s="43" t="str">
        <f>线路!B16</f>
        <v>IP13</v>
      </c>
      <c r="C19" s="44">
        <f>线路!E16</f>
        <v>454652.45870000002</v>
      </c>
      <c r="D19" s="44">
        <f>线路!F16</f>
        <v>3046633.7338</v>
      </c>
      <c r="E19" s="172">
        <f>线路!G16</f>
        <v>10</v>
      </c>
      <c r="F19" s="6">
        <f>线路!H16</f>
        <v>59.359000000000002</v>
      </c>
      <c r="G19" s="145">
        <f>线路!L16</f>
        <v>622.56039743291365</v>
      </c>
      <c r="H19" s="145">
        <f>线路!M16</f>
        <v>627.74044738637019</v>
      </c>
      <c r="I19" s="145">
        <f>线路!N16</f>
        <v>632.92049733982674</v>
      </c>
      <c r="J19" s="58">
        <f t="shared" si="37"/>
        <v>10.360099906913092</v>
      </c>
      <c r="K19" s="58">
        <f t="shared" si="38"/>
        <v>20.711846821285917</v>
      </c>
      <c r="L19" s="58">
        <f>IF(AO19=0,断面设计!$C$8,IF(AO19=1,断面设计!$C$33,IF(AO19=2,断面设计!$C$44*2,0)))</f>
        <v>1.5524731620415944</v>
      </c>
      <c r="M19" s="7">
        <f>IF(AO19=0,断面设计!$D$8,0)</f>
        <v>0.24932800284318068</v>
      </c>
      <c r="N19" s="59">
        <f t="shared" si="39"/>
        <v>1.4999999999999999E-2</v>
      </c>
      <c r="O19" s="60">
        <f>IF(AO19=0,断面设计!$I$8,IF(AO19=1,断面设计!$N$33,IF(AO19=2,断面设计!$G$44,断面设计!$I$8)))</f>
        <v>3000</v>
      </c>
      <c r="P19" s="61">
        <f>IF(AO19=0,断面设计!$L$8,IF(AO19=1,断面设计!$S$33,IF(AO19=2,断面设计!$N$44,0)))</f>
        <v>0.41</v>
      </c>
      <c r="Q19" s="59">
        <f>IF(AO19=0,断面设计!$B$8,IF(AO19=1,断面设计!$B$33,IF(AO19=2,断面设计!$B$44,0)))</f>
        <v>0.61035771418674445</v>
      </c>
      <c r="R19" s="58">
        <f>IF(AO19=0,断面设计!$E$8,IF(AO19=1,断面设计!$J$33,IF(AO19=2,断面设计!$D$44,0)))</f>
        <v>0.70474827215761959</v>
      </c>
      <c r="S19" s="58">
        <f>IF(AO19=0,断面设计!$F$8,IF(AO19=1,断面设计!$K$33,IF(AO19=2,断面设计!$D$44/断面设计!$E$44,0)))</f>
        <v>2.130349326053774</v>
      </c>
      <c r="T19" s="58">
        <f t="shared" si="40"/>
        <v>0.33081347905654718</v>
      </c>
      <c r="U19" s="58">
        <f t="shared" si="41"/>
        <v>0.58176801022124669</v>
      </c>
      <c r="V19" s="59">
        <f t="shared" si="42"/>
        <v>1.1414926946209686E-3</v>
      </c>
      <c r="W19" s="59"/>
      <c r="X19" s="59">
        <f>IF(AN19=0,IF(AN18=2,(H19-H18-AE18)/O19,(H19-H18)/O19),IF(AN19=1,IF(AN18=2,IF(AE19&lt;9,(H19-H18-AE19-AE18)/断面设计!$I$8,(H19-H18-AE19-AE18)/断面设计!$I$8),(H19-H18-AE19)/O18),(H19-H18)/O19))</f>
        <v>6.9039489404286386E-3</v>
      </c>
      <c r="Y19" s="59">
        <f t="shared" si="20"/>
        <v>0</v>
      </c>
      <c r="Z19" s="58">
        <f t="shared" si="21"/>
        <v>0</v>
      </c>
      <c r="AA19" s="68"/>
      <c r="AB19" s="56">
        <f t="shared" si="43"/>
        <v>0.61035771418674445</v>
      </c>
      <c r="AC19" s="56">
        <f t="shared" si="44"/>
        <v>8.045441635049607E-3</v>
      </c>
      <c r="AD19" s="56">
        <f t="shared" si="45"/>
        <v>2424.7772475558604</v>
      </c>
      <c r="AE19" s="60">
        <f t="shared" si="46"/>
        <v>0</v>
      </c>
      <c r="AF19" s="56" t="str">
        <f t="shared" si="47"/>
        <v xml:space="preserve"> </v>
      </c>
      <c r="AG19" s="56" t="str">
        <f>IF(AE19=0," ",AF19-断面设计!$B$8)</f>
        <v xml:space="preserve"> </v>
      </c>
      <c r="AH19" s="56">
        <f t="shared" si="48"/>
        <v>2424.7801157318731</v>
      </c>
      <c r="AI19" s="56">
        <f t="shared" si="49"/>
        <v>2424.1697580176865</v>
      </c>
      <c r="AJ19" s="56">
        <f t="shared" si="50"/>
        <v>2424.7755208725425</v>
      </c>
      <c r="AK19" s="56">
        <f t="shared" si="51"/>
        <v>2424.1651631583559</v>
      </c>
      <c r="AL19" s="56">
        <f t="shared" si="52"/>
        <v>2424.7778183022078</v>
      </c>
      <c r="AM19" s="56">
        <f t="shared" si="53"/>
        <v>2424.1674605880212</v>
      </c>
      <c r="AN19" s="45"/>
      <c r="AO19" s="45">
        <v>0</v>
      </c>
      <c r="AP19" s="76"/>
      <c r="AQ19" s="77"/>
      <c r="AR19" s="78"/>
    </row>
    <row r="20" spans="1:44" s="18" customFormat="1" ht="12.75" x14ac:dyDescent="0.2">
      <c r="A20" s="45"/>
      <c r="B20" s="43" t="str">
        <f>线路!B17</f>
        <v>IP14</v>
      </c>
      <c r="C20" s="44">
        <f>线路!E17</f>
        <v>454670.8688</v>
      </c>
      <c r="D20" s="44">
        <f>线路!F17</f>
        <v>3046613.5603</v>
      </c>
      <c r="E20" s="172">
        <f>线路!G17</f>
        <v>10</v>
      </c>
      <c r="F20" s="6">
        <f>线路!H17</f>
        <v>114.583</v>
      </c>
      <c r="G20" s="145">
        <f>线路!L17</f>
        <v>638.96102446220596</v>
      </c>
      <c r="H20" s="145">
        <f>线路!M17</f>
        <v>648.96027754626925</v>
      </c>
      <c r="I20" s="145">
        <f>线路!N17</f>
        <v>658.95953063033255</v>
      </c>
      <c r="J20" s="58">
        <f t="shared" si="37"/>
        <v>19.998506168126596</v>
      </c>
      <c r="K20" s="58">
        <f t="shared" si="38"/>
        <v>21.219830159899061</v>
      </c>
      <c r="L20" s="58">
        <f>IF(AO20=0,断面设计!$C$8,IF(AO20=1,断面设计!$C$33,IF(AO20=2,断面设计!$C$44*2,0)))</f>
        <v>1.5524731620415944</v>
      </c>
      <c r="M20" s="7">
        <f>IF(AO20=0,断面设计!$D$8,0)</f>
        <v>0.24932800284318068</v>
      </c>
      <c r="N20" s="59">
        <f t="shared" si="39"/>
        <v>1.4999999999999999E-2</v>
      </c>
      <c r="O20" s="60">
        <f>IF(AO20=0,断面设计!$I$8,IF(AO20=1,断面设计!$N$33,IF(AO20=2,断面设计!$G$44,断面设计!$I$8)))</f>
        <v>3000</v>
      </c>
      <c r="P20" s="61">
        <f>IF(AO20=0,断面设计!$L$8,IF(AO20=1,断面设计!$S$33,IF(AO20=2,断面设计!$N$44,0)))</f>
        <v>0.41</v>
      </c>
      <c r="Q20" s="59">
        <f>IF(AO20=0,断面设计!$B$8,IF(AO20=1,断面设计!$B$33,IF(AO20=2,断面设计!$B$44,0)))</f>
        <v>0.61035771418674445</v>
      </c>
      <c r="R20" s="58">
        <f>IF(AO20=0,断面设计!$E$8,IF(AO20=1,断面设计!$J$33,IF(AO20=2,断面设计!$D$44,0)))</f>
        <v>0.70474827215761959</v>
      </c>
      <c r="S20" s="58">
        <f>IF(AO20=0,断面设计!$F$8,IF(AO20=1,断面设计!$K$33,IF(AO20=2,断面设计!$D$44/断面设计!$E$44,0)))</f>
        <v>2.130349326053774</v>
      </c>
      <c r="T20" s="58">
        <f t="shared" si="40"/>
        <v>0.33081347905654718</v>
      </c>
      <c r="U20" s="58">
        <f t="shared" si="41"/>
        <v>0.58176801022124669</v>
      </c>
      <c r="V20" s="59">
        <f t="shared" si="42"/>
        <v>2.2034680070040741E-3</v>
      </c>
      <c r="W20" s="59"/>
      <c r="X20" s="59">
        <f>IF(AN20=0,IF(AN19=2,(H20-H19-AE19)/O20,(H20-H19)/O20),IF(AN20=1,IF(AN19=2,IF(AE20&lt;9,(H20-H19-AE20-AE19)/断面设计!$I$8,(H20-H19-AE20-AE19)/断面设计!$I$8),(H20-H19-AE20)/O19),(H20-H19)/O20))</f>
        <v>7.0732767199663538E-3</v>
      </c>
      <c r="Y20" s="59">
        <f t="shared" si="20"/>
        <v>0</v>
      </c>
      <c r="Z20" s="58">
        <f t="shared" si="21"/>
        <v>0</v>
      </c>
      <c r="AA20" s="68"/>
      <c r="AB20" s="56">
        <f t="shared" si="43"/>
        <v>0.61035771418674445</v>
      </c>
      <c r="AC20" s="56">
        <f t="shared" si="44"/>
        <v>9.2767447269704283E-3</v>
      </c>
      <c r="AD20" s="56">
        <f t="shared" si="45"/>
        <v>2424.7679708111336</v>
      </c>
      <c r="AE20" s="60">
        <f t="shared" si="46"/>
        <v>0</v>
      </c>
      <c r="AF20" s="56" t="str">
        <f t="shared" si="47"/>
        <v xml:space="preserve"> </v>
      </c>
      <c r="AG20" s="56" t="str">
        <f>IF(AE20=0," ",AF20-断面设计!$B$8)</f>
        <v xml:space="preserve"> </v>
      </c>
      <c r="AH20" s="56">
        <f t="shared" si="48"/>
        <v>2424.7735073635017</v>
      </c>
      <c r="AI20" s="56">
        <f t="shared" si="49"/>
        <v>2424.1631496493151</v>
      </c>
      <c r="AJ20" s="56">
        <f t="shared" si="50"/>
        <v>2424.7646377267724</v>
      </c>
      <c r="AK20" s="56">
        <f t="shared" si="51"/>
        <v>2424.1542800125858</v>
      </c>
      <c r="AL20" s="56">
        <f t="shared" si="52"/>
        <v>2424.7690725451371</v>
      </c>
      <c r="AM20" s="56">
        <f t="shared" si="53"/>
        <v>2424.1587148309504</v>
      </c>
      <c r="AN20" s="45"/>
      <c r="AO20" s="45">
        <v>0</v>
      </c>
      <c r="AP20" s="76"/>
      <c r="AQ20" s="77"/>
      <c r="AR20" s="78"/>
    </row>
    <row r="21" spans="1:44" s="20" customFormat="1" x14ac:dyDescent="0.2">
      <c r="A21" s="46"/>
      <c r="B21" s="43" t="str">
        <f>线路!B18</f>
        <v>IP15</v>
      </c>
      <c r="C21" s="44">
        <f>线路!E18</f>
        <v>454619.96130000002</v>
      </c>
      <c r="D21" s="44">
        <f>线路!F18</f>
        <v>3046597.2149999999</v>
      </c>
      <c r="E21" s="172">
        <f>线路!G18</f>
        <v>10</v>
      </c>
      <c r="F21" s="6">
        <f>线路!H18</f>
        <v>62.408000000000001</v>
      </c>
      <c r="G21" s="145">
        <f>线路!L18</f>
        <v>690.79805069316023</v>
      </c>
      <c r="H21" s="145">
        <f>线路!M18</f>
        <v>696.24417609108332</v>
      </c>
      <c r="I21" s="145">
        <f>线路!N18</f>
        <v>701.6903014890064</v>
      </c>
      <c r="J21" s="58">
        <f t="shared" si="37"/>
        <v>10.892250795846167</v>
      </c>
      <c r="K21" s="58">
        <f t="shared" si="38"/>
        <v>47.283898544814065</v>
      </c>
      <c r="L21" s="58">
        <f>IF(AO21=0,断面设计!$C$8,IF(AO21=1,断面设计!$C$33,IF(AO21=2,断面设计!$C$44*2,0)))</f>
        <v>1.5524731620415944</v>
      </c>
      <c r="M21" s="7">
        <f>IF(AO21=0,断面设计!$D$8,0)</f>
        <v>0.24932800284318068</v>
      </c>
      <c r="N21" s="59">
        <f t="shared" si="39"/>
        <v>1.4999999999999999E-2</v>
      </c>
      <c r="O21" s="60">
        <f>IF(AO21=0,断面设计!$I$8,IF(AO21=1,断面设计!$N$33,IF(AO21=2,断面设计!$G$44,断面设计!$I$8)))</f>
        <v>3000</v>
      </c>
      <c r="P21" s="61">
        <f>IF(AO21=0,断面设计!$L$8,IF(AO21=1,断面设计!$S$33,IF(AO21=2,断面设计!$N$44,0)))</f>
        <v>0.41</v>
      </c>
      <c r="Q21" s="59">
        <f>IF(AO21=0,断面设计!$B$8,IF(AO21=1,断面设计!$B$33,IF(AO21=2,断面设计!$B$44,0)))</f>
        <v>0.61035771418674445</v>
      </c>
      <c r="R21" s="58">
        <f>IF(AO21=0,断面设计!$E$8,IF(AO21=1,断面设计!$J$33,IF(AO21=2,断面设计!$D$44,0)))</f>
        <v>0.70474827215761959</v>
      </c>
      <c r="S21" s="58">
        <f>IF(AO21=0,断面设计!$F$8,IF(AO21=1,断面设计!$K$33,IF(AO21=2,断面设计!$D$44/断面设计!$E$44,0)))</f>
        <v>2.130349326053774</v>
      </c>
      <c r="T21" s="58">
        <f t="shared" si="40"/>
        <v>0.33081347905654718</v>
      </c>
      <c r="U21" s="58">
        <f t="shared" si="41"/>
        <v>0.58176801022124669</v>
      </c>
      <c r="V21" s="59">
        <f t="shared" si="42"/>
        <v>1.2001259469651686E-3</v>
      </c>
      <c r="W21" s="59"/>
      <c r="X21" s="59">
        <f>IF(AN21=0,IF(AN20=2,(H21-H20-AE20)/O21,(H21-H20)/O21),IF(AN21=1,IF(AN20=2,IF(AE21&lt;9,(H21-H20-AE21-AE20)/断面设计!$I$8,(H21-H20-AE21-AE20)/断面设计!$I$8),(H21-H20-AE21)/O20),(H21-H20)/O21))</f>
        <v>1.5761299514938022E-2</v>
      </c>
      <c r="Y21" s="59">
        <f t="shared" si="20"/>
        <v>0</v>
      </c>
      <c r="Z21" s="58">
        <f t="shared" si="21"/>
        <v>0</v>
      </c>
      <c r="AA21" s="68"/>
      <c r="AB21" s="56">
        <f t="shared" si="43"/>
        <v>0.61035771418674445</v>
      </c>
      <c r="AC21" s="56">
        <f t="shared" si="44"/>
        <v>1.6961425461903192E-2</v>
      </c>
      <c r="AD21" s="56">
        <f t="shared" si="45"/>
        <v>2424.7510093856718</v>
      </c>
      <c r="AE21" s="60">
        <f t="shared" si="46"/>
        <v>0</v>
      </c>
      <c r="AF21" s="56" t="str">
        <f t="shared" si="47"/>
        <v xml:space="preserve"> </v>
      </c>
      <c r="AG21" s="56" t="str">
        <f>IF(AE21=0," ",AF21-断面设计!$B$8)</f>
        <v xml:space="preserve"> </v>
      </c>
      <c r="AH21" s="56">
        <f t="shared" si="48"/>
        <v>2424.7540248867513</v>
      </c>
      <c r="AI21" s="56">
        <f t="shared" si="49"/>
        <v>2424.1436671725646</v>
      </c>
      <c r="AJ21" s="56">
        <f t="shared" si="50"/>
        <v>2424.7491940105392</v>
      </c>
      <c r="AK21" s="56">
        <f t="shared" si="51"/>
        <v>2424.1388362963526</v>
      </c>
      <c r="AL21" s="56">
        <f t="shared" si="52"/>
        <v>2424.751609448645</v>
      </c>
      <c r="AM21" s="56">
        <f t="shared" si="53"/>
        <v>2424.1412517344584</v>
      </c>
      <c r="AN21" s="45"/>
      <c r="AO21" s="45">
        <v>0</v>
      </c>
      <c r="AP21" s="24"/>
      <c r="AQ21" s="79"/>
    </row>
    <row r="22" spans="1:44" s="20" customFormat="1" x14ac:dyDescent="0.2">
      <c r="A22" s="46"/>
      <c r="B22" s="43" t="str">
        <f>线路!B19</f>
        <v>IP16</v>
      </c>
      <c r="C22" s="44">
        <f>线路!E19</f>
        <v>454594.73070000001</v>
      </c>
      <c r="D22" s="44">
        <f>线路!F19</f>
        <v>3046451.0177000002</v>
      </c>
      <c r="E22" s="172">
        <f>线路!G19</f>
        <v>10</v>
      </c>
      <c r="F22" s="6">
        <f>线路!H19</f>
        <v>50.216000000000001</v>
      </c>
      <c r="G22" s="145">
        <f>线路!L19</f>
        <v>839.30555047265148</v>
      </c>
      <c r="H22" s="145">
        <f>线路!M19</f>
        <v>843.68772315855881</v>
      </c>
      <c r="I22" s="145">
        <f>线路!N19</f>
        <v>848.06989584446615</v>
      </c>
      <c r="J22" s="58">
        <f t="shared" si="37"/>
        <v>8.7643453718146702</v>
      </c>
      <c r="K22" s="58">
        <f t="shared" si="38"/>
        <v>147.44354706747549</v>
      </c>
      <c r="L22" s="58">
        <f>IF(AO22=0,断面设计!$C$8,IF(AO22=1,断面设计!$C$33,IF(AO22=2,断面设计!$C$44*2,0)))</f>
        <v>1.5524731620415944</v>
      </c>
      <c r="M22" s="7">
        <f>IF(AO22=0,断面设计!$D$8,0)</f>
        <v>0.24932800284318068</v>
      </c>
      <c r="N22" s="59">
        <f t="shared" si="39"/>
        <v>1.4999999999999999E-2</v>
      </c>
      <c r="O22" s="60">
        <f>IF(AO22=0,断面设计!$I$8,IF(AO22=1,断面设计!$N$33,IF(AO22=2,断面设计!$G$44,断面设计!$I$8)))</f>
        <v>3000</v>
      </c>
      <c r="P22" s="61">
        <f>IF(AO22=0,断面设计!$L$8,IF(AO22=1,断面设计!$S$33,IF(AO22=2,断面设计!$N$44,0)))</f>
        <v>0.41</v>
      </c>
      <c r="Q22" s="59">
        <f>IF(AO22=0,断面设计!$B$8,IF(AO22=1,断面设计!$B$33,IF(AO22=2,断面设计!$B$44,0)))</f>
        <v>0.61035771418674445</v>
      </c>
      <c r="R22" s="58">
        <f>IF(AO22=0,断面设计!$E$8,IF(AO22=1,断面设计!$J$33,IF(AO22=2,断面设计!$D$44,0)))</f>
        <v>0.70474827215761959</v>
      </c>
      <c r="S22" s="58">
        <f>IF(AO22=0,断面设计!$F$8,IF(AO22=1,断面设计!$K$33,IF(AO22=2,断面设计!$D$44/断面设计!$E$44,0)))</f>
        <v>2.130349326053774</v>
      </c>
      <c r="T22" s="58">
        <f t="shared" si="40"/>
        <v>0.33081347905654718</v>
      </c>
      <c r="U22" s="58">
        <f t="shared" si="41"/>
        <v>0.58176801022124669</v>
      </c>
      <c r="V22" s="59">
        <f t="shared" si="42"/>
        <v>9.6566985887711141E-4</v>
      </c>
      <c r="W22" s="59"/>
      <c r="X22" s="59">
        <f>IF(AN22=0,IF(AN21=2,(H22-H21-AE21)/O22,(H22-H21)/O22),IF(AN22=1,IF(AN21=2,IF(AE22&lt;9,(H22-H21-AE22-AE21)/断面设计!$I$8,(H22-H21-AE22-AE21)/断面设计!$I$8),(H22-H21-AE22)/O21),(H22-H21)/O22))</f>
        <v>4.9147849022491828E-2</v>
      </c>
      <c r="Y22" s="59">
        <f t="shared" si="20"/>
        <v>0</v>
      </c>
      <c r="Z22" s="58">
        <f t="shared" si="21"/>
        <v>0</v>
      </c>
      <c r="AA22" s="68"/>
      <c r="AB22" s="56">
        <f t="shared" si="43"/>
        <v>0.61035771418674445</v>
      </c>
      <c r="AC22" s="56">
        <f t="shared" si="44"/>
        <v>5.0113518881368939E-2</v>
      </c>
      <c r="AD22" s="56">
        <f t="shared" si="45"/>
        <v>2424.7008958667902</v>
      </c>
      <c r="AE22" s="60">
        <f t="shared" si="46"/>
        <v>0</v>
      </c>
      <c r="AF22" s="56" t="str">
        <f t="shared" si="47"/>
        <v xml:space="preserve"> </v>
      </c>
      <c r="AG22" s="56" t="str">
        <f>IF(AE22=0," ",AF22-断面设计!$B$8)</f>
        <v xml:space="preserve"> </v>
      </c>
      <c r="AH22" s="56">
        <f t="shared" si="48"/>
        <v>2424.7033222608779</v>
      </c>
      <c r="AI22" s="56">
        <f t="shared" si="49"/>
        <v>2424.0929645466913</v>
      </c>
      <c r="AJ22" s="56">
        <f t="shared" si="50"/>
        <v>2424.6994351425615</v>
      </c>
      <c r="AK22" s="56">
        <f t="shared" si="51"/>
        <v>2424.0890774283748</v>
      </c>
      <c r="AL22" s="56">
        <f t="shared" si="52"/>
        <v>2424.7013787017195</v>
      </c>
      <c r="AM22" s="56">
        <f t="shared" si="53"/>
        <v>2424.0910209875328</v>
      </c>
      <c r="AN22" s="45"/>
      <c r="AO22" s="45">
        <v>0</v>
      </c>
      <c r="AP22" s="24"/>
      <c r="AQ22" s="79"/>
    </row>
    <row r="23" spans="1:44" s="20" customFormat="1" x14ac:dyDescent="0.2">
      <c r="A23" s="46"/>
      <c r="B23" s="43" t="str">
        <f>线路!B20</f>
        <v>IP17</v>
      </c>
      <c r="C23" s="44">
        <f>线路!E20</f>
        <v>454607.9558</v>
      </c>
      <c r="D23" s="44">
        <f>线路!F20</f>
        <v>3046435.4915</v>
      </c>
      <c r="E23" s="172">
        <f>线路!G20</f>
        <v>10</v>
      </c>
      <c r="F23" s="6">
        <f>线路!H20</f>
        <v>62.91</v>
      </c>
      <c r="G23" s="145">
        <f>线路!L20</f>
        <v>857.66188944005785</v>
      </c>
      <c r="H23" s="145">
        <f>线路!M20</f>
        <v>863.15182260220604</v>
      </c>
      <c r="I23" s="145">
        <f>线路!N20</f>
        <v>868.64175576435423</v>
      </c>
      <c r="J23" s="58">
        <f t="shared" si="37"/>
        <v>10.979866324296381</v>
      </c>
      <c r="K23" s="58">
        <f t="shared" si="38"/>
        <v>19.464099443647228</v>
      </c>
      <c r="L23" s="58">
        <f>IF(AO23=0,断面设计!$C$8,IF(AO23=1,断面设计!$C$33,IF(AO23=2,断面设计!$C$44*2,0)))</f>
        <v>1.5524731620415944</v>
      </c>
      <c r="M23" s="7">
        <f>IF(AO23=0,断面设计!$D$8,0)</f>
        <v>0.24932800284318068</v>
      </c>
      <c r="N23" s="59">
        <f t="shared" si="39"/>
        <v>1.4999999999999999E-2</v>
      </c>
      <c r="O23" s="60">
        <f>IF(AO23=0,断面设计!$I$8,IF(AO23=1,断面设计!$N$33,IF(AO23=2,断面设计!$G$44,断面设计!$I$8)))</f>
        <v>3000</v>
      </c>
      <c r="P23" s="61">
        <f>IF(AO23=0,断面设计!$L$8,IF(AO23=1,断面设计!$S$33,IF(AO23=2,断面设计!$N$44,0)))</f>
        <v>0.41</v>
      </c>
      <c r="Q23" s="59">
        <f>IF(AO23=0,断面设计!$B$8,IF(AO23=1,断面设计!$B$33,IF(AO23=2,断面设计!$B$44,0)))</f>
        <v>0.61035771418674445</v>
      </c>
      <c r="R23" s="58">
        <f>IF(AO23=0,断面设计!$E$8,IF(AO23=1,断面设计!$J$33,IF(AO23=2,断面设计!$D$44,0)))</f>
        <v>0.70474827215761959</v>
      </c>
      <c r="S23" s="58">
        <f>IF(AO23=0,断面设计!$F$8,IF(AO23=1,断面设计!$K$33,IF(AO23=2,断面设计!$D$44/断面设计!$E$44,0)))</f>
        <v>2.130349326053774</v>
      </c>
      <c r="T23" s="58">
        <f t="shared" si="40"/>
        <v>0.33081347905654718</v>
      </c>
      <c r="U23" s="58">
        <f t="shared" si="41"/>
        <v>0.58176801022124669</v>
      </c>
      <c r="V23" s="59">
        <f t="shared" si="42"/>
        <v>1.2097795687024007E-3</v>
      </c>
      <c r="W23" s="59"/>
      <c r="X23" s="59">
        <f>IF(AN23=0,IF(AN22=2,(H23-H22-AE22)/O23,(H23-H22)/O23),IF(AN23=1,IF(AN22=2,IF(AE23&lt;9,(H23-H22-AE23-AE22)/断面设计!$I$8,(H23-H22-AE23-AE22)/断面设计!$I$8),(H23-H22-AE23)/O22),(H23-H22)/O23))</f>
        <v>6.4880331478824093E-3</v>
      </c>
      <c r="Y23" s="59">
        <f t="shared" si="20"/>
        <v>0</v>
      </c>
      <c r="Z23" s="58">
        <f t="shared" si="21"/>
        <v>0</v>
      </c>
      <c r="AA23" s="68"/>
      <c r="AB23" s="56">
        <f t="shared" si="43"/>
        <v>0.61035771418674445</v>
      </c>
      <c r="AC23" s="56">
        <f t="shared" si="44"/>
        <v>7.6978127165848098E-3</v>
      </c>
      <c r="AD23" s="56">
        <f t="shared" si="45"/>
        <v>2424.6931980540735</v>
      </c>
      <c r="AE23" s="60">
        <f t="shared" si="46"/>
        <v>0</v>
      </c>
      <c r="AF23" s="56" t="str">
        <f t="shared" si="47"/>
        <v xml:space="preserve"> </v>
      </c>
      <c r="AG23" s="56" t="str">
        <f>IF(AE23=0," ",AF23-断面设计!$B$8)</f>
        <v xml:space="preserve"> </v>
      </c>
      <c r="AH23" s="56">
        <f t="shared" si="48"/>
        <v>2424.6962378113631</v>
      </c>
      <c r="AI23" s="56">
        <f t="shared" si="49"/>
        <v>2424.0858800971764</v>
      </c>
      <c r="AJ23" s="56">
        <f t="shared" si="50"/>
        <v>2424.6913680763528</v>
      </c>
      <c r="AK23" s="56">
        <f t="shared" si="51"/>
        <v>2424.0810103621661</v>
      </c>
      <c r="AL23" s="56">
        <f t="shared" si="52"/>
        <v>2424.6938029438579</v>
      </c>
      <c r="AM23" s="56">
        <f t="shared" si="53"/>
        <v>2424.0834452296713</v>
      </c>
      <c r="AN23" s="45"/>
      <c r="AO23" s="45">
        <v>0</v>
      </c>
      <c r="AP23" s="24"/>
      <c r="AQ23" s="79"/>
    </row>
    <row r="24" spans="1:44" s="20" customFormat="1" x14ac:dyDescent="0.2">
      <c r="A24" s="46"/>
      <c r="B24" s="43" t="str">
        <f>线路!B21</f>
        <v>IP18</v>
      </c>
      <c r="C24" s="44">
        <f>线路!E21</f>
        <v>454593.6827</v>
      </c>
      <c r="D24" s="44">
        <f>线路!F21</f>
        <v>3046401.0093</v>
      </c>
      <c r="E24" s="172">
        <f>线路!G21</f>
        <v>10</v>
      </c>
      <c r="F24" s="6">
        <f>线路!H21</f>
        <v>17.641999999999999</v>
      </c>
      <c r="G24" s="145">
        <f>线路!L21</f>
        <v>898.29218983460873</v>
      </c>
      <c r="H24" s="145">
        <f>线路!M21</f>
        <v>899.83174476779288</v>
      </c>
      <c r="I24" s="145">
        <f>线路!N21</f>
        <v>901.37129970097715</v>
      </c>
      <c r="J24" s="58">
        <f t="shared" si="37"/>
        <v>3.0791098663684124</v>
      </c>
      <c r="K24" s="58">
        <f t="shared" si="38"/>
        <v>36.679922165586845</v>
      </c>
      <c r="L24" s="58">
        <f>IF(AO24=0,断面设计!$C$8,IF(AO24=1,断面设计!$C$33,IF(AO24=2,断面设计!$C$44*2,0)))</f>
        <v>1.5524731620415944</v>
      </c>
      <c r="M24" s="7">
        <f>IF(AO24=0,断面设计!$D$8,0)</f>
        <v>0.24932800284318068</v>
      </c>
      <c r="N24" s="59">
        <f t="shared" si="39"/>
        <v>1.4999999999999999E-2</v>
      </c>
      <c r="O24" s="60">
        <f>IF(AO24=0,断面设计!$I$8,IF(AO24=1,断面设计!$N$33,IF(AO24=2,断面设计!$G$44,断面设计!$I$8)))</f>
        <v>3000</v>
      </c>
      <c r="P24" s="61">
        <f>IF(AO24=0,断面设计!$L$8,IF(AO24=1,断面设计!$S$33,IF(AO24=2,断面设计!$N$44,0)))</f>
        <v>0.41</v>
      </c>
      <c r="Q24" s="59">
        <f>IF(AO24=0,断面设计!$B$8,IF(AO24=1,断面设计!$B$33,IF(AO24=2,断面设计!$B$44,0)))</f>
        <v>0.61035771418674445</v>
      </c>
      <c r="R24" s="58">
        <f>IF(AO24=0,断面设计!$E$8,IF(AO24=1,断面设计!$J$33,IF(AO24=2,断面设计!$D$44,0)))</f>
        <v>0.70474827215761959</v>
      </c>
      <c r="S24" s="58">
        <f>IF(AO24=0,断面设计!$F$8,IF(AO24=1,断面设计!$K$33,IF(AO24=2,断面设计!$D$44/断面设计!$E$44,0)))</f>
        <v>2.130349326053774</v>
      </c>
      <c r="T24" s="58">
        <f t="shared" si="40"/>
        <v>0.33081347905654718</v>
      </c>
      <c r="U24" s="58">
        <f t="shared" si="41"/>
        <v>0.58176801022124669</v>
      </c>
      <c r="V24" s="59">
        <f t="shared" si="42"/>
        <v>3.3926134400012346E-4</v>
      </c>
      <c r="W24" s="59"/>
      <c r="X24" s="59">
        <f>IF(AN24=0,IF(AN23=2,(H24-H23-AE23)/O24,(H24-H23)/O24),IF(AN24=1,IF(AN23=2,IF(AE24&lt;9,(H24-H23-AE24-AE23)/断面设计!$I$8,(H24-H23-AE24-AE23)/断面设计!$I$8),(H24-H23-AE24)/O23),(H24-H23)/O24))</f>
        <v>1.2226640721862282E-2</v>
      </c>
      <c r="Y24" s="59">
        <f t="shared" si="20"/>
        <v>0</v>
      </c>
      <c r="Z24" s="58">
        <f t="shared" si="21"/>
        <v>0</v>
      </c>
      <c r="AA24" s="68"/>
      <c r="AB24" s="56">
        <f t="shared" si="43"/>
        <v>0.61035771418674445</v>
      </c>
      <c r="AC24" s="56">
        <f t="shared" si="44"/>
        <v>1.2565902065862406E-2</v>
      </c>
      <c r="AD24" s="56">
        <f t="shared" si="45"/>
        <v>2424.6806321520075</v>
      </c>
      <c r="AE24" s="60">
        <f t="shared" si="46"/>
        <v>0</v>
      </c>
      <c r="AF24" s="56" t="str">
        <f t="shared" si="47"/>
        <v xml:space="preserve"> </v>
      </c>
      <c r="AG24" s="56" t="str">
        <f>IF(AE24=0," ",AF24-断面设计!$B$8)</f>
        <v xml:space="preserve"> </v>
      </c>
      <c r="AH24" s="56">
        <f t="shared" si="48"/>
        <v>2424.681484598329</v>
      </c>
      <c r="AI24" s="56">
        <f t="shared" si="49"/>
        <v>2424.0711268841424</v>
      </c>
      <c r="AJ24" s="56">
        <f t="shared" si="50"/>
        <v>2424.68011896703</v>
      </c>
      <c r="AK24" s="56">
        <f t="shared" si="51"/>
        <v>2424.0697612528434</v>
      </c>
      <c r="AL24" s="56">
        <f t="shared" si="52"/>
        <v>2424.6808017826797</v>
      </c>
      <c r="AM24" s="56">
        <f t="shared" si="53"/>
        <v>2424.0704440684931</v>
      </c>
      <c r="AN24" s="45"/>
      <c r="AO24" s="45">
        <v>0</v>
      </c>
      <c r="AP24" s="24"/>
      <c r="AQ24" s="79"/>
    </row>
    <row r="25" spans="1:44" s="20" customFormat="1" x14ac:dyDescent="0.2">
      <c r="A25" s="46"/>
      <c r="B25" s="43" t="str">
        <f>线路!B22</f>
        <v>IP19</v>
      </c>
      <c r="C25" s="44">
        <f>线路!E22</f>
        <v>454581.17839999998</v>
      </c>
      <c r="D25" s="44">
        <f>线路!F22</f>
        <v>3046253.4643999999</v>
      </c>
      <c r="E25" s="172">
        <f>线路!G22</f>
        <v>10</v>
      </c>
      <c r="F25" s="6">
        <f>线路!H22</f>
        <v>7.4210000000000003</v>
      </c>
      <c r="G25" s="145">
        <f>线路!L22</f>
        <v>1047.2447695618639</v>
      </c>
      <c r="H25" s="145">
        <f>线路!M22</f>
        <v>1047.8923739808165</v>
      </c>
      <c r="I25" s="145">
        <f>线路!N22</f>
        <v>1048.5399783997689</v>
      </c>
      <c r="J25" s="58">
        <f t="shared" si="37"/>
        <v>1.2952088379049655</v>
      </c>
      <c r="K25" s="58">
        <f t="shared" si="38"/>
        <v>148.06062921302362</v>
      </c>
      <c r="L25" s="58">
        <f>IF(AO25=0,断面设计!$C$8,IF(AO25=1,断面设计!$C$33,IF(AO25=2,断面设计!$C$44*2,0)))</f>
        <v>1.5524731620415944</v>
      </c>
      <c r="M25" s="7">
        <f>IF(AO25=0,断面设计!$D$8,0)</f>
        <v>0.24932800284318068</v>
      </c>
      <c r="N25" s="59">
        <f t="shared" si="39"/>
        <v>1.4999999999999999E-2</v>
      </c>
      <c r="O25" s="60">
        <f>IF(AO25=0,断面设计!$I$8,IF(AO25=1,断面设计!$N$33,IF(AO25=2,断面设计!$G$44,断面设计!$I$8)))</f>
        <v>3000</v>
      </c>
      <c r="P25" s="61">
        <f>IF(AO25=0,断面设计!$L$8,IF(AO25=1,断面设计!$S$33,IF(AO25=2,断面设计!$N$44,0)))</f>
        <v>0.41</v>
      </c>
      <c r="Q25" s="59">
        <f>IF(AO25=0,断面设计!$B$8,IF(AO25=1,断面设计!$B$33,IF(AO25=2,断面设计!$B$44,0)))</f>
        <v>0.61035771418674445</v>
      </c>
      <c r="R25" s="58">
        <f>IF(AO25=0,断面设计!$E$8,IF(AO25=1,断面设计!$J$33,IF(AO25=2,断面设计!$D$44,0)))</f>
        <v>0.70474827215761959</v>
      </c>
      <c r="S25" s="58">
        <f>IF(AO25=0,断面设计!$F$8,IF(AO25=1,断面设计!$K$33,IF(AO25=2,断面设计!$D$44/断面设计!$E$44,0)))</f>
        <v>2.130349326053774</v>
      </c>
      <c r="T25" s="58">
        <f t="shared" si="40"/>
        <v>0.33081347905654718</v>
      </c>
      <c r="U25" s="58">
        <f t="shared" si="41"/>
        <v>0.58176801022124669</v>
      </c>
      <c r="V25" s="59">
        <f t="shared" si="42"/>
        <v>1.4270822094007775E-4</v>
      </c>
      <c r="W25" s="59"/>
      <c r="X25" s="59">
        <f>IF(AN25=0,IF(AN24=2,(H25-H24-AE24)/O25,(H25-H24)/O25),IF(AN25=1,IF(AN24=2,IF(AE25&lt;9,(H25-H24-AE25-AE24)/断面设计!$I$8,(H25-H24-AE25-AE24)/断面设计!$I$8),(H25-H24-AE25)/O24),(H25-H24)/O25))</f>
        <v>4.9353543071007873E-2</v>
      </c>
      <c r="Y25" s="59">
        <f t="shared" si="20"/>
        <v>0</v>
      </c>
      <c r="Z25" s="58">
        <f t="shared" si="21"/>
        <v>0</v>
      </c>
      <c r="AA25" s="68"/>
      <c r="AB25" s="56">
        <f t="shared" si="43"/>
        <v>0.61035771418674445</v>
      </c>
      <c r="AC25" s="56">
        <f t="shared" si="44"/>
        <v>4.949625129194795E-2</v>
      </c>
      <c r="AD25" s="56">
        <f t="shared" si="45"/>
        <v>2424.6311359007154</v>
      </c>
      <c r="AE25" s="60">
        <f t="shared" si="46"/>
        <v>0</v>
      </c>
      <c r="AF25" s="56" t="str">
        <f t="shared" si="47"/>
        <v xml:space="preserve"> </v>
      </c>
      <c r="AG25" s="56" t="str">
        <f>IF(AE25=0," ",AF25-断面设计!$B$8)</f>
        <v xml:space="preserve"> </v>
      </c>
      <c r="AH25" s="56">
        <f t="shared" si="48"/>
        <v>2424.6314944770761</v>
      </c>
      <c r="AI25" s="56">
        <f t="shared" si="49"/>
        <v>2424.0211367628895</v>
      </c>
      <c r="AJ25" s="56">
        <f t="shared" si="50"/>
        <v>2424.6309200325759</v>
      </c>
      <c r="AK25" s="56">
        <f t="shared" si="51"/>
        <v>2424.0205623183892</v>
      </c>
      <c r="AL25" s="56">
        <f t="shared" si="52"/>
        <v>2424.6312072548258</v>
      </c>
      <c r="AM25" s="56">
        <f t="shared" si="53"/>
        <v>2424.0208495406391</v>
      </c>
      <c r="AN25" s="45"/>
      <c r="AO25" s="45">
        <v>0</v>
      </c>
      <c r="AP25" s="24"/>
      <c r="AQ25" s="79"/>
    </row>
    <row r="26" spans="1:44" s="20" customFormat="1" x14ac:dyDescent="0.2">
      <c r="A26" s="46"/>
      <c r="B26" s="43" t="str">
        <f>线路!B23</f>
        <v>IP20</v>
      </c>
      <c r="C26" s="44">
        <f>线路!E23</f>
        <v>454586.69559999998</v>
      </c>
      <c r="D26" s="44">
        <f>线路!F23</f>
        <v>3046130.8794999998</v>
      </c>
      <c r="E26" s="172">
        <f>线路!G23</f>
        <v>10</v>
      </c>
      <c r="F26" s="6">
        <f>线路!H23</f>
        <v>76.069000000000003</v>
      </c>
      <c r="G26" s="145">
        <f>线路!L23</f>
        <v>1162.7779033944723</v>
      </c>
      <c r="H26" s="145">
        <f>线路!M23</f>
        <v>1169.4161759379701</v>
      </c>
      <c r="I26" s="145">
        <f>线路!N23</f>
        <v>1176.0544484814679</v>
      </c>
      <c r="J26" s="58">
        <f t="shared" si="37"/>
        <v>13.276545086995611</v>
      </c>
      <c r="K26" s="58">
        <f t="shared" si="38"/>
        <v>121.52380195715364</v>
      </c>
      <c r="L26" s="58">
        <f>IF(AO26=0,断面设计!$C$8,IF(AO26=1,断面设计!$C$33,IF(AO26=2,断面设计!$C$44*2,0)))</f>
        <v>1.5524731620415944</v>
      </c>
      <c r="M26" s="7">
        <f>IF(AO26=0,断面设计!$D$8,0)</f>
        <v>0.24932800284318068</v>
      </c>
      <c r="N26" s="59">
        <f t="shared" si="39"/>
        <v>1.4999999999999999E-2</v>
      </c>
      <c r="O26" s="60">
        <f>IF(AO26=0,断面设计!$I$8,IF(AO26=1,断面设计!$N$33,IF(AO26=2,断面设计!$G$44,断面设计!$I$8)))</f>
        <v>3000</v>
      </c>
      <c r="P26" s="61">
        <f>IF(AO26=0,断面设计!$L$8,IF(AO26=1,断面设计!$S$33,IF(AO26=2,断面设计!$N$44,0)))</f>
        <v>0.41</v>
      </c>
      <c r="Q26" s="59">
        <f>IF(AO26=0,断面设计!$B$8,IF(AO26=1,断面设计!$B$33,IF(AO26=2,断面设计!$B$44,0)))</f>
        <v>0.61035771418674445</v>
      </c>
      <c r="R26" s="58">
        <f>IF(AO26=0,断面设计!$E$8,IF(AO26=1,断面设计!$J$33,IF(AO26=2,断面设计!$D$44,0)))</f>
        <v>0.70474827215761959</v>
      </c>
      <c r="S26" s="58">
        <f>IF(AO26=0,断面设计!$F$8,IF(AO26=1,断面设计!$K$33,IF(AO26=2,断面设计!$D$44/断面设计!$E$44,0)))</f>
        <v>2.130349326053774</v>
      </c>
      <c r="T26" s="58">
        <f t="shared" si="40"/>
        <v>0.33081347905654718</v>
      </c>
      <c r="U26" s="58">
        <f t="shared" si="41"/>
        <v>0.58176801022124669</v>
      </c>
      <c r="V26" s="59">
        <f t="shared" si="42"/>
        <v>1.4628313783440171E-3</v>
      </c>
      <c r="W26" s="59"/>
      <c r="X26" s="59">
        <f>IF(AN26=0,IF(AN25=2,(H26-H25-AE25)/O26,(H26-H25)/O26),IF(AN26=1,IF(AN25=2,IF(AE26&lt;9,(H26-H25-AE26-AE25)/断面设计!$I$8,(H26-H25-AE26-AE25)/断面设计!$I$8),(H26-H25-AE26)/O25),(H26-H25)/O26))</f>
        <v>4.0507933985717878E-2</v>
      </c>
      <c r="Y26" s="59">
        <f t="shared" si="20"/>
        <v>0</v>
      </c>
      <c r="Z26" s="58">
        <f t="shared" si="21"/>
        <v>0</v>
      </c>
      <c r="AA26" s="68"/>
      <c r="AB26" s="56">
        <f t="shared" si="43"/>
        <v>0.61035771418674445</v>
      </c>
      <c r="AC26" s="56">
        <f t="shared" si="44"/>
        <v>4.1970765364061899E-2</v>
      </c>
      <c r="AD26" s="56">
        <f t="shared" si="45"/>
        <v>2424.5891651353513</v>
      </c>
      <c r="AE26" s="60">
        <f t="shared" si="46"/>
        <v>0</v>
      </c>
      <c r="AF26" s="56" t="str">
        <f t="shared" si="47"/>
        <v xml:space="preserve"> </v>
      </c>
      <c r="AG26" s="56" t="str">
        <f>IF(AE26=0," ",AF26-断面设计!$B$8)</f>
        <v xml:space="preserve"> </v>
      </c>
      <c r="AH26" s="56">
        <f t="shared" si="48"/>
        <v>2424.5928407242441</v>
      </c>
      <c r="AI26" s="56">
        <f t="shared" si="49"/>
        <v>2423.9824830100574</v>
      </c>
      <c r="AJ26" s="56">
        <f t="shared" si="50"/>
        <v>2424.586952377837</v>
      </c>
      <c r="AK26" s="56">
        <f t="shared" si="51"/>
        <v>2423.9765946636503</v>
      </c>
      <c r="AL26" s="56">
        <f t="shared" si="52"/>
        <v>2424.5898965510405</v>
      </c>
      <c r="AM26" s="56">
        <f t="shared" si="53"/>
        <v>2423.9795388368539</v>
      </c>
      <c r="AN26" s="45"/>
      <c r="AO26" s="45">
        <v>0</v>
      </c>
      <c r="AP26" s="24"/>
      <c r="AQ26" s="79"/>
    </row>
    <row r="27" spans="1:44" s="20" customFormat="1" x14ac:dyDescent="0.2">
      <c r="A27" s="46"/>
      <c r="B27" s="43" t="str">
        <f>线路!B24</f>
        <v>IP21</v>
      </c>
      <c r="C27" s="44">
        <f>线路!E24</f>
        <v>454640.38799999998</v>
      </c>
      <c r="D27" s="44">
        <f>线路!F24</f>
        <v>3046120.0978999999</v>
      </c>
      <c r="E27" s="172">
        <f>线路!G24</f>
        <v>10</v>
      </c>
      <c r="F27" s="6">
        <f>线路!H24</f>
        <v>50.201999999999998</v>
      </c>
      <c r="G27" s="145">
        <f>线路!L24</f>
        <v>1218.3115275559182</v>
      </c>
      <c r="H27" s="145">
        <f>线路!M24</f>
        <v>1222.6924785113492</v>
      </c>
      <c r="I27" s="145">
        <f>线路!N24</f>
        <v>1227.0734294667802</v>
      </c>
      <c r="J27" s="58">
        <f t="shared" si="37"/>
        <v>8.7619019108619796</v>
      </c>
      <c r="K27" s="58">
        <f t="shared" si="38"/>
        <v>53.276302573379098</v>
      </c>
      <c r="L27" s="58">
        <f>IF(AO27=0,断面设计!$C$8,IF(AO27=1,断面设计!$C$33,IF(AO27=2,断面设计!$C$44*2,0)))</f>
        <v>1.5524731620415944</v>
      </c>
      <c r="M27" s="7">
        <f>IF(AO27=0,断面设计!$D$8,0)</f>
        <v>0.24932800284318068</v>
      </c>
      <c r="N27" s="59">
        <f t="shared" si="39"/>
        <v>1.4999999999999999E-2</v>
      </c>
      <c r="O27" s="60">
        <f>IF(AO27=0,断面设计!$I$8,IF(AO27=1,断面设计!$N$33,IF(AO27=2,断面设计!$G$44,断面设计!$I$8)))</f>
        <v>3000</v>
      </c>
      <c r="P27" s="61">
        <f>IF(AO27=0,断面设计!$L$8,IF(AO27=1,断面设计!$S$33,IF(AO27=2,断面设计!$N$44,0)))</f>
        <v>0.41</v>
      </c>
      <c r="Q27" s="59">
        <f>IF(AO27=0,断面设计!$B$8,IF(AO27=1,断面设计!$B$33,IF(AO27=2,断面设计!$B$44,0)))</f>
        <v>0.61035771418674445</v>
      </c>
      <c r="R27" s="58">
        <f>IF(AO27=0,断面设计!$E$8,IF(AO27=1,断面设计!$J$33,IF(AO27=2,断面设计!$D$44,0)))</f>
        <v>0.70474827215761959</v>
      </c>
      <c r="S27" s="58">
        <f>IF(AO27=0,断面设计!$F$8,IF(AO27=1,断面设计!$K$33,IF(AO27=2,断面设计!$D$44/断面设计!$E$44,0)))</f>
        <v>2.130349326053774</v>
      </c>
      <c r="T27" s="58">
        <f t="shared" si="40"/>
        <v>0.33081347905654718</v>
      </c>
      <c r="U27" s="58">
        <f t="shared" si="41"/>
        <v>0.58176801022124669</v>
      </c>
      <c r="V27" s="59">
        <f t="shared" si="42"/>
        <v>9.6540063436652279E-4</v>
      </c>
      <c r="W27" s="59"/>
      <c r="X27" s="59">
        <f>IF(AN27=0,IF(AN26=2,(H27-H26-AE26)/O27,(H27-H26)/O27),IF(AN27=1,IF(AN26=2,IF(AE27&lt;9,(H27-H26-AE27-AE26)/断面设计!$I$8,(H27-H26-AE27-AE26)/断面设计!$I$8),(H27-H26-AE27)/O26),(H27-H26)/O27))</f>
        <v>1.77587675244597E-2</v>
      </c>
      <c r="Y27" s="59">
        <f t="shared" si="20"/>
        <v>0</v>
      </c>
      <c r="Z27" s="58">
        <f t="shared" si="21"/>
        <v>0</v>
      </c>
      <c r="AA27" s="68"/>
      <c r="AB27" s="56">
        <f t="shared" si="43"/>
        <v>0.61035771418674445</v>
      </c>
      <c r="AC27" s="56">
        <f t="shared" si="44"/>
        <v>1.8724168158826222E-2</v>
      </c>
      <c r="AD27" s="56">
        <f t="shared" si="45"/>
        <v>2424.5704409671926</v>
      </c>
      <c r="AE27" s="60">
        <f t="shared" si="46"/>
        <v>0</v>
      </c>
      <c r="AF27" s="56" t="str">
        <f t="shared" si="47"/>
        <v xml:space="preserve"> </v>
      </c>
      <c r="AG27" s="56" t="str">
        <f>IF(AE27=0," ",AF27-断面设计!$B$8)</f>
        <v xml:space="preserve"> </v>
      </c>
      <c r="AH27" s="56">
        <f t="shared" si="48"/>
        <v>2424.5728666848122</v>
      </c>
      <c r="AI27" s="56">
        <f t="shared" si="49"/>
        <v>2423.9625089706255</v>
      </c>
      <c r="AJ27" s="56">
        <f t="shared" si="50"/>
        <v>2424.5689806502073</v>
      </c>
      <c r="AK27" s="56">
        <f t="shared" si="51"/>
        <v>2423.9586229360207</v>
      </c>
      <c r="AL27" s="56">
        <f t="shared" si="52"/>
        <v>2424.5709236675098</v>
      </c>
      <c r="AM27" s="56">
        <f t="shared" si="53"/>
        <v>2423.9605659533231</v>
      </c>
      <c r="AN27" s="45"/>
      <c r="AO27" s="45">
        <v>0</v>
      </c>
      <c r="AP27" s="24">
        <v>2424.48</v>
      </c>
      <c r="AQ27" s="79"/>
    </row>
    <row r="28" spans="1:44" s="158" customFormat="1" x14ac:dyDescent="0.2">
      <c r="A28" s="159"/>
      <c r="B28" s="47" t="str">
        <f>线路!B25</f>
        <v>1#倒进</v>
      </c>
      <c r="C28" s="48">
        <f>线路!E25</f>
        <v>454662.73790000001</v>
      </c>
      <c r="D28" s="48">
        <f>线路!F25</f>
        <v>3046078.8388999999</v>
      </c>
      <c r="E28" s="173">
        <f>线路!G25</f>
        <v>10</v>
      </c>
      <c r="F28" s="9">
        <f>线路!H25</f>
        <v>0</v>
      </c>
      <c r="G28" s="146">
        <f>线路!L25</f>
        <v>1269.312462340293</v>
      </c>
      <c r="H28" s="146">
        <f>线路!M25</f>
        <v>1269.312462340293</v>
      </c>
      <c r="I28" s="146">
        <f>线路!N25</f>
        <v>1269.312462340293</v>
      </c>
      <c r="J28" s="62">
        <f t="shared" si="37"/>
        <v>0</v>
      </c>
      <c r="K28" s="62">
        <f t="shared" si="38"/>
        <v>46.619983828943759</v>
      </c>
      <c r="L28" s="58">
        <f>IF(AO28=0,断面设计!$C$8,IF(AO28=1,断面设计!$C$33,IF(AO28=2,断面设计!$C$44*2,0)))</f>
        <v>1.5524731620415944</v>
      </c>
      <c r="M28" s="7">
        <f>IF(AO28=0,断面设计!$D$8,0)</f>
        <v>0.24932800284318068</v>
      </c>
      <c r="N28" s="63">
        <f t="shared" si="39"/>
        <v>1.4999999999999999E-2</v>
      </c>
      <c r="O28" s="60">
        <f>IF(AO28=0,断面设计!$I$8,IF(AO28=1,断面设计!$N$33,IF(AO28=2,断面设计!$G$44,断面设计!$I$8)))</f>
        <v>3000</v>
      </c>
      <c r="P28" s="61">
        <f>IF(AO28=0,断面设计!$L$8,IF(AO28=1,断面设计!$S$33,IF(AO28=2,断面设计!$N$44,0)))</f>
        <v>0.41</v>
      </c>
      <c r="Q28" s="59">
        <f>IF(AO28=0,断面设计!$B$8,IF(AO28=1,断面设计!$B$33,IF(AO28=2,断面设计!$B$44,0)))</f>
        <v>0.61035771418674445</v>
      </c>
      <c r="R28" s="58">
        <f>IF(AO28=0,断面设计!$E$8,IF(AO28=1,断面设计!$J$33,IF(AO28=2,断面设计!$D$44,0)))</f>
        <v>0.70474827215761959</v>
      </c>
      <c r="S28" s="58">
        <f>IF(AO28=0,断面设计!$F$8,IF(AO28=1,断面设计!$K$33,IF(AO28=2,断面设计!$D$44/断面设计!$E$44,0)))</f>
        <v>2.130349326053774</v>
      </c>
      <c r="T28" s="62">
        <f t="shared" si="40"/>
        <v>0.33081347905654718</v>
      </c>
      <c r="U28" s="62">
        <f t="shared" si="41"/>
        <v>0.58176801022124669</v>
      </c>
      <c r="V28" s="63">
        <f t="shared" si="42"/>
        <v>0</v>
      </c>
      <c r="W28" s="63"/>
      <c r="X28" s="63">
        <f>IF(AN28=0,IF(AN27=2,(H28-H27-AE27)/O28,(H28-H27)/O28),IF(AN28=1,IF(AN27=2,IF(AE28&lt;9,(H28-H27-AE28-AE27)/断面设计!$I$8,(H28-H27-AE28-AE27)/断面设计!$I$8),(H28-H27-AE28)/O27),(H28-H27)/O28))</f>
        <v>1.553999460964792E-2</v>
      </c>
      <c r="Y28" s="63">
        <f t="shared" si="20"/>
        <v>0</v>
      </c>
      <c r="Z28" s="62">
        <f t="shared" si="21"/>
        <v>0</v>
      </c>
      <c r="AA28" s="235"/>
      <c r="AB28" s="71">
        <f t="shared" si="43"/>
        <v>0.61035771418674445</v>
      </c>
      <c r="AC28" s="71">
        <f t="shared" si="44"/>
        <v>1.553999460964792E-2</v>
      </c>
      <c r="AD28" s="71">
        <f t="shared" si="45"/>
        <v>2424.5549009725828</v>
      </c>
      <c r="AE28" s="64">
        <f t="shared" si="46"/>
        <v>0</v>
      </c>
      <c r="AF28" s="71" t="str">
        <f t="shared" si="47"/>
        <v xml:space="preserve"> </v>
      </c>
      <c r="AG28" s="71" t="str">
        <f>IF(AE28=0," ",AF28-断面设计!$B$8)</f>
        <v xml:space="preserve"> </v>
      </c>
      <c r="AH28" s="71" t="str">
        <f t="shared" si="48"/>
        <v xml:space="preserve"> </v>
      </c>
      <c r="AI28" s="71" t="str">
        <f t="shared" si="49"/>
        <v xml:space="preserve"> </v>
      </c>
      <c r="AJ28" s="71" t="str">
        <f t="shared" si="50"/>
        <v xml:space="preserve"> </v>
      </c>
      <c r="AK28" s="71" t="str">
        <f t="shared" si="51"/>
        <v xml:space="preserve"> </v>
      </c>
      <c r="AL28" s="71">
        <f t="shared" si="52"/>
        <v>2424.5549009725828</v>
      </c>
      <c r="AM28" s="71">
        <f t="shared" si="53"/>
        <v>2423.9445432583962</v>
      </c>
      <c r="AN28" s="74">
        <v>1</v>
      </c>
      <c r="AO28" s="74">
        <v>0</v>
      </c>
      <c r="AP28" s="160"/>
      <c r="AQ28" s="161"/>
    </row>
    <row r="29" spans="1:44" s="158" customFormat="1" x14ac:dyDescent="0.2">
      <c r="A29" s="159"/>
      <c r="B29" s="47" t="str">
        <f>线路!B26</f>
        <v>IP22</v>
      </c>
      <c r="C29" s="48">
        <f>线路!E26</f>
        <v>454675.87449999998</v>
      </c>
      <c r="D29" s="48">
        <f>线路!F26</f>
        <v>3046054.588</v>
      </c>
      <c r="E29" s="173">
        <f>线路!G26</f>
        <v>2.4</v>
      </c>
      <c r="F29" s="9">
        <f>线路!H26</f>
        <v>28.937000000000001</v>
      </c>
      <c r="G29" s="146">
        <f>线路!L26</f>
        <v>1296.2735504239454</v>
      </c>
      <c r="H29" s="146">
        <f>线路!M26</f>
        <v>1296.879605534725</v>
      </c>
      <c r="I29" s="146">
        <f>线路!N26</f>
        <v>1297.4856606455044</v>
      </c>
      <c r="J29" s="62">
        <f t="shared" si="31"/>
        <v>1.2121102215589872</v>
      </c>
      <c r="K29" s="62">
        <f t="shared" si="32"/>
        <v>27.567143194431992</v>
      </c>
      <c r="L29" s="58">
        <f>IF(AO29=0,断面设计!$C$8,IF(AO29=1,断面设计!$C$33,IF(AO29=2,断面设计!$C$44*2,0)))</f>
        <v>1.5524731620415944</v>
      </c>
      <c r="M29" s="7">
        <f>IF(AO29=0,断面设计!$D$8,0)</f>
        <v>0.24932800284318068</v>
      </c>
      <c r="N29" s="63">
        <f t="shared" si="30"/>
        <v>1.4999999999999999E-2</v>
      </c>
      <c r="O29" s="60">
        <f>IF(AO29=0,断面设计!$I$8,IF(AO29=1,断面设计!$N$33,IF(AO29=2,断面设计!$G$44,断面设计!$I$8)))</f>
        <v>3000</v>
      </c>
      <c r="P29" s="61">
        <f>IF(AO29=0,断面设计!$L$8,IF(AO29=1,断面设计!$S$33,IF(AO29=2,断面设计!$N$44,0)))</f>
        <v>0.41</v>
      </c>
      <c r="Q29" s="59">
        <f>IF(AO29=0,断面设计!$B$8,IF(AO29=1,断面设计!$B$33,IF(AO29=2,断面设计!$B$44,0)))</f>
        <v>0.61035771418674445</v>
      </c>
      <c r="R29" s="58">
        <f>IF(AO29=0,断面设计!$E$8,IF(AO29=1,断面设计!$J$33,IF(AO29=2,断面设计!$D$44,0)))</f>
        <v>0.70474827215761959</v>
      </c>
      <c r="S29" s="58">
        <f>IF(AO29=0,断面设计!$F$8,IF(AO29=1,断面设计!$K$33,IF(AO29=2,断面设计!$D$44/断面设计!$E$44,0)))</f>
        <v>2.130349326053774</v>
      </c>
      <c r="T29" s="62">
        <f t="shared" ref="T29:T90" si="54">R29/S29</f>
        <v>0.33081347905654718</v>
      </c>
      <c r="U29" s="62">
        <f t="shared" ref="U29:U90" si="55">P29/R29</f>
        <v>0.58176801022124669</v>
      </c>
      <c r="V29" s="63"/>
      <c r="W29" s="63"/>
      <c r="X29" s="63"/>
      <c r="Y29" s="63"/>
      <c r="Z29" s="62"/>
      <c r="AA29" s="70"/>
      <c r="AB29" s="71"/>
      <c r="AC29" s="71"/>
      <c r="AD29" s="71"/>
      <c r="AE29" s="64"/>
      <c r="AF29" s="71"/>
      <c r="AG29" s="71"/>
      <c r="AH29" s="71"/>
      <c r="AI29" s="71"/>
      <c r="AJ29" s="71"/>
      <c r="AK29" s="71"/>
      <c r="AL29" s="71"/>
      <c r="AM29" s="71"/>
      <c r="AN29" s="74"/>
      <c r="AO29" s="74">
        <v>0</v>
      </c>
      <c r="AP29" s="160"/>
      <c r="AQ29" s="162"/>
    </row>
    <row r="30" spans="1:44" s="158" customFormat="1" x14ac:dyDescent="0.2">
      <c r="A30" s="159"/>
      <c r="B30" s="47" t="str">
        <f>线路!B27</f>
        <v>IP23</v>
      </c>
      <c r="C30" s="48">
        <f>线路!E27</f>
        <v>454672.88</v>
      </c>
      <c r="D30" s="48">
        <f>线路!F27</f>
        <v>3045706.6822000002</v>
      </c>
      <c r="E30" s="173">
        <f>线路!G27</f>
        <v>2.4</v>
      </c>
      <c r="F30" s="9">
        <f>线路!H27</f>
        <v>85.268000000000001</v>
      </c>
      <c r="G30" s="146">
        <f>线路!L27</f>
        <v>1642.5755298739725</v>
      </c>
      <c r="H30" s="146">
        <f>线路!M27</f>
        <v>1644.3613786898811</v>
      </c>
      <c r="I30" s="146">
        <f>线路!N27</f>
        <v>1646.1472275057897</v>
      </c>
      <c r="J30" s="62">
        <f t="shared" si="31"/>
        <v>3.5716976318171874</v>
      </c>
      <c r="K30" s="62">
        <f t="shared" si="32"/>
        <v>347.48177315515613</v>
      </c>
      <c r="L30" s="58">
        <f>IF(AO30=0,断面设计!$C$8,IF(AO30=1,断面设计!$C$33,IF(AO30=2,断面设计!$C$44*2,0)))</f>
        <v>1.5524731620415944</v>
      </c>
      <c r="M30" s="7">
        <f>IF(AO30=0,断面设计!$D$8,0)</f>
        <v>0.24932800284318068</v>
      </c>
      <c r="N30" s="63">
        <f t="shared" si="30"/>
        <v>1.4999999999999999E-2</v>
      </c>
      <c r="O30" s="60">
        <f>IF(AO30=0,断面设计!$I$8,IF(AO30=1,断面设计!$N$33,IF(AO30=2,断面设计!$G$44,断面设计!$I$8)))</f>
        <v>3000</v>
      </c>
      <c r="P30" s="61">
        <f>IF(AO30=0,断面设计!$L$8,IF(AO30=1,断面设计!$S$33,IF(AO30=2,断面设计!$N$44,0)))</f>
        <v>0.41</v>
      </c>
      <c r="Q30" s="59">
        <f>IF(AO30=0,断面设计!$B$8,IF(AO30=1,断面设计!$B$33,IF(AO30=2,断面设计!$B$44,0)))</f>
        <v>0.61035771418674445</v>
      </c>
      <c r="R30" s="58">
        <f>IF(AO30=0,断面设计!$E$8,IF(AO30=1,断面设计!$J$33,IF(AO30=2,断面设计!$D$44,0)))</f>
        <v>0.70474827215761959</v>
      </c>
      <c r="S30" s="58">
        <f>IF(AO30=0,断面设计!$F$8,IF(AO30=1,断面设计!$K$33,IF(AO30=2,断面设计!$D$44/断面设计!$E$44,0)))</f>
        <v>2.130349326053774</v>
      </c>
      <c r="T30" s="62">
        <f t="shared" si="54"/>
        <v>0.33081347905654718</v>
      </c>
      <c r="U30" s="62">
        <f t="shared" si="55"/>
        <v>0.58176801022124669</v>
      </c>
      <c r="V30" s="63"/>
      <c r="W30" s="63"/>
      <c r="X30" s="63"/>
      <c r="Y30" s="63"/>
      <c r="Z30" s="62"/>
      <c r="AA30" s="70"/>
      <c r="AB30" s="71"/>
      <c r="AC30" s="71"/>
      <c r="AD30" s="71"/>
      <c r="AE30" s="64"/>
      <c r="AF30" s="71"/>
      <c r="AG30" s="71"/>
      <c r="AH30" s="71"/>
      <c r="AI30" s="71"/>
      <c r="AJ30" s="71"/>
      <c r="AK30" s="71"/>
      <c r="AL30" s="71"/>
      <c r="AM30" s="71"/>
      <c r="AN30" s="74"/>
      <c r="AO30" s="74">
        <v>0</v>
      </c>
      <c r="AP30" s="160"/>
      <c r="AQ30" s="162"/>
    </row>
    <row r="31" spans="1:44" s="158" customFormat="1" x14ac:dyDescent="0.2">
      <c r="A31" s="159"/>
      <c r="B31" s="47" t="str">
        <f>线路!B28</f>
        <v>1#倒出</v>
      </c>
      <c r="C31" s="48">
        <f>线路!E28</f>
        <v>454644.34669999999</v>
      </c>
      <c r="D31" s="48">
        <f>线路!F28</f>
        <v>3045704.5674999999</v>
      </c>
      <c r="E31" s="173">
        <f>线路!G28</f>
        <v>10</v>
      </c>
      <c r="F31" s="9">
        <f>线路!H28</f>
        <v>0</v>
      </c>
      <c r="G31" s="146">
        <f>线路!L28</f>
        <v>1672.5492409974554</v>
      </c>
      <c r="H31" s="146">
        <f>线路!M28</f>
        <v>1672.5492409974554</v>
      </c>
      <c r="I31" s="146">
        <f>线路!N28</f>
        <v>1672.5492409974554</v>
      </c>
      <c r="J31" s="62">
        <f t="shared" si="31"/>
        <v>0</v>
      </c>
      <c r="K31" s="62">
        <f t="shared" si="32"/>
        <v>28.187862307574278</v>
      </c>
      <c r="L31" s="58">
        <f>IF(AO31=0,断面设计!$C$8,IF(AO31=1,断面设计!$C$33,IF(AO31=2,断面设计!$C$44*2,0)))</f>
        <v>1.5524731620415944</v>
      </c>
      <c r="M31" s="7">
        <f>IF(AO31=0,断面设计!$D$8,0)</f>
        <v>0.24932800284318068</v>
      </c>
      <c r="N31" s="63">
        <f t="shared" si="30"/>
        <v>1.4999999999999999E-2</v>
      </c>
      <c r="O31" s="60">
        <f>IF(AO31=0,断面设计!$I$8,IF(AO31=1,断面设计!$N$33,IF(AO31=2,断面设计!$G$44,断面设计!$I$8)))</f>
        <v>3000</v>
      </c>
      <c r="P31" s="61">
        <f>IF(AO31=0,断面设计!$L$8,IF(AO31=1,断面设计!$S$33,IF(AO31=2,断面设计!$N$44,0)))</f>
        <v>0.41</v>
      </c>
      <c r="Q31" s="59">
        <f>IF(AO31=0,断面设计!$B$8,IF(AO31=1,断面设计!$B$33,IF(AO31=2,断面设计!$B$44,0)))</f>
        <v>0.61035771418674445</v>
      </c>
      <c r="R31" s="58">
        <f>IF(AO31=0,断面设计!$E$8,IF(AO31=1,断面设计!$J$33,IF(AO31=2,断面设计!$D$44,0)))</f>
        <v>0.70474827215761959</v>
      </c>
      <c r="S31" s="58">
        <f>IF(AO31=0,断面设计!$F$8,IF(AO31=1,断面设计!$K$33,IF(AO31=2,断面设计!$D$44/断面设计!$E$44,0)))</f>
        <v>2.130349326053774</v>
      </c>
      <c r="T31" s="62">
        <f t="shared" si="54"/>
        <v>0.33081347905654718</v>
      </c>
      <c r="U31" s="62">
        <f t="shared" si="55"/>
        <v>0.58176801022124669</v>
      </c>
      <c r="V31" s="63"/>
      <c r="W31" s="63"/>
      <c r="X31" s="63"/>
      <c r="Y31" s="63">
        <v>1.03</v>
      </c>
      <c r="Z31" s="62">
        <f t="shared" ref="Z31:Z93" si="56">Z30</f>
        <v>0</v>
      </c>
      <c r="AA31" s="70"/>
      <c r="AB31" s="71">
        <f t="shared" si="33"/>
        <v>0.61035771418674445</v>
      </c>
      <c r="AC31" s="71">
        <f t="shared" si="5"/>
        <v>1.03</v>
      </c>
      <c r="AD31" s="71">
        <f>AD28-AC31</f>
        <v>2423.5249009725826</v>
      </c>
      <c r="AE31" s="64">
        <v>0</v>
      </c>
      <c r="AF31" s="71" t="str">
        <f t="shared" si="36"/>
        <v xml:space="preserve"> </v>
      </c>
      <c r="AG31" s="71" t="str">
        <f>IF(AE31=0," ",AF31-断面设计!#REF!)</f>
        <v xml:space="preserve"> </v>
      </c>
      <c r="AH31" s="71" t="str">
        <f t="shared" si="24"/>
        <v xml:space="preserve"> </v>
      </c>
      <c r="AI31" s="71" t="str">
        <f t="shared" si="25"/>
        <v xml:space="preserve"> </v>
      </c>
      <c r="AJ31" s="71" t="str">
        <f t="shared" si="26"/>
        <v xml:space="preserve"> </v>
      </c>
      <c r="AK31" s="71" t="str">
        <f t="shared" si="27"/>
        <v xml:space="preserve"> </v>
      </c>
      <c r="AL31" s="71">
        <f t="shared" si="28"/>
        <v>2423.5249009725826</v>
      </c>
      <c r="AM31" s="71">
        <f t="shared" si="29"/>
        <v>2422.914543258396</v>
      </c>
      <c r="AN31" s="74">
        <v>2</v>
      </c>
      <c r="AO31" s="74">
        <v>0</v>
      </c>
      <c r="AP31" s="160">
        <v>2423.5100000000002</v>
      </c>
      <c r="AQ31" s="161"/>
    </row>
    <row r="32" spans="1:44" s="20" customFormat="1" x14ac:dyDescent="0.2">
      <c r="A32" s="46"/>
      <c r="B32" s="43" t="str">
        <f>线路!B29</f>
        <v>IP24</v>
      </c>
      <c r="C32" s="44">
        <f>线路!E29</f>
        <v>454609.96799999999</v>
      </c>
      <c r="D32" s="44">
        <f>线路!F29</f>
        <v>3045702.0196000002</v>
      </c>
      <c r="E32" s="172">
        <f>线路!G29</f>
        <v>10</v>
      </c>
      <c r="F32" s="6">
        <f>线路!H29</f>
        <v>11.305</v>
      </c>
      <c r="G32" s="145">
        <f>线路!L29</f>
        <v>1706.0324671627793</v>
      </c>
      <c r="H32" s="145">
        <f>线路!M29</f>
        <v>1707.0190145224692</v>
      </c>
      <c r="I32" s="145">
        <f>线路!N29</f>
        <v>1708.0055618821589</v>
      </c>
      <c r="J32" s="58">
        <f t="shared" si="31"/>
        <v>1.97309471937956</v>
      </c>
      <c r="K32" s="58">
        <f t="shared" si="32"/>
        <v>34.469773525013807</v>
      </c>
      <c r="L32" s="58">
        <f>IF(AO32=0,断面设计!$C$8,IF(AO32=1,断面设计!$C$33,IF(AO32=2,断面设计!$C$44*2,0)))</f>
        <v>1.5524731620415944</v>
      </c>
      <c r="M32" s="7">
        <f>IF(AO32=0,断面设计!$D$8,0)</f>
        <v>0.24932800284318068</v>
      </c>
      <c r="N32" s="59">
        <f t="shared" si="30"/>
        <v>1.4999999999999999E-2</v>
      </c>
      <c r="O32" s="60">
        <f>IF(AO32=0,断面设计!$I$8,IF(AO32=1,断面设计!$N$33,IF(AO32=2,断面设计!$G$44,断面设计!$I$8)))</f>
        <v>3000</v>
      </c>
      <c r="P32" s="61">
        <f>IF(AO32=0,断面设计!$L$8,IF(AO32=1,断面设计!$S$33,IF(AO32=2,断面设计!$N$44,0)))</f>
        <v>0.41</v>
      </c>
      <c r="Q32" s="59">
        <f>IF(AO32=0,断面设计!$B$8,IF(AO32=1,断面设计!$B$33,IF(AO32=2,断面设计!$B$44,0)))</f>
        <v>0.61035771418674445</v>
      </c>
      <c r="R32" s="58">
        <f>IF(AO32=0,断面设计!$E$8,IF(AO32=1,断面设计!$J$33,IF(AO32=2,断面设计!$D$44,0)))</f>
        <v>0.70474827215761959</v>
      </c>
      <c r="S32" s="58">
        <f>IF(AO32=0,断面设计!$F$8,IF(AO32=1,断面设计!$K$33,IF(AO32=2,断面设计!$D$44/断面设计!$E$44,0)))</f>
        <v>2.130349326053774</v>
      </c>
      <c r="T32" s="58">
        <f t="shared" si="54"/>
        <v>0.33081347905654718</v>
      </c>
      <c r="U32" s="58">
        <f t="shared" si="55"/>
        <v>0.58176801022124669</v>
      </c>
      <c r="V32" s="59">
        <f t="shared" ref="V32:V90" si="57">(I32-G32)*N32^2/T32^(4/3)*U32^2*3/4*((L32+Q32*M32*2*1.3)/E32)^0.5</f>
        <v>2.1739879230933668E-4</v>
      </c>
      <c r="W32" s="59"/>
      <c r="X32" s="59">
        <f>IF(AN32=0,IF(AN31=2,(H32-H31-AE31)/O32,(H32-H31)/O32),IF(AN32=1,IF(AN31=2,IF(AE32&lt;9,(H32-H31-AE32-AE31)/断面设计!$I$8,(H32-H31-AE32-AE31)/断面设计!$I$8),(H32-H31-AE32)/O31),(H32-H31)/O32))</f>
        <v>1.1489924508337936E-2</v>
      </c>
      <c r="Y32" s="59">
        <f>$Y$5</f>
        <v>0</v>
      </c>
      <c r="Z32" s="58">
        <f t="shared" si="56"/>
        <v>0</v>
      </c>
      <c r="AA32" s="69"/>
      <c r="AB32" s="56">
        <f t="shared" si="33"/>
        <v>0.61035771418674445</v>
      </c>
      <c r="AC32" s="56">
        <f t="shared" si="5"/>
        <v>1.1707323300647273E-2</v>
      </c>
      <c r="AD32" s="56">
        <f t="shared" si="34"/>
        <v>2423.5131936492821</v>
      </c>
      <c r="AE32" s="60">
        <v>0</v>
      </c>
      <c r="AF32" s="56" t="str">
        <f t="shared" si="36"/>
        <v xml:space="preserve"> </v>
      </c>
      <c r="AG32" s="56" t="str">
        <f>IF(AE32=0," ",AF32-断面设计!#REF!)</f>
        <v xml:space="preserve"> </v>
      </c>
      <c r="AH32" s="56">
        <f t="shared" si="24"/>
        <v>2423.5137398971942</v>
      </c>
      <c r="AI32" s="56">
        <f t="shared" si="25"/>
        <v>2422.9033821830076</v>
      </c>
      <c r="AJ32" s="56">
        <f t="shared" si="26"/>
        <v>2423.5128648001623</v>
      </c>
      <c r="AK32" s="56">
        <f t="shared" si="27"/>
        <v>2422.9025070859757</v>
      </c>
      <c r="AL32" s="56">
        <f t="shared" si="28"/>
        <v>2423.5133023486783</v>
      </c>
      <c r="AM32" s="56">
        <f t="shared" si="29"/>
        <v>2422.9029446344916</v>
      </c>
      <c r="AN32" s="45"/>
      <c r="AO32" s="45">
        <v>0</v>
      </c>
      <c r="AP32" s="24"/>
      <c r="AQ32" s="77"/>
    </row>
    <row r="33" spans="1:43" s="20" customFormat="1" x14ac:dyDescent="0.2">
      <c r="A33" s="46"/>
      <c r="B33" s="43" t="str">
        <f>线路!B30</f>
        <v>IP25</v>
      </c>
      <c r="C33" s="44">
        <f>线路!E30</f>
        <v>454591.41519999999</v>
      </c>
      <c r="D33" s="44">
        <f>线路!F30</f>
        <v>3045696.8591</v>
      </c>
      <c r="E33" s="172">
        <f>线路!G30</f>
        <v>10</v>
      </c>
      <c r="F33" s="6">
        <f>线路!H30</f>
        <v>30.234000000000002</v>
      </c>
      <c r="G33" s="145">
        <f>线路!L30</f>
        <v>1723.5715433953685</v>
      </c>
      <c r="H33" s="145">
        <f>线路!M30</f>
        <v>1726.2099576256082</v>
      </c>
      <c r="I33" s="145">
        <f>线路!N30</f>
        <v>1728.8483718558482</v>
      </c>
      <c r="J33" s="58">
        <f t="shared" si="31"/>
        <v>5.2768284604796918</v>
      </c>
      <c r="K33" s="58">
        <f t="shared" si="32"/>
        <v>19.190943103139034</v>
      </c>
      <c r="L33" s="58">
        <f>IF(AO33=0,断面设计!$C$8,IF(AO33=1,断面设计!$C$33,IF(AO33=2,断面设计!$C$44*2,0)))</f>
        <v>1.5524731620415944</v>
      </c>
      <c r="M33" s="7">
        <f>IF(AO33=0,断面设计!$D$8,0)</f>
        <v>0.24932800284318068</v>
      </c>
      <c r="N33" s="59">
        <f t="shared" si="30"/>
        <v>1.4999999999999999E-2</v>
      </c>
      <c r="O33" s="60">
        <f>IF(AO33=0,断面设计!$I$8,IF(AO33=1,断面设计!$N$33,IF(AO33=2,断面设计!$G$44,断面设计!$I$8)))</f>
        <v>3000</v>
      </c>
      <c r="P33" s="61">
        <f>IF(AO33=0,断面设计!$L$8,IF(AO33=1,断面设计!$S$33,IF(AO33=2,断面设计!$N$44,0)))</f>
        <v>0.41</v>
      </c>
      <c r="Q33" s="59">
        <f>IF(AO33=0,断面设计!$B$8,IF(AO33=1,断面设计!$B$33,IF(AO33=2,断面设计!$B$44,0)))</f>
        <v>0.61035771418674445</v>
      </c>
      <c r="R33" s="58">
        <f>IF(AO33=0,断面设计!$E$8,IF(AO33=1,断面设计!$J$33,IF(AO33=2,断面设计!$D$44,0)))</f>
        <v>0.70474827215761959</v>
      </c>
      <c r="S33" s="58">
        <f>IF(AO33=0,断面设计!$F$8,IF(AO33=1,断面设计!$K$33,IF(AO33=2,断面设计!$D$44/断面设计!$E$44,0)))</f>
        <v>2.130349326053774</v>
      </c>
      <c r="T33" s="58">
        <f t="shared" si="54"/>
        <v>0.33081347905654718</v>
      </c>
      <c r="U33" s="58">
        <f t="shared" si="55"/>
        <v>0.58176801022124669</v>
      </c>
      <c r="V33" s="59">
        <f t="shared" si="57"/>
        <v>5.8140956096246156E-4</v>
      </c>
      <c r="W33" s="59"/>
      <c r="X33" s="59">
        <f>IF(AN33=0,IF(AN32=2,(H33-H32-AE32)/O33,(H33-H32)/O33),IF(AN33=1,IF(AN32=2,IF(AE33&lt;9,(H33-H32-AE33-AE32)/断面设计!$I$8,(H33-H32-AE33-AE32)/断面设计!$I$8),(H33-H32-AE33)/O32),(H33-H32)/O33))</f>
        <v>6.3969810343796783E-3</v>
      </c>
      <c r="Y33" s="59">
        <f t="shared" ref="Y33:Y46" si="58">$Y$5</f>
        <v>0</v>
      </c>
      <c r="Z33" s="58">
        <f t="shared" si="56"/>
        <v>0</v>
      </c>
      <c r="AA33" s="69"/>
      <c r="AB33" s="56">
        <f t="shared" si="33"/>
        <v>0.61035771418674445</v>
      </c>
      <c r="AC33" s="56">
        <f t="shared" si="5"/>
        <v>6.9783905953421394E-3</v>
      </c>
      <c r="AD33" s="56">
        <f t="shared" si="34"/>
        <v>2423.506215258687</v>
      </c>
      <c r="AE33" s="60">
        <f t="shared" si="35"/>
        <v>0</v>
      </c>
      <c r="AF33" s="56" t="str">
        <f t="shared" si="36"/>
        <v xml:space="preserve"> </v>
      </c>
      <c r="AG33" s="56" t="str">
        <f>IF(AE33=0," ",AF33-断面设计!$B$8)</f>
        <v xml:space="preserve"> </v>
      </c>
      <c r="AH33" s="56">
        <f t="shared" si="24"/>
        <v>2423.5076761396581</v>
      </c>
      <c r="AI33" s="56">
        <f t="shared" si="25"/>
        <v>2422.8973184254714</v>
      </c>
      <c r="AJ33" s="56">
        <f t="shared" si="26"/>
        <v>2423.5053357872771</v>
      </c>
      <c r="AK33" s="56">
        <f t="shared" si="27"/>
        <v>2422.8949780730904</v>
      </c>
      <c r="AL33" s="56">
        <f t="shared" si="28"/>
        <v>2423.5065059634676</v>
      </c>
      <c r="AM33" s="56">
        <f t="shared" si="29"/>
        <v>2422.8961482492809</v>
      </c>
      <c r="AN33" s="45"/>
      <c r="AO33" s="45">
        <v>0</v>
      </c>
      <c r="AP33" s="24"/>
      <c r="AQ33" s="77"/>
    </row>
    <row r="34" spans="1:43" s="20" customFormat="1" x14ac:dyDescent="0.2">
      <c r="A34" s="46"/>
      <c r="B34" s="43" t="str">
        <f>线路!B31</f>
        <v>IP26</v>
      </c>
      <c r="C34" s="44">
        <f>线路!E31</f>
        <v>454544.42660000001</v>
      </c>
      <c r="D34" s="44">
        <f>线路!F31</f>
        <v>3045709.1771999998</v>
      </c>
      <c r="E34" s="172">
        <f>线路!G31</f>
        <v>10</v>
      </c>
      <c r="F34" s="6">
        <f>线路!H31</f>
        <v>69.191000000000003</v>
      </c>
      <c r="G34" s="145">
        <f>线路!L31</f>
        <v>1767.8259767055533</v>
      </c>
      <c r="H34" s="145">
        <f>线路!M31</f>
        <v>1773.8640305192903</v>
      </c>
      <c r="I34" s="145">
        <f>线路!N31</f>
        <v>1779.9020843330272</v>
      </c>
      <c r="J34" s="58">
        <f t="shared" si="31"/>
        <v>12.076107627473903</v>
      </c>
      <c r="K34" s="58">
        <f t="shared" si="32"/>
        <v>47.654072893682041</v>
      </c>
      <c r="L34" s="58">
        <f>IF(AO34=0,断面设计!$C$8,IF(AO34=1,断面设计!$C$33,IF(AO34=2,断面设计!$C$44*2,0)))</f>
        <v>1.5524731620415944</v>
      </c>
      <c r="M34" s="7">
        <f>IF(AO34=0,断面设计!$D$8,0)</f>
        <v>0.24932800284318068</v>
      </c>
      <c r="N34" s="59">
        <f t="shared" si="30"/>
        <v>1.4999999999999999E-2</v>
      </c>
      <c r="O34" s="60">
        <f>IF(AO34=0,断面设计!$I$8,IF(AO34=1,断面设计!$N$33,IF(AO34=2,断面设计!$G$44,断面设计!$I$8)))</f>
        <v>3000</v>
      </c>
      <c r="P34" s="61">
        <f>IF(AO34=0,断面设计!$L$8,IF(AO34=1,断面设计!$S$33,IF(AO34=2,断面设计!$N$44,0)))</f>
        <v>0.41</v>
      </c>
      <c r="Q34" s="59">
        <f>IF(AO34=0,断面设计!$B$8,IF(AO34=1,断面设计!$B$33,IF(AO34=2,断面设计!$B$44,0)))</f>
        <v>0.61035771418674445</v>
      </c>
      <c r="R34" s="58">
        <f>IF(AO34=0,断面设计!$E$8,IF(AO34=1,断面设计!$J$33,IF(AO34=2,断面设计!$D$44,0)))</f>
        <v>0.70474827215761959</v>
      </c>
      <c r="S34" s="58">
        <f>IF(AO34=0,断面设计!$F$8,IF(AO34=1,断面设计!$K$33,IF(AO34=2,断面设计!$D$44/断面设计!$E$44,0)))</f>
        <v>2.130349326053774</v>
      </c>
      <c r="T34" s="58">
        <f t="shared" si="54"/>
        <v>0.33081347905654718</v>
      </c>
      <c r="U34" s="58">
        <f t="shared" si="55"/>
        <v>0.58176801022124669</v>
      </c>
      <c r="V34" s="59">
        <f t="shared" si="57"/>
        <v>1.3305652223507705E-3</v>
      </c>
      <c r="W34" s="59"/>
      <c r="X34" s="59">
        <f>IF(AN34=0,IF(AN33=2,(H34-H33-AE33)/O34,(H34-H33)/O34),IF(AN34=1,IF(AN33=2,IF(AE34&lt;9,(H34-H33-AE34-AE33)/断面设计!$I$8,(H34-H33-AE34-AE33)/断面设计!$I$8),(H34-H33-AE34)/O33),(H34-H33)/O34))</f>
        <v>1.5884690964560681E-2</v>
      </c>
      <c r="Y34" s="59">
        <f t="shared" si="58"/>
        <v>0</v>
      </c>
      <c r="Z34" s="58">
        <f t="shared" si="56"/>
        <v>0</v>
      </c>
      <c r="AA34" s="69"/>
      <c r="AB34" s="56">
        <f t="shared" si="33"/>
        <v>0.61035771418674445</v>
      </c>
      <c r="AC34" s="56">
        <f t="shared" si="5"/>
        <v>1.7215256186911453E-2</v>
      </c>
      <c r="AD34" s="56">
        <f t="shared" si="34"/>
        <v>2423.4890000025002</v>
      </c>
      <c r="AE34" s="60">
        <v>0</v>
      </c>
      <c r="AF34" s="56" t="str">
        <f t="shared" si="36"/>
        <v xml:space="preserve"> </v>
      </c>
      <c r="AG34" s="56" t="str">
        <f>IF(AE34=0," ",AF34-断面设计!$B$8)</f>
        <v xml:space="preserve"> </v>
      </c>
      <c r="AH34" s="56">
        <f t="shared" si="24"/>
        <v>2423.4923432523274</v>
      </c>
      <c r="AI34" s="56">
        <f t="shared" si="25"/>
        <v>2422.8819855381407</v>
      </c>
      <c r="AJ34" s="56">
        <f t="shared" si="26"/>
        <v>2423.4869873178955</v>
      </c>
      <c r="AK34" s="56">
        <f t="shared" si="27"/>
        <v>2422.8766296037088</v>
      </c>
      <c r="AL34" s="56">
        <f t="shared" si="28"/>
        <v>2423.4896652851112</v>
      </c>
      <c r="AM34" s="56">
        <f t="shared" si="29"/>
        <v>2422.8793075709245</v>
      </c>
      <c r="AN34" s="45"/>
      <c r="AO34" s="45">
        <v>0</v>
      </c>
      <c r="AP34" s="24"/>
      <c r="AQ34" s="79"/>
    </row>
    <row r="35" spans="1:43" s="213" customFormat="1" x14ac:dyDescent="0.2">
      <c r="A35" s="228"/>
      <c r="B35" s="218" t="str">
        <f>线路!B32</f>
        <v>2#斗门</v>
      </c>
      <c r="C35" s="208">
        <f>线路!E32</f>
        <v>454537.02610000002</v>
      </c>
      <c r="D35" s="208">
        <f>线路!F32</f>
        <v>3045698.8015999999</v>
      </c>
      <c r="E35" s="219">
        <f>线路!G32</f>
        <v>10</v>
      </c>
      <c r="F35" s="207">
        <f>线路!H32</f>
        <v>0</v>
      </c>
      <c r="G35" s="220">
        <f>线路!L32</f>
        <v>1785.7491347183729</v>
      </c>
      <c r="H35" s="220">
        <f>线路!M32</f>
        <v>1785.7491347183729</v>
      </c>
      <c r="I35" s="220">
        <f>线路!N32</f>
        <v>1785.7491347183729</v>
      </c>
      <c r="J35" s="221">
        <f t="shared" ref="J35:J46" si="59">I35-G35</f>
        <v>0</v>
      </c>
      <c r="K35" s="221">
        <f t="shared" ref="K35:K46" si="60">H35-H34</f>
        <v>11.885104199082662</v>
      </c>
      <c r="L35" s="58">
        <f>IF(AO35=0,断面设计!$C$8,IF(AO35=1,断面设计!$C$33,IF(AO35=2,断面设计!$C$44*2,0)))</f>
        <v>1.5524731620415944</v>
      </c>
      <c r="M35" s="7">
        <f>IF(AO35=0,断面设计!$D$8,0)</f>
        <v>0.24932800284318068</v>
      </c>
      <c r="N35" s="222">
        <f t="shared" ref="N35:N46" si="61">IF(AO35=0,0.015,0.014)</f>
        <v>1.4999999999999999E-2</v>
      </c>
      <c r="O35" s="60">
        <f>IF(AO35=0,断面设计!$I$8,IF(AO35=1,断面设计!$N$33,IF(AO35=2,断面设计!$G$44,断面设计!$I$8)))</f>
        <v>3000</v>
      </c>
      <c r="P35" s="61">
        <f>IF(AO35=0,断面设计!$L$8,IF(AO35=1,断面设计!$S$33,IF(AO35=2,断面设计!$N$44,0)))</f>
        <v>0.41</v>
      </c>
      <c r="Q35" s="59">
        <f>IF(AO35=0,断面设计!$B$8,IF(AO35=1,断面设计!$B$33,IF(AO35=2,断面设计!$B$44,0)))</f>
        <v>0.61035771418674445</v>
      </c>
      <c r="R35" s="58">
        <f>IF(AO35=0,断面设计!$E$8,IF(AO35=1,断面设计!$J$33,IF(AO35=2,断面设计!$D$44,0)))</f>
        <v>0.70474827215761959</v>
      </c>
      <c r="S35" s="58">
        <f>IF(AO35=0,断面设计!$F$8,IF(AO35=1,断面设计!$K$33,IF(AO35=2,断面设计!$D$44/断面设计!$E$44,0)))</f>
        <v>2.130349326053774</v>
      </c>
      <c r="T35" s="221">
        <f t="shared" ref="T35:T46" si="62">R35/S35</f>
        <v>0.33081347905654718</v>
      </c>
      <c r="U35" s="221">
        <f t="shared" ref="U35:U46" si="63">P35/R35</f>
        <v>0.58176801022124669</v>
      </c>
      <c r="V35" s="222">
        <f t="shared" ref="V35:V46" si="64">(I35-G35)*N35^2/T35^(4/3)*U35^2*3/4*((L35+Q35*M35*2*1.3)/E35)^0.5</f>
        <v>0</v>
      </c>
      <c r="W35" s="222"/>
      <c r="X35" s="222">
        <f>IF(AN35=0,IF(AN34=2,(H35-H34-AE34)/O35,(H35-H34)/O35),IF(AN35=1,IF(AN34=2,IF(AE35&lt;9,(H35-H34-AE35-AE34)/断面设计!$I$8,(H35-H34-AE35-AE34)/断面设计!$I$8),(H35-H34-AE35)/O34),(H35-H34)/O35))</f>
        <v>3.9617013996942202E-3</v>
      </c>
      <c r="Y35" s="222">
        <f t="shared" si="58"/>
        <v>0</v>
      </c>
      <c r="Z35" s="221">
        <f t="shared" si="56"/>
        <v>0</v>
      </c>
      <c r="AA35" s="224"/>
      <c r="AB35" s="225">
        <f t="shared" ref="AB35:AB46" si="65">Q35</f>
        <v>0.61035771418674445</v>
      </c>
      <c r="AC35" s="225">
        <f t="shared" ref="AC35:AC46" si="66">IF(AE35&lt;1,Y35+AA35+V35+X35,Y35+AA35+V35+X35+W35)</f>
        <v>3.9617013996942202E-3</v>
      </c>
      <c r="AD35" s="225">
        <f t="shared" ref="AD35:AD46" si="67">AD34-AC35</f>
        <v>2423.4850383011008</v>
      </c>
      <c r="AE35" s="223">
        <v>0</v>
      </c>
      <c r="AF35" s="225" t="str">
        <f t="shared" ref="AF35:AF46" si="68">IF(AE35=0," ",IF(AN35=1,AD35+W35,AD35))</f>
        <v xml:space="preserve"> </v>
      </c>
      <c r="AG35" s="225" t="str">
        <f>IF(AE35=0," ",AF35-断面设计!$B$8)</f>
        <v xml:space="preserve"> </v>
      </c>
      <c r="AH35" s="225" t="str">
        <f t="shared" ref="AH35:AH46" si="69">IF(J35&lt;0.01," ",AD35+V35+J35/2/O35+J35/2/1000*Z35)</f>
        <v xml:space="preserve"> </v>
      </c>
      <c r="AI35" s="225" t="str">
        <f t="shared" ref="AI35:AI46" si="70">IF(J35&lt;0.01," ",AH35-AB35)</f>
        <v xml:space="preserve"> </v>
      </c>
      <c r="AJ35" s="225" t="str">
        <f t="shared" ref="AJ35:AJ46" si="71">IF(J35&lt;0.01," ",AD35-J35/2/O35-J35/2/1000*Z35)</f>
        <v xml:space="preserve"> </v>
      </c>
      <c r="AK35" s="225" t="str">
        <f t="shared" ref="AK35:AK46" si="72">IF(J35&lt;0.01," ",AJ35-AB35)</f>
        <v xml:space="preserve"> </v>
      </c>
      <c r="AL35" s="225">
        <f t="shared" ref="AL35:AL46" si="73">AM35+AB35</f>
        <v>2423.4850383011008</v>
      </c>
      <c r="AM35" s="225">
        <f t="shared" ref="AM35:AM46" si="74">IF(AN35=2,IF(AE35=0,AD35-AB35,AD35+W35-AB35),AD35-AB35+V35/2)</f>
        <v>2422.8746805869141</v>
      </c>
      <c r="AN35" s="226"/>
      <c r="AO35" s="226">
        <v>0</v>
      </c>
      <c r="AP35" s="227"/>
      <c r="AQ35" s="229"/>
    </row>
    <row r="36" spans="1:43" s="20" customFormat="1" x14ac:dyDescent="0.2">
      <c r="A36" s="46" t="s">
        <v>32</v>
      </c>
      <c r="B36" s="43" t="str">
        <f>线路!B33</f>
        <v>IP27</v>
      </c>
      <c r="C36" s="44">
        <f>线路!E33</f>
        <v>454513.18550000002</v>
      </c>
      <c r="D36" s="44">
        <f>线路!F33</f>
        <v>3045665.3764</v>
      </c>
      <c r="E36" s="172">
        <f>线路!G33</f>
        <v>10</v>
      </c>
      <c r="F36" s="6">
        <f>线路!H33</f>
        <v>135.37299999999999</v>
      </c>
      <c r="G36" s="145">
        <f>线路!L33</f>
        <v>1802.4392507562372</v>
      </c>
      <c r="H36" s="145">
        <f>线路!M33</f>
        <v>1814.2527735977487</v>
      </c>
      <c r="I36" s="145">
        <f>线路!N33</f>
        <v>1826.06629643926</v>
      </c>
      <c r="J36" s="58">
        <f t="shared" si="59"/>
        <v>23.627045683022743</v>
      </c>
      <c r="K36" s="58">
        <f t="shared" si="60"/>
        <v>28.503638879375785</v>
      </c>
      <c r="L36" s="58">
        <f>IF(AO36=0,断面设计!$C$8,IF(AO36=1,断面设计!$C$33,IF(AO36=2,断面设计!$C$44*2,0)))</f>
        <v>1.5524731620415944</v>
      </c>
      <c r="M36" s="7">
        <f>IF(AO36=0,断面设计!$D$8,0)</f>
        <v>0.24932800284318068</v>
      </c>
      <c r="N36" s="59">
        <f t="shared" si="61"/>
        <v>1.4999999999999999E-2</v>
      </c>
      <c r="O36" s="60">
        <f>IF(AO36=0,断面设计!$I$8,IF(AO36=1,断面设计!$N$33,IF(AO36=2,断面设计!$G$44,断面设计!$I$8)))</f>
        <v>3000</v>
      </c>
      <c r="P36" s="61">
        <f>IF(AO36=0,断面设计!$L$8,IF(AO36=1,断面设计!$S$33,IF(AO36=2,断面设计!$N$44,0)))</f>
        <v>0.41</v>
      </c>
      <c r="Q36" s="59">
        <f>IF(AO36=0,断面设计!$B$8,IF(AO36=1,断面设计!$B$33,IF(AO36=2,断面设计!$B$44,0)))</f>
        <v>0.61035771418674445</v>
      </c>
      <c r="R36" s="58">
        <f>IF(AO36=0,断面设计!$E$8,IF(AO36=1,断面设计!$J$33,IF(AO36=2,断面设计!$D$44,0)))</f>
        <v>0.70474827215761959</v>
      </c>
      <c r="S36" s="58">
        <f>IF(AO36=0,断面设计!$F$8,IF(AO36=1,断面设计!$K$33,IF(AO36=2,断面设计!$D$44/断面设计!$E$44,0)))</f>
        <v>2.130349326053774</v>
      </c>
      <c r="T36" s="58">
        <f t="shared" si="62"/>
        <v>0.33081347905654718</v>
      </c>
      <c r="U36" s="58">
        <f t="shared" si="63"/>
        <v>0.58176801022124669</v>
      </c>
      <c r="V36" s="59">
        <f t="shared" si="64"/>
        <v>2.603266405244773E-3</v>
      </c>
      <c r="W36" s="59"/>
      <c r="X36" s="59">
        <f>IF(AN36=0,IF(AN35=2,(H36-H35-AE35)/O36,(H36-H35)/O36),IF(AN36=1,IF(AN35=2,IF(AE36&lt;9,(H36-H35-AE36-AE35)/断面设计!$I$8,(H36-H35-AE36-AE35)/断面设计!$I$8),(H36-H35-AE36)/O35),(H36-H35)/O36))</f>
        <v>9.5012129597919284E-3</v>
      </c>
      <c r="Y36" s="59">
        <f t="shared" si="58"/>
        <v>0</v>
      </c>
      <c r="Z36" s="58">
        <f t="shared" si="56"/>
        <v>0</v>
      </c>
      <c r="AA36" s="69"/>
      <c r="AB36" s="56">
        <f t="shared" si="65"/>
        <v>0.61035771418674445</v>
      </c>
      <c r="AC36" s="56">
        <f t="shared" si="66"/>
        <v>1.2104479365036702E-2</v>
      </c>
      <c r="AD36" s="56">
        <f t="shared" si="67"/>
        <v>2423.4729338217358</v>
      </c>
      <c r="AE36" s="60">
        <v>0</v>
      </c>
      <c r="AF36" s="56" t="str">
        <f t="shared" si="68"/>
        <v xml:space="preserve"> </v>
      </c>
      <c r="AG36" s="56" t="str">
        <f>IF(AE36=0," ",AF36-断面设计!$B$8)</f>
        <v xml:space="preserve"> </v>
      </c>
      <c r="AH36" s="56">
        <f t="shared" si="69"/>
        <v>2423.4794749290882</v>
      </c>
      <c r="AI36" s="56">
        <f t="shared" si="70"/>
        <v>2422.8691172149015</v>
      </c>
      <c r="AJ36" s="56">
        <f t="shared" si="71"/>
        <v>2423.4689959807888</v>
      </c>
      <c r="AK36" s="56">
        <f t="shared" si="72"/>
        <v>2422.8586382666022</v>
      </c>
      <c r="AL36" s="56">
        <f t="shared" si="73"/>
        <v>2423.4742354549385</v>
      </c>
      <c r="AM36" s="56">
        <f t="shared" si="74"/>
        <v>2422.8638777407518</v>
      </c>
      <c r="AN36" s="45"/>
      <c r="AO36" s="45">
        <v>0</v>
      </c>
      <c r="AP36" s="24"/>
      <c r="AQ36" s="79"/>
    </row>
    <row r="37" spans="1:43" s="20" customFormat="1" x14ac:dyDescent="0.2">
      <c r="A37" s="46" t="s">
        <v>33</v>
      </c>
      <c r="B37" s="43" t="str">
        <f>线路!B34</f>
        <v>IP28</v>
      </c>
      <c r="C37" s="44">
        <f>线路!E34</f>
        <v>454504.18520000001</v>
      </c>
      <c r="D37" s="44">
        <f>线路!F34</f>
        <v>3045721.3901</v>
      </c>
      <c r="E37" s="172">
        <f>线路!G34</f>
        <v>10</v>
      </c>
      <c r="F37" s="6">
        <f>线路!H34</f>
        <v>61.941000000000003</v>
      </c>
      <c r="G37" s="145">
        <f>线路!L34</f>
        <v>1852.4307084878158</v>
      </c>
      <c r="H37" s="145">
        <f>线路!M34</f>
        <v>1857.8360804477047</v>
      </c>
      <c r="I37" s="145">
        <f>线路!N34</f>
        <v>1863.2414524075939</v>
      </c>
      <c r="J37" s="58">
        <f t="shared" si="59"/>
        <v>10.810743919778133</v>
      </c>
      <c r="K37" s="58">
        <f t="shared" si="60"/>
        <v>43.583306849955989</v>
      </c>
      <c r="L37" s="58">
        <f>IF(AO37=0,断面设计!$C$8,IF(AO37=1,断面设计!$C$33,IF(AO37=2,断面设计!$C$44*2,0)))</f>
        <v>1.5524731620415944</v>
      </c>
      <c r="M37" s="7">
        <f>IF(AO37=0,断面设计!$D$8,0)</f>
        <v>0.24932800284318068</v>
      </c>
      <c r="N37" s="59">
        <f t="shared" si="61"/>
        <v>1.4999999999999999E-2</v>
      </c>
      <c r="O37" s="60">
        <f>IF(AO37=0,断面设计!$I$8,IF(AO37=1,断面设计!$N$33,IF(AO37=2,断面设计!$G$44,断面设计!$I$8)))</f>
        <v>3000</v>
      </c>
      <c r="P37" s="61">
        <f>IF(AO37=0,断面设计!$L$8,IF(AO37=1,断面设计!$S$33,IF(AO37=2,断面设计!$N$44,0)))</f>
        <v>0.41</v>
      </c>
      <c r="Q37" s="59">
        <f>IF(AO37=0,断面设计!$B$8,IF(AO37=1,断面设计!$B$33,IF(AO37=2,断面设计!$B$44,0)))</f>
        <v>0.61035771418674445</v>
      </c>
      <c r="R37" s="58">
        <f>IF(AO37=0,断面设计!$E$8,IF(AO37=1,断面设计!$J$33,IF(AO37=2,断面设计!$D$44,0)))</f>
        <v>0.70474827215761959</v>
      </c>
      <c r="S37" s="58">
        <f>IF(AO37=0,断面设计!$F$8,IF(AO37=1,断面设计!$K$33,IF(AO37=2,断面设计!$D$44/断面设计!$E$44,0)))</f>
        <v>2.130349326053774</v>
      </c>
      <c r="T37" s="58">
        <f t="shared" si="62"/>
        <v>0.33081347905654718</v>
      </c>
      <c r="U37" s="58">
        <f t="shared" si="63"/>
        <v>0.58176801022124669</v>
      </c>
      <c r="V37" s="59">
        <f t="shared" si="64"/>
        <v>1.1911453865044576E-3</v>
      </c>
      <c r="W37" s="59"/>
      <c r="X37" s="59">
        <f>IF(AN37=0,IF(AN36=2,(H37-H36-AE36)/O37,(H37-H36)/O37),IF(AN37=1,IF(AN36=2,IF(AE37&lt;9,(H37-H36-AE37-AE36)/断面设计!$I$8,(H37-H36-AE37-AE36)/断面设计!$I$8),(H37-H36-AE37)/O36),(H37-H36)/O37))</f>
        <v>1.452776894998533E-2</v>
      </c>
      <c r="Y37" s="59">
        <f t="shared" si="58"/>
        <v>0</v>
      </c>
      <c r="Z37" s="58">
        <f t="shared" si="56"/>
        <v>0</v>
      </c>
      <c r="AA37" s="69"/>
      <c r="AB37" s="56">
        <f t="shared" si="65"/>
        <v>0.61035771418674445</v>
      </c>
      <c r="AC37" s="56">
        <f t="shared" si="66"/>
        <v>1.5718914336489788E-2</v>
      </c>
      <c r="AD37" s="56">
        <f t="shared" si="67"/>
        <v>2423.4572149073992</v>
      </c>
      <c r="AE37" s="60">
        <v>0</v>
      </c>
      <c r="AF37" s="56" t="str">
        <f t="shared" si="68"/>
        <v xml:space="preserve"> </v>
      </c>
      <c r="AG37" s="56" t="str">
        <f>IF(AE37=0," ",AF37-断面设计!$B$8)</f>
        <v xml:space="preserve"> </v>
      </c>
      <c r="AH37" s="56">
        <f t="shared" si="69"/>
        <v>2423.4602078434391</v>
      </c>
      <c r="AI37" s="56">
        <f t="shared" si="70"/>
        <v>2422.8498501292524</v>
      </c>
      <c r="AJ37" s="56">
        <f t="shared" si="71"/>
        <v>2423.4554131167461</v>
      </c>
      <c r="AK37" s="56">
        <f t="shared" si="72"/>
        <v>2422.8450554025594</v>
      </c>
      <c r="AL37" s="56">
        <f t="shared" si="73"/>
        <v>2423.4578104800926</v>
      </c>
      <c r="AM37" s="56">
        <f t="shared" si="74"/>
        <v>2422.8474527659059</v>
      </c>
      <c r="AN37" s="45"/>
      <c r="AO37" s="45">
        <v>0</v>
      </c>
      <c r="AP37" s="24"/>
      <c r="AQ37" s="79"/>
    </row>
    <row r="38" spans="1:43" s="20" customFormat="1" x14ac:dyDescent="0.2">
      <c r="A38" s="46"/>
      <c r="B38" s="43" t="str">
        <f>线路!B35</f>
        <v>IP29</v>
      </c>
      <c r="C38" s="44">
        <f>线路!E35</f>
        <v>454488.29700000002</v>
      </c>
      <c r="D38" s="44">
        <f>线路!F35</f>
        <v>3045726.8394999998</v>
      </c>
      <c r="E38" s="172">
        <f>线路!G35</f>
        <v>10</v>
      </c>
      <c r="F38" s="6">
        <f>线路!H35</f>
        <v>38.130000000000003</v>
      </c>
      <c r="G38" s="145">
        <f>线路!L35</f>
        <v>1870.5806323174659</v>
      </c>
      <c r="H38" s="145">
        <f>线路!M35</f>
        <v>1873.908102536393</v>
      </c>
      <c r="I38" s="145">
        <f>线路!N35</f>
        <v>1877.2355727553202</v>
      </c>
      <c r="J38" s="58">
        <f t="shared" si="59"/>
        <v>6.6549404378542931</v>
      </c>
      <c r="K38" s="58">
        <f t="shared" si="60"/>
        <v>16.0720220886883</v>
      </c>
      <c r="L38" s="58">
        <f>IF(AO38=0,断面设计!$C$8,IF(AO38=1,断面设计!$C$33,IF(AO38=2,断面设计!$C$44*2,0)))</f>
        <v>1.5524731620415944</v>
      </c>
      <c r="M38" s="7">
        <f>IF(AO38=0,断面设计!$D$8,0)</f>
        <v>0.24932800284318068</v>
      </c>
      <c r="N38" s="59">
        <f t="shared" si="61"/>
        <v>1.4999999999999999E-2</v>
      </c>
      <c r="O38" s="60">
        <f>IF(AO38=0,断面设计!$I$8,IF(AO38=1,断面设计!$N$33,IF(AO38=2,断面设计!$G$44,断面设计!$I$8)))</f>
        <v>3000</v>
      </c>
      <c r="P38" s="61">
        <f>IF(AO38=0,断面设计!$L$8,IF(AO38=1,断面设计!$S$33,IF(AO38=2,断面设计!$N$44,0)))</f>
        <v>0.41</v>
      </c>
      <c r="Q38" s="59">
        <f>IF(AO38=0,断面设计!$B$8,IF(AO38=1,断面设计!$B$33,IF(AO38=2,断面设计!$B$44,0)))</f>
        <v>0.61035771418674445</v>
      </c>
      <c r="R38" s="58">
        <f>IF(AO38=0,断面设计!$E$8,IF(AO38=1,断面设计!$J$33,IF(AO38=2,断面设计!$D$44,0)))</f>
        <v>0.70474827215761959</v>
      </c>
      <c r="S38" s="58">
        <f>IF(AO38=0,断面设计!$F$8,IF(AO38=1,断面设计!$K$33,IF(AO38=2,断面设计!$D$44/断面设计!$E$44,0)))</f>
        <v>2.130349326053774</v>
      </c>
      <c r="T38" s="58">
        <f t="shared" si="62"/>
        <v>0.33081347905654718</v>
      </c>
      <c r="U38" s="58">
        <f t="shared" si="63"/>
        <v>0.58176801022124669</v>
      </c>
      <c r="V38" s="59">
        <f t="shared" si="64"/>
        <v>7.3325218494073633E-4</v>
      </c>
      <c r="W38" s="59"/>
      <c r="X38" s="59">
        <f>IF(AN38=0,IF(AN37=2,(H38-H37-AE37)/O38,(H38-H37)/O38),IF(AN38=1,IF(AN37=2,IF(AE38&lt;9,(H38-H37-AE38-AE37)/断面设计!$I$8,(H38-H37-AE38-AE37)/断面设计!$I$8),(H38-H37-AE38)/O37),(H38-H37)/O38))</f>
        <v>5.357340696229433E-3</v>
      </c>
      <c r="Y38" s="59">
        <f t="shared" si="58"/>
        <v>0</v>
      </c>
      <c r="Z38" s="58">
        <f t="shared" si="56"/>
        <v>0</v>
      </c>
      <c r="AA38" s="69"/>
      <c r="AB38" s="56">
        <f t="shared" si="65"/>
        <v>0.61035771418674445</v>
      </c>
      <c r="AC38" s="56">
        <f t="shared" si="66"/>
        <v>6.0905928811701695E-3</v>
      </c>
      <c r="AD38" s="56">
        <f t="shared" si="67"/>
        <v>2423.451124314518</v>
      </c>
      <c r="AE38" s="60">
        <v>0</v>
      </c>
      <c r="AF38" s="56" t="str">
        <f t="shared" si="68"/>
        <v xml:space="preserve"> </v>
      </c>
      <c r="AG38" s="56" t="str">
        <f>IF(AE38=0," ",AF38-断面设计!$B$8)</f>
        <v xml:space="preserve"> </v>
      </c>
      <c r="AH38" s="56">
        <f t="shared" si="69"/>
        <v>2423.4529667234428</v>
      </c>
      <c r="AI38" s="56">
        <f t="shared" si="70"/>
        <v>2422.8426090092562</v>
      </c>
      <c r="AJ38" s="56">
        <f t="shared" si="71"/>
        <v>2423.4500151577781</v>
      </c>
      <c r="AK38" s="56">
        <f t="shared" si="72"/>
        <v>2422.8396574435915</v>
      </c>
      <c r="AL38" s="56">
        <f t="shared" si="73"/>
        <v>2423.4514909406103</v>
      </c>
      <c r="AM38" s="56">
        <f t="shared" si="74"/>
        <v>2422.8411332264236</v>
      </c>
      <c r="AN38" s="45"/>
      <c r="AO38" s="45">
        <v>0</v>
      </c>
      <c r="AP38" s="24"/>
      <c r="AQ38" s="77"/>
    </row>
    <row r="39" spans="1:43" s="20" customFormat="1" x14ac:dyDescent="0.2">
      <c r="A39" s="46"/>
      <c r="B39" s="43" t="str">
        <f>线路!B36</f>
        <v>IP30</v>
      </c>
      <c r="C39" s="44">
        <f>线路!E36</f>
        <v>454428.04800000001</v>
      </c>
      <c r="D39" s="44">
        <f>线路!F36</f>
        <v>3045705.8596000001</v>
      </c>
      <c r="E39" s="172">
        <f>线路!G36</f>
        <v>10</v>
      </c>
      <c r="F39" s="6">
        <f>线路!H36</f>
        <v>45.655000000000001</v>
      </c>
      <c r="G39" s="145">
        <f>线路!L36</f>
        <v>1933.3676614369519</v>
      </c>
      <c r="H39" s="145">
        <f>线路!M36</f>
        <v>1937.3518117869421</v>
      </c>
      <c r="I39" s="145">
        <f>线路!N36</f>
        <v>1941.335962136932</v>
      </c>
      <c r="J39" s="58">
        <f t="shared" si="59"/>
        <v>7.9683006999800909</v>
      </c>
      <c r="K39" s="58">
        <f t="shared" si="60"/>
        <v>63.443709250549091</v>
      </c>
      <c r="L39" s="58">
        <f>IF(AO39=0,断面设计!$C$8,IF(AO39=1,断面设计!$C$33,IF(AO39=2,断面设计!$C$44*2,0)))</f>
        <v>1.5524731620415944</v>
      </c>
      <c r="M39" s="7">
        <f>IF(AO39=0,断面设计!$D$8,0)</f>
        <v>0.24932800284318068</v>
      </c>
      <c r="N39" s="59">
        <f t="shared" si="61"/>
        <v>1.4999999999999999E-2</v>
      </c>
      <c r="O39" s="60">
        <f>IF(AO39=0,断面设计!$I$8,IF(AO39=1,断面设计!$N$33,IF(AO39=2,断面设计!$G$44,断面设计!$I$8)))</f>
        <v>3000</v>
      </c>
      <c r="P39" s="61">
        <f>IF(AO39=0,断面设计!$L$8,IF(AO39=1,断面设计!$S$33,IF(AO39=2,断面设计!$N$44,0)))</f>
        <v>0.41</v>
      </c>
      <c r="Q39" s="59">
        <f>IF(AO39=0,断面设计!$B$8,IF(AO39=1,断面设计!$B$33,IF(AO39=2,断面设计!$B$44,0)))</f>
        <v>0.61035771418674445</v>
      </c>
      <c r="R39" s="58">
        <f>IF(AO39=0,断面设计!$E$8,IF(AO39=1,断面设计!$J$33,IF(AO39=2,断面设计!$D$44,0)))</f>
        <v>0.70474827215761959</v>
      </c>
      <c r="S39" s="58">
        <f>IF(AO39=0,断面设计!$F$8,IF(AO39=1,断面设计!$K$33,IF(AO39=2,断面设计!$D$44/断面设计!$E$44,0)))</f>
        <v>2.130349326053774</v>
      </c>
      <c r="T39" s="58">
        <f t="shared" si="62"/>
        <v>0.33081347905654718</v>
      </c>
      <c r="U39" s="58">
        <f t="shared" si="63"/>
        <v>0.58176801022124669</v>
      </c>
      <c r="V39" s="59">
        <f t="shared" si="64"/>
        <v>8.7796035938813698E-4</v>
      </c>
      <c r="W39" s="59"/>
      <c r="X39" s="59">
        <f>IF(AN39=0,IF(AN38=2,(H39-H38-AE38)/O39,(H39-H38)/O39),IF(AN39=1,IF(AN38=2,IF(AE39&lt;9,(H39-H38-AE39-AE38)/断面设计!$I$8,(H39-H38-AE39-AE38)/断面设计!$I$8),(H39-H38-AE39)/O38),(H39-H38)/O39))</f>
        <v>2.1147903083516363E-2</v>
      </c>
      <c r="Y39" s="59">
        <f t="shared" si="58"/>
        <v>0</v>
      </c>
      <c r="Z39" s="58">
        <f t="shared" si="56"/>
        <v>0</v>
      </c>
      <c r="AA39" s="69"/>
      <c r="AB39" s="56">
        <f t="shared" si="65"/>
        <v>0.61035771418674445</v>
      </c>
      <c r="AC39" s="56">
        <f t="shared" si="66"/>
        <v>2.2025863442904501E-2</v>
      </c>
      <c r="AD39" s="56">
        <f t="shared" si="67"/>
        <v>2423.4290984510749</v>
      </c>
      <c r="AE39" s="60">
        <v>0</v>
      </c>
      <c r="AF39" s="56" t="str">
        <f t="shared" si="68"/>
        <v xml:space="preserve"> </v>
      </c>
      <c r="AG39" s="56" t="str">
        <f>IF(AE39=0," ",AF39-断面设计!$B$8)</f>
        <v xml:space="preserve"> </v>
      </c>
      <c r="AH39" s="56">
        <f t="shared" si="69"/>
        <v>2423.431304461551</v>
      </c>
      <c r="AI39" s="56">
        <f t="shared" si="70"/>
        <v>2422.8209467473644</v>
      </c>
      <c r="AJ39" s="56">
        <f t="shared" si="71"/>
        <v>2423.4277704009583</v>
      </c>
      <c r="AK39" s="56">
        <f t="shared" si="72"/>
        <v>2422.8174126867716</v>
      </c>
      <c r="AL39" s="56">
        <f t="shared" si="73"/>
        <v>2423.4295374312546</v>
      </c>
      <c r="AM39" s="56">
        <f t="shared" si="74"/>
        <v>2422.819179717068</v>
      </c>
      <c r="AN39" s="45"/>
      <c r="AO39" s="45">
        <v>0</v>
      </c>
      <c r="AP39" s="24"/>
      <c r="AQ39" s="79"/>
    </row>
    <row r="40" spans="1:43" s="20" customFormat="1" x14ac:dyDescent="0.2">
      <c r="A40" s="46"/>
      <c r="B40" s="43" t="str">
        <f>线路!B37</f>
        <v>IP31</v>
      </c>
      <c r="C40" s="44">
        <f>线路!E37</f>
        <v>454407.86320000002</v>
      </c>
      <c r="D40" s="44">
        <f>线路!F37</f>
        <v>3045662.8601000002</v>
      </c>
      <c r="E40" s="172">
        <f>线路!G37</f>
        <v>10</v>
      </c>
      <c r="F40" s="6">
        <f>线路!H37</f>
        <v>21.603000000000002</v>
      </c>
      <c r="G40" s="145">
        <f>线路!L37</f>
        <v>1982.7202285160827</v>
      </c>
      <c r="H40" s="145">
        <f>线路!M37</f>
        <v>1984.6054459076242</v>
      </c>
      <c r="I40" s="145">
        <f>线路!N37</f>
        <v>1986.490663299166</v>
      </c>
      <c r="J40" s="58">
        <f t="shared" si="59"/>
        <v>3.770434783083374</v>
      </c>
      <c r="K40" s="58">
        <f t="shared" si="60"/>
        <v>47.253634120682136</v>
      </c>
      <c r="L40" s="58">
        <f>IF(AO40=0,断面设计!$C$8,IF(AO40=1,断面设计!$C$33,IF(AO40=2,断面设计!$C$44*2,0)))</f>
        <v>1.5524731620415944</v>
      </c>
      <c r="M40" s="7">
        <f>IF(AO40=0,断面设计!$D$8,0)</f>
        <v>0.24932800284318068</v>
      </c>
      <c r="N40" s="59">
        <f t="shared" si="61"/>
        <v>1.4999999999999999E-2</v>
      </c>
      <c r="O40" s="60">
        <f>IF(AO40=0,断面设计!$I$8,IF(AO40=1,断面设计!$N$33,IF(AO40=2,断面设计!$G$44,断面设计!$I$8)))</f>
        <v>3000</v>
      </c>
      <c r="P40" s="61">
        <f>IF(AO40=0,断面设计!$L$8,IF(AO40=1,断面设计!$S$33,IF(AO40=2,断面设计!$N$44,0)))</f>
        <v>0.41</v>
      </c>
      <c r="Q40" s="59">
        <f>IF(AO40=0,断面设计!$B$8,IF(AO40=1,断面设计!$B$33,IF(AO40=2,断面设计!$B$44,0)))</f>
        <v>0.61035771418674445</v>
      </c>
      <c r="R40" s="58">
        <f>IF(AO40=0,断面设计!$E$8,IF(AO40=1,断面设计!$J$33,IF(AO40=2,断面设计!$D$44,0)))</f>
        <v>0.70474827215761959</v>
      </c>
      <c r="S40" s="58">
        <f>IF(AO40=0,断面设计!$F$8,IF(AO40=1,断面设计!$K$33,IF(AO40=2,断面设计!$D$44/断面设计!$E$44,0)))</f>
        <v>2.130349326053774</v>
      </c>
      <c r="T40" s="58">
        <f t="shared" si="62"/>
        <v>0.33081347905654718</v>
      </c>
      <c r="U40" s="58">
        <f t="shared" si="63"/>
        <v>0.58176801022124669</v>
      </c>
      <c r="V40" s="59">
        <f t="shared" si="64"/>
        <v>4.1543265017768239E-4</v>
      </c>
      <c r="W40" s="59"/>
      <c r="X40" s="59">
        <f>IF(AN40=0,IF(AN39=2,(H40-H39-AE39)/O40,(H40-H39)/O40),IF(AN40=1,IF(AN39=2,IF(AE40&lt;9,(H40-H39-AE40-AE39)/断面设计!$I$8,(H40-H39-AE40-AE39)/断面设计!$I$8),(H40-H39-AE40)/O39),(H40-H39)/O40))</f>
        <v>1.5751211373560711E-2</v>
      </c>
      <c r="Y40" s="59">
        <f t="shared" si="58"/>
        <v>0</v>
      </c>
      <c r="Z40" s="58">
        <f t="shared" si="56"/>
        <v>0</v>
      </c>
      <c r="AA40" s="69"/>
      <c r="AB40" s="56">
        <f t="shared" si="65"/>
        <v>0.61035771418674445</v>
      </c>
      <c r="AC40" s="56">
        <f t="shared" si="66"/>
        <v>1.6166644023738394E-2</v>
      </c>
      <c r="AD40" s="56">
        <f t="shared" si="67"/>
        <v>2423.4129318070513</v>
      </c>
      <c r="AE40" s="60">
        <v>0</v>
      </c>
      <c r="AF40" s="56" t="str">
        <f t="shared" si="68"/>
        <v xml:space="preserve"> </v>
      </c>
      <c r="AG40" s="56" t="str">
        <f>IF(AE40=0," ",AF40-断面设计!$B$8)</f>
        <v xml:space="preserve"> </v>
      </c>
      <c r="AH40" s="56">
        <f t="shared" si="69"/>
        <v>2423.4139756454988</v>
      </c>
      <c r="AI40" s="56">
        <f t="shared" si="70"/>
        <v>2422.8036179313121</v>
      </c>
      <c r="AJ40" s="56">
        <f t="shared" si="71"/>
        <v>2423.4123034012541</v>
      </c>
      <c r="AK40" s="56">
        <f t="shared" si="72"/>
        <v>2422.8019456870675</v>
      </c>
      <c r="AL40" s="56">
        <f t="shared" si="73"/>
        <v>2423.4131395233762</v>
      </c>
      <c r="AM40" s="56">
        <f t="shared" si="74"/>
        <v>2422.8027818091896</v>
      </c>
      <c r="AN40" s="45"/>
      <c r="AO40" s="45">
        <v>0</v>
      </c>
      <c r="AP40" s="24"/>
      <c r="AQ40" s="79"/>
    </row>
    <row r="41" spans="1:43" s="20" customFormat="1" x14ac:dyDescent="0.2">
      <c r="A41" s="46"/>
      <c r="B41" s="43" t="str">
        <f>线路!B38</f>
        <v>IP32</v>
      </c>
      <c r="C41" s="44">
        <f>线路!E38</f>
        <v>454405.60029999999</v>
      </c>
      <c r="D41" s="44">
        <f>线路!F38</f>
        <v>3045626.3124000002</v>
      </c>
      <c r="E41" s="172">
        <f>线路!G38</f>
        <v>10</v>
      </c>
      <c r="F41" s="6">
        <f>线路!H38</f>
        <v>54.347000000000001</v>
      </c>
      <c r="G41" s="145">
        <f>线路!L38</f>
        <v>2016.0670216102001</v>
      </c>
      <c r="H41" s="145">
        <f>线路!M38</f>
        <v>2020.8096920531068</v>
      </c>
      <c r="I41" s="145">
        <f>线路!N38</f>
        <v>2025.5523624960138</v>
      </c>
      <c r="J41" s="58">
        <f t="shared" si="59"/>
        <v>9.4853408858136845</v>
      </c>
      <c r="K41" s="58">
        <f t="shared" si="60"/>
        <v>36.204246145482557</v>
      </c>
      <c r="L41" s="58">
        <f>IF(AO41=0,断面设计!$C$8,IF(AO41=1,断面设计!$C$33,IF(AO41=2,断面设计!$C$44*2,0)))</f>
        <v>1.5524731620415944</v>
      </c>
      <c r="M41" s="7">
        <f>IF(AO41=0,断面设计!$D$8,0)</f>
        <v>0.24932800284318068</v>
      </c>
      <c r="N41" s="59">
        <f t="shared" si="61"/>
        <v>1.4999999999999999E-2</v>
      </c>
      <c r="O41" s="60">
        <f>IF(AO41=0,断面设计!$I$8,IF(AO41=1,断面设计!$N$33,IF(AO41=2,断面设计!$G$44,断面设计!$I$8)))</f>
        <v>3000</v>
      </c>
      <c r="P41" s="61">
        <f>IF(AO41=0,断面设计!$L$8,IF(AO41=1,断面设计!$S$33,IF(AO41=2,断面设计!$N$44,0)))</f>
        <v>0.41</v>
      </c>
      <c r="Q41" s="59">
        <f>IF(AO41=0,断面设计!$B$8,IF(AO41=1,断面设计!$B$33,IF(AO41=2,断面设计!$B$44,0)))</f>
        <v>0.61035771418674445</v>
      </c>
      <c r="R41" s="58">
        <f>IF(AO41=0,断面设计!$E$8,IF(AO41=1,断面设计!$J$33,IF(AO41=2,断面设计!$D$44,0)))</f>
        <v>0.70474827215761959</v>
      </c>
      <c r="S41" s="58">
        <f>IF(AO41=0,断面设计!$F$8,IF(AO41=1,断面设计!$K$33,IF(AO41=2,断面设计!$D$44/断面设计!$E$44,0)))</f>
        <v>2.130349326053774</v>
      </c>
      <c r="T41" s="58">
        <f t="shared" si="62"/>
        <v>0.33081347905654718</v>
      </c>
      <c r="U41" s="58">
        <f t="shared" si="63"/>
        <v>0.58176801022124669</v>
      </c>
      <c r="V41" s="59">
        <f t="shared" si="64"/>
        <v>1.0451103198262561E-3</v>
      </c>
      <c r="W41" s="59"/>
      <c r="X41" s="59">
        <f>IF(AN41=0,IF(AN40=2,(H41-H40-AE40)/O41,(H41-H40)/O41),IF(AN41=1,IF(AN40=2,IF(AE41&lt;9,(H41-H40-AE41-AE40)/断面设计!$I$8,(H41-H40-AE41-AE40)/断面设计!$I$8),(H41-H40-AE41)/O40),(H41-H40)/O41))</f>
        <v>1.2068082048494185E-2</v>
      </c>
      <c r="Y41" s="59">
        <f t="shared" si="58"/>
        <v>0</v>
      </c>
      <c r="Z41" s="58">
        <f t="shared" si="56"/>
        <v>0</v>
      </c>
      <c r="AA41" s="69"/>
      <c r="AB41" s="56">
        <f t="shared" si="65"/>
        <v>0.61035771418674445</v>
      </c>
      <c r="AC41" s="56">
        <f t="shared" si="66"/>
        <v>1.3113192368320441E-2</v>
      </c>
      <c r="AD41" s="56">
        <f t="shared" si="67"/>
        <v>2423.3998186146832</v>
      </c>
      <c r="AE41" s="60">
        <v>0</v>
      </c>
      <c r="AF41" s="56" t="str">
        <f t="shared" si="68"/>
        <v xml:space="preserve"> </v>
      </c>
      <c r="AG41" s="56" t="str">
        <f>IF(AE41=0," ",AF41-断面设计!$B$8)</f>
        <v xml:space="preserve"> </v>
      </c>
      <c r="AH41" s="56">
        <f t="shared" si="69"/>
        <v>2423.4024446151507</v>
      </c>
      <c r="AI41" s="56">
        <f t="shared" si="70"/>
        <v>2422.792086900964</v>
      </c>
      <c r="AJ41" s="56">
        <f t="shared" si="71"/>
        <v>2423.3982377245356</v>
      </c>
      <c r="AK41" s="56">
        <f t="shared" si="72"/>
        <v>2422.787880010349</v>
      </c>
      <c r="AL41" s="56">
        <f t="shared" si="73"/>
        <v>2423.4003411698432</v>
      </c>
      <c r="AM41" s="56">
        <f t="shared" si="74"/>
        <v>2422.7899834556565</v>
      </c>
      <c r="AN41" s="45"/>
      <c r="AO41" s="45">
        <v>0</v>
      </c>
      <c r="AP41" s="24"/>
      <c r="AQ41" s="79"/>
    </row>
    <row r="42" spans="1:43" s="20" customFormat="1" x14ac:dyDescent="0.2">
      <c r="A42" s="46"/>
      <c r="B42" s="43" t="str">
        <f>线路!B39</f>
        <v>IP33</v>
      </c>
      <c r="C42" s="44">
        <f>线路!E39</f>
        <v>454382.50719999999</v>
      </c>
      <c r="D42" s="44">
        <f>线路!F39</f>
        <v>3045611.8206000002</v>
      </c>
      <c r="E42" s="172">
        <f>线路!G39</f>
        <v>10</v>
      </c>
      <c r="F42" s="6">
        <f>线路!H39</f>
        <v>46.878999999999998</v>
      </c>
      <c r="G42" s="145">
        <f>线路!L39</f>
        <v>2043.3469255848752</v>
      </c>
      <c r="H42" s="145">
        <f>线路!M39</f>
        <v>2047.4378900850872</v>
      </c>
      <c r="I42" s="145">
        <f>线路!N39</f>
        <v>2051.5288545852995</v>
      </c>
      <c r="J42" s="58">
        <f t="shared" si="59"/>
        <v>8.1819290004243612</v>
      </c>
      <c r="K42" s="58">
        <f t="shared" si="60"/>
        <v>26.628198031980446</v>
      </c>
      <c r="L42" s="58">
        <f>IF(AO42=0,断面设计!$C$8,IF(AO42=1,断面设计!$C$33,IF(AO42=2,断面设计!$C$44*2,0)))</f>
        <v>1.5524731620415944</v>
      </c>
      <c r="M42" s="7">
        <f>IF(AO42=0,断面设计!$D$8,0)</f>
        <v>0.24932800284318068</v>
      </c>
      <c r="N42" s="59">
        <f t="shared" si="61"/>
        <v>1.4999999999999999E-2</v>
      </c>
      <c r="O42" s="60">
        <f>IF(AO42=0,断面设计!$I$8,IF(AO42=1,断面设计!$N$33,IF(AO42=2,断面设计!$G$44,断面设计!$I$8)))</f>
        <v>3000</v>
      </c>
      <c r="P42" s="61">
        <f>IF(AO42=0,断面设计!$L$8,IF(AO42=1,断面设计!$S$33,IF(AO42=2,断面设计!$N$44,0)))</f>
        <v>0.41</v>
      </c>
      <c r="Q42" s="59">
        <f>IF(AO42=0,断面设计!$B$8,IF(AO42=1,断面设计!$B$33,IF(AO42=2,断面设计!$B$44,0)))</f>
        <v>0.61035771418674445</v>
      </c>
      <c r="R42" s="58">
        <f>IF(AO42=0,断面设计!$E$8,IF(AO42=1,断面设计!$J$33,IF(AO42=2,断面设计!$D$44,0)))</f>
        <v>0.70474827215761959</v>
      </c>
      <c r="S42" s="58">
        <f>IF(AO42=0,断面设计!$F$8,IF(AO42=1,断面设计!$K$33,IF(AO42=2,断面设计!$D$44/断面设计!$E$44,0)))</f>
        <v>2.130349326053774</v>
      </c>
      <c r="T42" s="58">
        <f t="shared" si="62"/>
        <v>0.33081347905654718</v>
      </c>
      <c r="U42" s="58">
        <f t="shared" si="63"/>
        <v>0.58176801022124669</v>
      </c>
      <c r="V42" s="59">
        <f t="shared" si="64"/>
        <v>9.0149827374345199E-4</v>
      </c>
      <c r="W42" s="59"/>
      <c r="X42" s="59">
        <f>IF(AN42=0,IF(AN41=2,(H42-H41-AE41)/O42,(H42-H41)/O42),IF(AN42=1,IF(AN41=2,IF(AE42&lt;9,(H42-H41-AE42-AE41)/断面设计!$I$8,(H42-H41-AE42-AE41)/断面设计!$I$8),(H42-H41-AE42)/O41),(H42-H41)/O42))</f>
        <v>8.8760660106601483E-3</v>
      </c>
      <c r="Y42" s="59">
        <f t="shared" si="58"/>
        <v>0</v>
      </c>
      <c r="Z42" s="58">
        <f t="shared" si="56"/>
        <v>0</v>
      </c>
      <c r="AA42" s="69"/>
      <c r="AB42" s="56">
        <f t="shared" si="65"/>
        <v>0.61035771418674445</v>
      </c>
      <c r="AC42" s="56">
        <f t="shared" si="66"/>
        <v>9.7775642844036004E-3</v>
      </c>
      <c r="AD42" s="56">
        <f t="shared" si="67"/>
        <v>2423.3900410503988</v>
      </c>
      <c r="AE42" s="60">
        <v>0</v>
      </c>
      <c r="AF42" s="56" t="str">
        <f t="shared" si="68"/>
        <v xml:space="preserve"> </v>
      </c>
      <c r="AG42" s="56" t="str">
        <f>IF(AE42=0," ",AF42-断面设计!$B$8)</f>
        <v xml:space="preserve"> </v>
      </c>
      <c r="AH42" s="56">
        <f t="shared" si="69"/>
        <v>2423.392306203506</v>
      </c>
      <c r="AI42" s="56">
        <f t="shared" si="70"/>
        <v>2422.7819484893193</v>
      </c>
      <c r="AJ42" s="56">
        <f t="shared" si="71"/>
        <v>2423.3886773955655</v>
      </c>
      <c r="AK42" s="56">
        <f t="shared" si="72"/>
        <v>2422.7783196813789</v>
      </c>
      <c r="AL42" s="56">
        <f t="shared" si="73"/>
        <v>2423.3904917995355</v>
      </c>
      <c r="AM42" s="56">
        <f t="shared" si="74"/>
        <v>2422.7801340853489</v>
      </c>
      <c r="AN42" s="45"/>
      <c r="AO42" s="45">
        <v>0</v>
      </c>
      <c r="AP42" s="24"/>
      <c r="AQ42" s="79"/>
    </row>
    <row r="43" spans="1:43" s="20" customFormat="1" x14ac:dyDescent="0.2">
      <c r="A43" s="46"/>
      <c r="B43" s="43" t="str">
        <f>线路!B40</f>
        <v>IP34</v>
      </c>
      <c r="C43" s="44">
        <f>线路!E40</f>
        <v>454360.04629999999</v>
      </c>
      <c r="D43" s="44">
        <f>线路!F40</f>
        <v>3045496.389</v>
      </c>
      <c r="E43" s="172">
        <f>线路!G40</f>
        <v>10</v>
      </c>
      <c r="F43" s="6">
        <f>线路!H40</f>
        <v>71.641999999999996</v>
      </c>
      <c r="G43" s="145">
        <f>线路!L40</f>
        <v>2157.572020418987</v>
      </c>
      <c r="H43" s="145">
        <f>线路!M40</f>
        <v>2163.823964332556</v>
      </c>
      <c r="I43" s="145">
        <f>线路!N40</f>
        <v>2170.075908246125</v>
      </c>
      <c r="J43" s="58">
        <f t="shared" si="59"/>
        <v>12.503887827137987</v>
      </c>
      <c r="K43" s="58">
        <f t="shared" si="60"/>
        <v>116.38607424746874</v>
      </c>
      <c r="L43" s="58">
        <f>IF(AO43=0,断面设计!$C$8,IF(AO43=1,断面设计!$C$33,IF(AO43=2,断面设计!$C$44*2,0)))</f>
        <v>1.5524731620415944</v>
      </c>
      <c r="M43" s="7">
        <f>IF(AO43=0,断面设计!$D$8,0)</f>
        <v>0.24932800284318068</v>
      </c>
      <c r="N43" s="59">
        <f t="shared" si="61"/>
        <v>1.4999999999999999E-2</v>
      </c>
      <c r="O43" s="60">
        <f>IF(AO43=0,断面设计!$I$8,IF(AO43=1,断面设计!$N$33,IF(AO43=2,断面设计!$G$44,断面设计!$I$8)))</f>
        <v>3000</v>
      </c>
      <c r="P43" s="61">
        <f>IF(AO43=0,断面设计!$L$8,IF(AO43=1,断面设计!$S$33,IF(AO43=2,断面设计!$N$44,0)))</f>
        <v>0.41</v>
      </c>
      <c r="Q43" s="59">
        <f>IF(AO43=0,断面设计!$B$8,IF(AO43=1,断面设计!$B$33,IF(AO43=2,断面设计!$B$44,0)))</f>
        <v>0.61035771418674445</v>
      </c>
      <c r="R43" s="58">
        <f>IF(AO43=0,断面设计!$E$8,IF(AO43=1,断面设计!$J$33,IF(AO43=2,断面设计!$D$44,0)))</f>
        <v>0.70474827215761959</v>
      </c>
      <c r="S43" s="58">
        <f>IF(AO43=0,断面设计!$F$8,IF(AO43=1,断面设计!$K$33,IF(AO43=2,断面设计!$D$44/断面设计!$E$44,0)))</f>
        <v>2.130349326053774</v>
      </c>
      <c r="T43" s="58">
        <f t="shared" si="62"/>
        <v>0.33081347905654718</v>
      </c>
      <c r="U43" s="58">
        <f t="shared" si="63"/>
        <v>0.58176801022124669</v>
      </c>
      <c r="V43" s="59">
        <f t="shared" si="64"/>
        <v>1.3776987420279518E-3</v>
      </c>
      <c r="W43" s="59"/>
      <c r="X43" s="59">
        <f>IF(AN43=0,IF(AN42=2,(H43-H42-AE42)/O43,(H43-H42)/O43),IF(AN43=1,IF(AN42=2,IF(AE43&lt;9,(H43-H42-AE43-AE42)/断面设计!$I$8,(H43-H42-AE43-AE42)/断面设计!$I$8),(H43-H42-AE43)/O42),(H43-H42)/O43))</f>
        <v>3.879535808248958E-2</v>
      </c>
      <c r="Y43" s="59">
        <f t="shared" si="58"/>
        <v>0</v>
      </c>
      <c r="Z43" s="58">
        <f t="shared" si="56"/>
        <v>0</v>
      </c>
      <c r="AA43" s="69"/>
      <c r="AB43" s="56">
        <f t="shared" si="65"/>
        <v>0.61035771418674445</v>
      </c>
      <c r="AC43" s="56">
        <f t="shared" si="66"/>
        <v>4.0173056824517529E-2</v>
      </c>
      <c r="AD43" s="56">
        <f t="shared" si="67"/>
        <v>2423.3498679935742</v>
      </c>
      <c r="AE43" s="60">
        <v>0</v>
      </c>
      <c r="AF43" s="56" t="str">
        <f t="shared" si="68"/>
        <v xml:space="preserve"> </v>
      </c>
      <c r="AG43" s="56" t="str">
        <f>IF(AE43=0," ",AF43-断面设计!$B$8)</f>
        <v xml:space="preserve"> </v>
      </c>
      <c r="AH43" s="56">
        <f t="shared" si="69"/>
        <v>2423.3533296736209</v>
      </c>
      <c r="AI43" s="56">
        <f t="shared" si="70"/>
        <v>2422.7429719594343</v>
      </c>
      <c r="AJ43" s="56">
        <f t="shared" si="71"/>
        <v>2423.3477840122696</v>
      </c>
      <c r="AK43" s="56">
        <f t="shared" si="72"/>
        <v>2422.7374262980829</v>
      </c>
      <c r="AL43" s="56">
        <f t="shared" si="73"/>
        <v>2423.350556842945</v>
      </c>
      <c r="AM43" s="56">
        <f t="shared" si="74"/>
        <v>2422.7401991287584</v>
      </c>
      <c r="AN43" s="45"/>
      <c r="AO43" s="45">
        <v>0</v>
      </c>
      <c r="AP43" s="24"/>
      <c r="AQ43" s="77"/>
    </row>
    <row r="44" spans="1:43" s="20" customFormat="1" x14ac:dyDescent="0.2">
      <c r="A44" s="46"/>
      <c r="B44" s="43" t="str">
        <f>线路!B41</f>
        <v>IP35</v>
      </c>
      <c r="C44" s="44">
        <f>线路!E41</f>
        <v>454405.83689999999</v>
      </c>
      <c r="D44" s="44">
        <f>线路!F41</f>
        <v>3045470.6200999999</v>
      </c>
      <c r="E44" s="172">
        <f>线路!G41</f>
        <v>10</v>
      </c>
      <c r="F44" s="6">
        <f>线路!H41</f>
        <v>103.94199999999999</v>
      </c>
      <c r="G44" s="145">
        <f>线路!L41</f>
        <v>2202.6154966794375</v>
      </c>
      <c r="H44" s="145">
        <f>线路!M41</f>
        <v>2211.6861473349772</v>
      </c>
      <c r="I44" s="145">
        <f>线路!N41</f>
        <v>2220.756797990517</v>
      </c>
      <c r="J44" s="58">
        <f t="shared" si="59"/>
        <v>18.141301311079587</v>
      </c>
      <c r="K44" s="58">
        <f t="shared" si="60"/>
        <v>47.862183002421261</v>
      </c>
      <c r="L44" s="58">
        <f>IF(AO44=0,断面设计!$C$8,IF(AO44=1,断面设计!$C$33,IF(AO44=2,断面设计!$C$44*2,0)))</f>
        <v>1.5524731620415944</v>
      </c>
      <c r="M44" s="7">
        <f>IF(AO44=0,断面设计!$D$8,0)</f>
        <v>0.24932800284318068</v>
      </c>
      <c r="N44" s="59">
        <f t="shared" si="61"/>
        <v>1.4999999999999999E-2</v>
      </c>
      <c r="O44" s="60">
        <f>IF(AO44=0,断面设计!$I$8,IF(AO44=1,断面设计!$N$33,IF(AO44=2,断面设计!$G$44,断面设计!$I$8)))</f>
        <v>3000</v>
      </c>
      <c r="P44" s="61">
        <f>IF(AO44=0,断面设计!$L$8,IF(AO44=1,断面设计!$S$33,IF(AO44=2,断面设计!$N$44,0)))</f>
        <v>0.41</v>
      </c>
      <c r="Q44" s="59">
        <f>IF(AO44=0,断面设计!$B$8,IF(AO44=1,断面设计!$B$33,IF(AO44=2,断面设计!$B$44,0)))</f>
        <v>0.61035771418674445</v>
      </c>
      <c r="R44" s="58">
        <f>IF(AO44=0,断面设计!$E$8,IF(AO44=1,断面设计!$J$33,IF(AO44=2,断面设计!$D$44,0)))</f>
        <v>0.70474827215761959</v>
      </c>
      <c r="S44" s="58">
        <f>IF(AO44=0,断面设计!$F$8,IF(AO44=1,断面设计!$K$33,IF(AO44=2,断面设计!$D$44/断面设计!$E$44,0)))</f>
        <v>2.130349326053774</v>
      </c>
      <c r="T44" s="58">
        <f t="shared" si="62"/>
        <v>0.33081347905654718</v>
      </c>
      <c r="U44" s="58">
        <f t="shared" si="63"/>
        <v>0.58176801022124669</v>
      </c>
      <c r="V44" s="59">
        <f t="shared" si="64"/>
        <v>1.9988381486260565E-3</v>
      </c>
      <c r="W44" s="59"/>
      <c r="X44" s="59">
        <f>IF(AN44=0,IF(AN43=2,(H44-H43-AE43)/O44,(H44-H43)/O44),IF(AN44=1,IF(AN43=2,IF(AE44&lt;9,(H44-H43-AE44-AE43)/断面设计!$I$8,(H44-H43-AE44-AE43)/断面设计!$I$8),(H44-H43-AE44)/O43),(H44-H43)/O44))</f>
        <v>1.5954061000807086E-2</v>
      </c>
      <c r="Y44" s="59">
        <f t="shared" si="58"/>
        <v>0</v>
      </c>
      <c r="Z44" s="58">
        <f t="shared" si="56"/>
        <v>0</v>
      </c>
      <c r="AA44" s="69"/>
      <c r="AB44" s="56">
        <f t="shared" si="65"/>
        <v>0.61035771418674445</v>
      </c>
      <c r="AC44" s="56">
        <f t="shared" si="66"/>
        <v>1.7952899149433141E-2</v>
      </c>
      <c r="AD44" s="56">
        <f t="shared" si="67"/>
        <v>2423.3319150944249</v>
      </c>
      <c r="AE44" s="60">
        <v>0</v>
      </c>
      <c r="AF44" s="56" t="str">
        <f t="shared" si="68"/>
        <v xml:space="preserve"> </v>
      </c>
      <c r="AG44" s="56" t="str">
        <f>IF(AE44=0," ",AF44-断面设计!$B$8)</f>
        <v xml:space="preserve"> </v>
      </c>
      <c r="AH44" s="56">
        <f t="shared" si="69"/>
        <v>2423.3369374827921</v>
      </c>
      <c r="AI44" s="56">
        <f t="shared" si="70"/>
        <v>2422.7265797686055</v>
      </c>
      <c r="AJ44" s="56">
        <f t="shared" si="71"/>
        <v>2423.3288915442063</v>
      </c>
      <c r="AK44" s="56">
        <f t="shared" si="72"/>
        <v>2422.7185338300196</v>
      </c>
      <c r="AL44" s="56">
        <f t="shared" si="73"/>
        <v>2423.332914513499</v>
      </c>
      <c r="AM44" s="56">
        <f t="shared" si="74"/>
        <v>2422.7225567993123</v>
      </c>
      <c r="AN44" s="45"/>
      <c r="AO44" s="45">
        <v>0</v>
      </c>
      <c r="AP44" s="24"/>
      <c r="AQ44" s="79"/>
    </row>
    <row r="45" spans="1:43" s="20" customFormat="1" x14ac:dyDescent="0.2">
      <c r="A45" s="46"/>
      <c r="B45" s="43" t="str">
        <f>线路!B42</f>
        <v>IP36</v>
      </c>
      <c r="C45" s="44">
        <f>线路!E42</f>
        <v>454373.1251</v>
      </c>
      <c r="D45" s="44">
        <f>线路!F42</f>
        <v>3045435.9207000001</v>
      </c>
      <c r="E45" s="172">
        <f>线路!G42</f>
        <v>10</v>
      </c>
      <c r="F45" s="6">
        <f>线路!H42</f>
        <v>70.049000000000007</v>
      </c>
      <c r="G45" s="145">
        <f>线路!L42</f>
        <v>2248.6499082780292</v>
      </c>
      <c r="H45" s="145">
        <f>线路!M42</f>
        <v>2254.7628367166767</v>
      </c>
      <c r="I45" s="145">
        <f>线路!N42</f>
        <v>2260.8757651553242</v>
      </c>
      <c r="J45" s="58">
        <f t="shared" si="59"/>
        <v>12.225856877294973</v>
      </c>
      <c r="K45" s="58">
        <f t="shared" si="60"/>
        <v>43.076689381699452</v>
      </c>
      <c r="L45" s="58">
        <f>IF(AO45=0,断面设计!$C$8,IF(AO45=1,断面设计!$C$33,IF(AO45=2,断面设计!$C$44*2,0)))</f>
        <v>1.5524731620415944</v>
      </c>
      <c r="M45" s="7">
        <f>IF(AO45=0,断面设计!$D$8,0)</f>
        <v>0.24932800284318068</v>
      </c>
      <c r="N45" s="59">
        <f t="shared" si="61"/>
        <v>1.4999999999999999E-2</v>
      </c>
      <c r="O45" s="60">
        <f>IF(AO45=0,断面设计!$I$8,IF(AO45=1,断面设计!$N$33,IF(AO45=2,断面设计!$G$44,断面设计!$I$8)))</f>
        <v>3000</v>
      </c>
      <c r="P45" s="61">
        <f>IF(AO45=0,断面设计!$L$8,IF(AO45=1,断面设计!$S$33,IF(AO45=2,断面设计!$N$44,0)))</f>
        <v>0.41</v>
      </c>
      <c r="Q45" s="59">
        <f>IF(AO45=0,断面设计!$B$8,IF(AO45=1,断面设计!$B$33,IF(AO45=2,断面设计!$B$44,0)))</f>
        <v>0.61035771418674445</v>
      </c>
      <c r="R45" s="58">
        <f>IF(AO45=0,断面设计!$E$8,IF(AO45=1,断面设计!$J$33,IF(AO45=2,断面设计!$D$44,0)))</f>
        <v>0.70474827215761959</v>
      </c>
      <c r="S45" s="58">
        <f>IF(AO45=0,断面设计!$F$8,IF(AO45=1,断面设计!$K$33,IF(AO45=2,断面设计!$D$44/断面设计!$E$44,0)))</f>
        <v>2.130349326053774</v>
      </c>
      <c r="T45" s="58">
        <f t="shared" si="62"/>
        <v>0.33081347905654718</v>
      </c>
      <c r="U45" s="58">
        <f t="shared" si="63"/>
        <v>0.58176801022124669</v>
      </c>
      <c r="V45" s="59">
        <f t="shared" si="64"/>
        <v>1.3470648387860962E-3</v>
      </c>
      <c r="W45" s="59"/>
      <c r="X45" s="59">
        <f>IF(AN45=0,IF(AN44=2,(H45-H44-AE44)/O45,(H45-H44)/O45),IF(AN45=1,IF(AN44=2,IF(AE45&lt;9,(H45-H44-AE45-AE44)/断面设计!$I$8,(H45-H44-AE45-AE44)/断面设计!$I$8),(H45-H44-AE45)/O44),(H45-H44)/O45))</f>
        <v>1.4358896460566484E-2</v>
      </c>
      <c r="Y45" s="59">
        <f t="shared" si="58"/>
        <v>0</v>
      </c>
      <c r="Z45" s="58">
        <f t="shared" si="56"/>
        <v>0</v>
      </c>
      <c r="AA45" s="69"/>
      <c r="AB45" s="56">
        <f t="shared" si="65"/>
        <v>0.61035771418674445</v>
      </c>
      <c r="AC45" s="56">
        <f t="shared" si="66"/>
        <v>1.5705961299352578E-2</v>
      </c>
      <c r="AD45" s="56">
        <f t="shared" si="67"/>
        <v>2423.3162091331255</v>
      </c>
      <c r="AE45" s="60">
        <v>0</v>
      </c>
      <c r="AF45" s="56" t="str">
        <f t="shared" si="68"/>
        <v xml:space="preserve"> </v>
      </c>
      <c r="AG45" s="56" t="str">
        <f>IF(AE45=0," ",AF45-断面设计!$B$8)</f>
        <v xml:space="preserve"> </v>
      </c>
      <c r="AH45" s="56">
        <f t="shared" si="69"/>
        <v>2423.3195938407771</v>
      </c>
      <c r="AI45" s="56">
        <f t="shared" si="70"/>
        <v>2422.7092361265904</v>
      </c>
      <c r="AJ45" s="56">
        <f t="shared" si="71"/>
        <v>2423.3141714903127</v>
      </c>
      <c r="AK45" s="56">
        <f t="shared" si="72"/>
        <v>2422.703813776126</v>
      </c>
      <c r="AL45" s="56">
        <f t="shared" si="73"/>
        <v>2423.3168826655451</v>
      </c>
      <c r="AM45" s="56">
        <f t="shared" si="74"/>
        <v>2422.7065249513585</v>
      </c>
      <c r="AN45" s="45"/>
      <c r="AO45" s="45">
        <v>0</v>
      </c>
      <c r="AP45" s="24">
        <v>2423.27</v>
      </c>
      <c r="AQ45" s="79"/>
    </row>
    <row r="46" spans="1:43" s="158" customFormat="1" x14ac:dyDescent="0.2">
      <c r="A46" s="159" t="s">
        <v>33</v>
      </c>
      <c r="B46" s="47" t="str">
        <f>线路!B43</f>
        <v>2#倒进</v>
      </c>
      <c r="C46" s="48">
        <f>线路!E43</f>
        <v>454401.99660000001</v>
      </c>
      <c r="D46" s="48">
        <f>线路!F43</f>
        <v>3045378.6110999999</v>
      </c>
      <c r="E46" s="173">
        <f>线路!G43</f>
        <v>10</v>
      </c>
      <c r="F46" s="9">
        <f>线路!H43</f>
        <v>0</v>
      </c>
      <c r="G46" s="146">
        <f>线路!L43</f>
        <v>2318.0385998755933</v>
      </c>
      <c r="H46" s="146">
        <f>线路!M43</f>
        <v>2318.0385998755933</v>
      </c>
      <c r="I46" s="146">
        <f>线路!N43</f>
        <v>2318.0385998755933</v>
      </c>
      <c r="J46" s="62">
        <f t="shared" si="59"/>
        <v>0</v>
      </c>
      <c r="K46" s="62">
        <f t="shared" si="60"/>
        <v>63.275763158916561</v>
      </c>
      <c r="L46" s="58">
        <f>IF(AO46=0,断面设计!$C$8,IF(AO46=1,断面设计!$C$33,IF(AO46=2,断面设计!$C$44*2,0)))</f>
        <v>1.5524731620415944</v>
      </c>
      <c r="M46" s="7">
        <f>IF(AO46=0,断面设计!$D$8,0)</f>
        <v>0.24932800284318068</v>
      </c>
      <c r="N46" s="63">
        <f t="shared" si="61"/>
        <v>1.4999999999999999E-2</v>
      </c>
      <c r="O46" s="60">
        <f>IF(AO46=0,断面设计!$I$8,IF(AO46=1,断面设计!$N$33,IF(AO46=2,断面设计!$G$44,断面设计!$I$8)))</f>
        <v>3000</v>
      </c>
      <c r="P46" s="61">
        <f>IF(AO46=0,断面设计!$L$8,IF(AO46=1,断面设计!$S$33,IF(AO46=2,断面设计!$N$44,0)))</f>
        <v>0.41</v>
      </c>
      <c r="Q46" s="59">
        <f>IF(AO46=0,断面设计!$B$8,IF(AO46=1,断面设计!$B$33,IF(AO46=2,断面设计!$B$44,0)))</f>
        <v>0.61035771418674445</v>
      </c>
      <c r="R46" s="58">
        <f>IF(AO46=0,断面设计!$E$8,IF(AO46=1,断面设计!$J$33,IF(AO46=2,断面设计!$D$44,0)))</f>
        <v>0.70474827215761959</v>
      </c>
      <c r="S46" s="58">
        <f>IF(AO46=0,断面设计!$F$8,IF(AO46=1,断面设计!$K$33,IF(AO46=2,断面设计!$D$44/断面设计!$E$44,0)))</f>
        <v>2.130349326053774</v>
      </c>
      <c r="T46" s="62">
        <f t="shared" si="62"/>
        <v>0.33081347905654718</v>
      </c>
      <c r="U46" s="62">
        <f t="shared" si="63"/>
        <v>0.58176801022124669</v>
      </c>
      <c r="V46" s="63">
        <f t="shared" si="64"/>
        <v>0</v>
      </c>
      <c r="W46" s="63"/>
      <c r="X46" s="63">
        <f>IF(AN46=0,IF(AN45=2,(H46-H45-AE45)/O46,(H46-H45)/O46),IF(AN46=1,IF(AN45=2,IF(AE46&lt;9,(H46-H45-AE46-AE45)/断面设计!$I$8,(H46-H45-AE46-AE45)/断面设计!$I$8),(H46-H45-AE46)/O45),(H46-H45)/O46))</f>
        <v>2.1091921052972189E-2</v>
      </c>
      <c r="Y46" s="63">
        <f t="shared" si="58"/>
        <v>0</v>
      </c>
      <c r="Z46" s="62">
        <f t="shared" si="56"/>
        <v>0</v>
      </c>
      <c r="AA46" s="70"/>
      <c r="AB46" s="71">
        <f t="shared" si="65"/>
        <v>0.61035771418674445</v>
      </c>
      <c r="AC46" s="71">
        <f t="shared" si="66"/>
        <v>2.1091921052972189E-2</v>
      </c>
      <c r="AD46" s="71">
        <f t="shared" si="67"/>
        <v>2423.2951172120725</v>
      </c>
      <c r="AE46" s="64">
        <v>0</v>
      </c>
      <c r="AF46" s="71" t="str">
        <f t="shared" si="68"/>
        <v xml:space="preserve"> </v>
      </c>
      <c r="AG46" s="71" t="str">
        <f>IF(AE46=0," ",AF46-断面设计!$B$8)</f>
        <v xml:space="preserve"> </v>
      </c>
      <c r="AH46" s="71" t="str">
        <f t="shared" si="69"/>
        <v xml:space="preserve"> </v>
      </c>
      <c r="AI46" s="71" t="str">
        <f t="shared" si="70"/>
        <v xml:space="preserve"> </v>
      </c>
      <c r="AJ46" s="71" t="str">
        <f t="shared" si="71"/>
        <v xml:space="preserve"> </v>
      </c>
      <c r="AK46" s="71" t="str">
        <f t="shared" si="72"/>
        <v xml:space="preserve"> </v>
      </c>
      <c r="AL46" s="71">
        <f t="shared" si="73"/>
        <v>2423.2951172120725</v>
      </c>
      <c r="AM46" s="71">
        <f t="shared" si="74"/>
        <v>2422.6847594978858</v>
      </c>
      <c r="AN46" s="74">
        <v>1</v>
      </c>
      <c r="AO46" s="74">
        <v>0</v>
      </c>
      <c r="AP46" s="160"/>
      <c r="AQ46" s="162"/>
    </row>
    <row r="47" spans="1:43" s="158" customFormat="1" x14ac:dyDescent="0.2">
      <c r="A47" s="159" t="s">
        <v>34</v>
      </c>
      <c r="B47" s="47" t="str">
        <f>线路!B44</f>
        <v>IP37</v>
      </c>
      <c r="C47" s="48">
        <f>线路!E44</f>
        <v>454416.6568</v>
      </c>
      <c r="D47" s="48">
        <f>线路!F44</f>
        <v>3045349.5109000001</v>
      </c>
      <c r="E47" s="173">
        <f>线路!G44</f>
        <v>2.4</v>
      </c>
      <c r="F47" s="9">
        <f>线路!H44</f>
        <v>28.981000000000002</v>
      </c>
      <c r="G47" s="146">
        <f>线路!L44</f>
        <v>2350.002741909047</v>
      </c>
      <c r="H47" s="146">
        <f>线路!M44</f>
        <v>2350.6097185536714</v>
      </c>
      <c r="I47" s="146">
        <f>线路!N44</f>
        <v>2351.2166951982963</v>
      </c>
      <c r="J47" s="62">
        <f t="shared" si="31"/>
        <v>1.2139532892492753</v>
      </c>
      <c r="K47" s="62">
        <f t="shared" si="32"/>
        <v>32.571118678078165</v>
      </c>
      <c r="L47" s="58">
        <f>IF(AO47=0,断面设计!$C$8,IF(AO47=1,断面设计!$C$33,IF(AO47=2,断面设计!$C$44*2,0)))</f>
        <v>1.5524731620415944</v>
      </c>
      <c r="M47" s="7">
        <f>IF(AO47=0,断面设计!$D$8,0)</f>
        <v>0.24932800284318068</v>
      </c>
      <c r="N47" s="63">
        <f t="shared" ref="N47:N90" si="75">IF(AO47=0,0.015,0.014)</f>
        <v>1.4999999999999999E-2</v>
      </c>
      <c r="O47" s="60">
        <f>IF(AO47=0,断面设计!$I$8,IF(AO47=1,断面设计!$N$33,IF(AO47=2,断面设计!$G$44,断面设计!$I$8)))</f>
        <v>3000</v>
      </c>
      <c r="P47" s="61">
        <f>IF(AO47=0,断面设计!$L$8,IF(AO47=1,断面设计!$S$33,IF(AO47=2,断面设计!$N$44,0)))</f>
        <v>0.41</v>
      </c>
      <c r="Q47" s="59">
        <f>IF(AO47=0,断面设计!$B$8,IF(AO47=1,断面设计!$B$33,IF(AO47=2,断面设计!$B$44,0)))</f>
        <v>0.61035771418674445</v>
      </c>
      <c r="R47" s="58">
        <f>IF(AO47=0,断面设计!$E$8,IF(AO47=1,断面设计!$J$33,IF(AO47=2,断面设计!$D$44,0)))</f>
        <v>0.70474827215761959</v>
      </c>
      <c r="S47" s="58">
        <f>IF(AO47=0,断面设计!$F$8,IF(AO47=1,断面设计!$K$33,IF(AO47=2,断面设计!$D$44/断面设计!$E$44,0)))</f>
        <v>2.130349326053774</v>
      </c>
      <c r="T47" s="62">
        <f t="shared" si="54"/>
        <v>0.33081347905654718</v>
      </c>
      <c r="U47" s="62">
        <f t="shared" si="55"/>
        <v>0.58176801022124669</v>
      </c>
      <c r="V47" s="63"/>
      <c r="W47" s="63"/>
      <c r="X47" s="63"/>
      <c r="Y47" s="63"/>
      <c r="Z47" s="62"/>
      <c r="AA47" s="70"/>
      <c r="AB47" s="71"/>
      <c r="AC47" s="71"/>
      <c r="AD47" s="71"/>
      <c r="AE47" s="64"/>
      <c r="AF47" s="71"/>
      <c r="AG47" s="71"/>
      <c r="AH47" s="71"/>
      <c r="AI47" s="71"/>
      <c r="AJ47" s="71"/>
      <c r="AK47" s="71"/>
      <c r="AL47" s="71"/>
      <c r="AM47" s="71"/>
      <c r="AN47" s="74"/>
      <c r="AO47" s="74">
        <v>0</v>
      </c>
      <c r="AP47" s="160"/>
      <c r="AQ47" s="161"/>
    </row>
    <row r="48" spans="1:43" s="158" customFormat="1" x14ac:dyDescent="0.2">
      <c r="A48" s="159"/>
      <c r="B48" s="47" t="str">
        <f>线路!B45</f>
        <v>IP38</v>
      </c>
      <c r="C48" s="48">
        <f>线路!E45</f>
        <v>454408.71460000001</v>
      </c>
      <c r="D48" s="48">
        <f>线路!F45</f>
        <v>3045146.7291000001</v>
      </c>
      <c r="E48" s="173">
        <f>线路!G45</f>
        <v>2.4</v>
      </c>
      <c r="F48" s="9">
        <f>线路!H45</f>
        <v>28.629000000000001</v>
      </c>
      <c r="G48" s="146">
        <f>线路!L45</f>
        <v>2552.9213117619342</v>
      </c>
      <c r="H48" s="146">
        <f>线路!M45</f>
        <v>2553.5209161357984</v>
      </c>
      <c r="I48" s="146">
        <f>线路!N45</f>
        <v>2554.1205205096626</v>
      </c>
      <c r="J48" s="62">
        <f t="shared" si="31"/>
        <v>1.1992087477283349</v>
      </c>
      <c r="K48" s="62">
        <f t="shared" si="32"/>
        <v>202.91119758212699</v>
      </c>
      <c r="L48" s="58">
        <f>IF(AO48=0,断面设计!$C$8,IF(AO48=1,断面设计!$C$33,IF(AO48=2,断面设计!$C$44*2,0)))</f>
        <v>1.5524731620415944</v>
      </c>
      <c r="M48" s="7">
        <f>IF(AO48=0,断面设计!$D$8,0)</f>
        <v>0.24932800284318068</v>
      </c>
      <c r="N48" s="63">
        <f t="shared" si="75"/>
        <v>1.4999999999999999E-2</v>
      </c>
      <c r="O48" s="60">
        <f>IF(AO48=0,断面设计!$I$8,IF(AO48=1,断面设计!$N$33,IF(AO48=2,断面设计!$G$44,断面设计!$I$8)))</f>
        <v>3000</v>
      </c>
      <c r="P48" s="61">
        <f>IF(AO48=0,断面设计!$L$8,IF(AO48=1,断面设计!$S$33,IF(AO48=2,断面设计!$N$44,0)))</f>
        <v>0.41</v>
      </c>
      <c r="Q48" s="59">
        <f>IF(AO48=0,断面设计!$B$8,IF(AO48=1,断面设计!$B$33,IF(AO48=2,断面设计!$B$44,0)))</f>
        <v>0.61035771418674445</v>
      </c>
      <c r="R48" s="58">
        <f>IF(AO48=0,断面设计!$E$8,IF(AO48=1,断面设计!$J$33,IF(AO48=2,断面设计!$D$44,0)))</f>
        <v>0.70474827215761959</v>
      </c>
      <c r="S48" s="58">
        <f>IF(AO48=0,断面设计!$F$8,IF(AO48=1,断面设计!$K$33,IF(AO48=2,断面设计!$D$44/断面设计!$E$44,0)))</f>
        <v>2.130349326053774</v>
      </c>
      <c r="T48" s="62">
        <f t="shared" si="54"/>
        <v>0.33081347905654718</v>
      </c>
      <c r="U48" s="62">
        <f t="shared" si="55"/>
        <v>0.58176801022124669</v>
      </c>
      <c r="V48" s="63"/>
      <c r="W48" s="63"/>
      <c r="X48" s="63"/>
      <c r="Y48" s="63"/>
      <c r="Z48" s="62"/>
      <c r="AA48" s="70"/>
      <c r="AB48" s="71"/>
      <c r="AC48" s="71"/>
      <c r="AD48" s="71"/>
      <c r="AE48" s="64"/>
      <c r="AF48" s="71"/>
      <c r="AG48" s="71"/>
      <c r="AH48" s="71"/>
      <c r="AI48" s="71"/>
      <c r="AJ48" s="71"/>
      <c r="AK48" s="71"/>
      <c r="AL48" s="71"/>
      <c r="AM48" s="71"/>
      <c r="AN48" s="74"/>
      <c r="AO48" s="74">
        <v>0</v>
      </c>
      <c r="AP48" s="160"/>
      <c r="AQ48" s="162"/>
    </row>
    <row r="49" spans="1:43" s="158" customFormat="1" x14ac:dyDescent="0.2">
      <c r="A49" s="159"/>
      <c r="B49" s="47" t="str">
        <f>线路!B46</f>
        <v>2#倒出</v>
      </c>
      <c r="C49" s="48">
        <f>线路!E46</f>
        <v>454397.14279999997</v>
      </c>
      <c r="D49" s="48">
        <f>线路!F46</f>
        <v>3045127.3725999999</v>
      </c>
      <c r="E49" s="173">
        <f>线路!G46</f>
        <v>10</v>
      </c>
      <c r="F49" s="9">
        <f>线路!H46</f>
        <v>0</v>
      </c>
      <c r="G49" s="146">
        <f>线路!L46</f>
        <v>2576.0598539957141</v>
      </c>
      <c r="H49" s="146">
        <f>线路!M46</f>
        <v>2576.0598539957141</v>
      </c>
      <c r="I49" s="146">
        <f>线路!N46</f>
        <v>2576.0598539957141</v>
      </c>
      <c r="J49" s="62">
        <f t="shared" si="31"/>
        <v>0</v>
      </c>
      <c r="K49" s="62">
        <f t="shared" si="32"/>
        <v>22.538937859915677</v>
      </c>
      <c r="L49" s="58">
        <f>IF(AO49=0,断面设计!$C$8,IF(AO49=1,断面设计!$C$33,IF(AO49=2,断面设计!$C$44*2,0)))</f>
        <v>1.5524731620415944</v>
      </c>
      <c r="M49" s="7">
        <f>IF(AO49=0,断面设计!$D$8,0)</f>
        <v>0.24932800284318068</v>
      </c>
      <c r="N49" s="63">
        <f t="shared" si="75"/>
        <v>1.4999999999999999E-2</v>
      </c>
      <c r="O49" s="60">
        <f>IF(AO49=0,断面设计!$I$8,IF(AO49=1,断面设计!$N$33,IF(AO49=2,断面设计!$G$44,断面设计!$I$8)))</f>
        <v>3000</v>
      </c>
      <c r="P49" s="61">
        <f>IF(AO49=0,断面设计!$L$8,IF(AO49=1,断面设计!$S$33,IF(AO49=2,断面设计!$N$44,0)))</f>
        <v>0.41</v>
      </c>
      <c r="Q49" s="59">
        <f>IF(AO49=0,断面设计!$B$8,IF(AO49=1,断面设计!$B$33,IF(AO49=2,断面设计!$B$44,0)))</f>
        <v>0.61035771418674445</v>
      </c>
      <c r="R49" s="58">
        <f>IF(AO49=0,断面设计!$E$8,IF(AO49=1,断面设计!$J$33,IF(AO49=2,断面设计!$D$44,0)))</f>
        <v>0.70474827215761959</v>
      </c>
      <c r="S49" s="58">
        <f>IF(AO49=0,断面设计!$F$8,IF(AO49=1,断面设计!$K$33,IF(AO49=2,断面设计!$D$44/断面设计!$E$44,0)))</f>
        <v>2.130349326053774</v>
      </c>
      <c r="T49" s="62">
        <f t="shared" si="54"/>
        <v>0.33081347905654718</v>
      </c>
      <c r="U49" s="62">
        <f t="shared" si="55"/>
        <v>0.58176801022124669</v>
      </c>
      <c r="V49" s="63"/>
      <c r="W49" s="63"/>
      <c r="X49" s="63"/>
      <c r="Y49" s="63">
        <v>0.6</v>
      </c>
      <c r="Z49" s="62">
        <f t="shared" si="56"/>
        <v>0</v>
      </c>
      <c r="AA49" s="70"/>
      <c r="AB49" s="71">
        <f t="shared" si="33"/>
        <v>0.61035771418674445</v>
      </c>
      <c r="AC49" s="71">
        <f t="shared" si="5"/>
        <v>0.6</v>
      </c>
      <c r="AD49" s="71">
        <f>AD46-AC49</f>
        <v>2422.6951172120725</v>
      </c>
      <c r="AE49" s="64">
        <f t="shared" si="35"/>
        <v>0</v>
      </c>
      <c r="AF49" s="71" t="str">
        <f t="shared" si="36"/>
        <v xml:space="preserve"> </v>
      </c>
      <c r="AG49" s="71" t="str">
        <f>IF(AE49=0," ",AF49-断面设计!$B$8)</f>
        <v xml:space="preserve"> </v>
      </c>
      <c r="AH49" s="71" t="str">
        <f t="shared" si="24"/>
        <v xml:space="preserve"> </v>
      </c>
      <c r="AI49" s="71" t="str">
        <f t="shared" si="25"/>
        <v xml:space="preserve"> </v>
      </c>
      <c r="AJ49" s="71" t="str">
        <f t="shared" si="26"/>
        <v xml:space="preserve"> </v>
      </c>
      <c r="AK49" s="71" t="str">
        <f t="shared" si="27"/>
        <v xml:space="preserve"> </v>
      </c>
      <c r="AL49" s="71">
        <f t="shared" si="28"/>
        <v>2422.6951172120725</v>
      </c>
      <c r="AM49" s="71">
        <f t="shared" si="29"/>
        <v>2422.0847594978859</v>
      </c>
      <c r="AN49" s="74">
        <v>2</v>
      </c>
      <c r="AO49" s="74">
        <v>0</v>
      </c>
      <c r="AP49" s="160">
        <v>2422.6799999999998</v>
      </c>
      <c r="AQ49" s="162"/>
    </row>
    <row r="50" spans="1:43" s="20" customFormat="1" x14ac:dyDescent="0.2">
      <c r="A50" s="46" t="s">
        <v>34</v>
      </c>
      <c r="B50" s="43" t="str">
        <f>线路!B47</f>
        <v>IP39</v>
      </c>
      <c r="C50" s="44">
        <f>线路!E47</f>
        <v>454329.83789999998</v>
      </c>
      <c r="D50" s="44">
        <f>线路!F47</f>
        <v>3045014.7892</v>
      </c>
      <c r="E50" s="172">
        <f>线路!G47</f>
        <v>10</v>
      </c>
      <c r="F50" s="6">
        <f>线路!H47</f>
        <v>19.556999999999999</v>
      </c>
      <c r="G50" s="145">
        <f>线路!L47</f>
        <v>2705.5041410899948</v>
      </c>
      <c r="H50" s="145">
        <f>线路!M47</f>
        <v>2707.2108112990577</v>
      </c>
      <c r="I50" s="145">
        <f>线路!N47</f>
        <v>2708.9174815081201</v>
      </c>
      <c r="J50" s="58">
        <f t="shared" si="31"/>
        <v>3.4133404181252445</v>
      </c>
      <c r="K50" s="58">
        <f t="shared" si="32"/>
        <v>131.1509573033436</v>
      </c>
      <c r="L50" s="58">
        <f>IF(AO50=0,断面设计!$C$8,IF(AO50=1,断面设计!$C$33,IF(AO50=2,断面设计!$C$44*2,0)))</f>
        <v>1.5524731620415944</v>
      </c>
      <c r="M50" s="7">
        <f>IF(AO50=0,断面设计!$D$8,0)</f>
        <v>0.24932800284318068</v>
      </c>
      <c r="N50" s="59">
        <f t="shared" si="75"/>
        <v>1.4999999999999999E-2</v>
      </c>
      <c r="O50" s="60">
        <f>IF(AO50=0,断面设计!$I$8,IF(AO50=1,断面设计!$N$33,IF(AO50=2,断面设计!$G$44,断面设计!$I$8)))</f>
        <v>3000</v>
      </c>
      <c r="P50" s="61">
        <f>IF(AO50=0,断面设计!$L$8,IF(AO50=1,断面设计!$S$33,IF(AO50=2,断面设计!$N$44,0)))</f>
        <v>0.41</v>
      </c>
      <c r="Q50" s="59">
        <f>IF(AO50=0,断面设计!$B$8,IF(AO50=1,断面设计!$B$33,IF(AO50=2,断面设计!$B$44,0)))</f>
        <v>0.61035771418674445</v>
      </c>
      <c r="R50" s="58">
        <f>IF(AO50=0,断面设计!$E$8,IF(AO50=1,断面设计!$J$33,IF(AO50=2,断面设计!$D$44,0)))</f>
        <v>0.70474827215761959</v>
      </c>
      <c r="S50" s="58">
        <f>IF(AO50=0,断面设计!$F$8,IF(AO50=1,断面设计!$K$33,IF(AO50=2,断面设计!$D$44/断面设计!$E$44,0)))</f>
        <v>2.130349326053774</v>
      </c>
      <c r="T50" s="58">
        <f t="shared" si="54"/>
        <v>0.33081347905654718</v>
      </c>
      <c r="U50" s="58">
        <f t="shared" si="55"/>
        <v>0.58176801022124669</v>
      </c>
      <c r="V50" s="59">
        <f t="shared" si="57"/>
        <v>3.7608741098573014E-4</v>
      </c>
      <c r="W50" s="59"/>
      <c r="X50" s="59">
        <f>IF(AN50=0,IF(AN49=2,(H50-H49-AE49)/O50,(H50-H49)/O50),IF(AN50=1,IF(AN49=2,IF(AE50&lt;9,(H50-H49-AE50-AE49)/断面设计!$I$8,(H50-H49-AE50-AE49)/断面设计!$I$8),(H50-H49-AE50)/O49),(H50-H49)/O50))</f>
        <v>4.37169857677812E-2</v>
      </c>
      <c r="Y50" s="59">
        <f t="shared" ref="Y50:Y52" si="76">$Y$5</f>
        <v>0</v>
      </c>
      <c r="Z50" s="58">
        <f t="shared" si="56"/>
        <v>0</v>
      </c>
      <c r="AA50" s="69"/>
      <c r="AB50" s="56">
        <f t="shared" si="33"/>
        <v>0.61035771418674445</v>
      </c>
      <c r="AC50" s="56">
        <f t="shared" si="5"/>
        <v>4.4093073178766928E-2</v>
      </c>
      <c r="AD50" s="56">
        <f t="shared" si="34"/>
        <v>2422.6510241388937</v>
      </c>
      <c r="AE50" s="60">
        <f t="shared" si="35"/>
        <v>0</v>
      </c>
      <c r="AF50" s="56" t="str">
        <f t="shared" si="36"/>
        <v xml:space="preserve"> </v>
      </c>
      <c r="AG50" s="56" t="str">
        <f>IF(AE50=0," ",AF50-断面设计!$B$8)</f>
        <v xml:space="preserve"> </v>
      </c>
      <c r="AH50" s="56">
        <f t="shared" si="24"/>
        <v>2422.6519691163744</v>
      </c>
      <c r="AI50" s="56">
        <f t="shared" si="25"/>
        <v>2422.0416114021878</v>
      </c>
      <c r="AJ50" s="56">
        <f t="shared" si="26"/>
        <v>2422.6504552488241</v>
      </c>
      <c r="AK50" s="56">
        <f t="shared" si="27"/>
        <v>2422.0400975346374</v>
      </c>
      <c r="AL50" s="56">
        <f t="shared" si="28"/>
        <v>2422.651212182599</v>
      </c>
      <c r="AM50" s="56">
        <f t="shared" si="29"/>
        <v>2422.0408544684124</v>
      </c>
      <c r="AN50" s="45"/>
      <c r="AO50" s="45">
        <v>0</v>
      </c>
      <c r="AP50"/>
      <c r="AQ50"/>
    </row>
    <row r="51" spans="1:43" s="213" customFormat="1" x14ac:dyDescent="0.2">
      <c r="A51" s="228"/>
      <c r="B51" s="218" t="str">
        <f>线路!B48</f>
        <v>3#斗门</v>
      </c>
      <c r="C51" s="208">
        <f>线路!E48</f>
        <v>454311.10969999997</v>
      </c>
      <c r="D51" s="208">
        <f>线路!F48</f>
        <v>3044921.1908</v>
      </c>
      <c r="E51" s="219">
        <f>线路!G48</f>
        <v>10</v>
      </c>
      <c r="F51" s="207">
        <f>线路!H48</f>
        <v>0</v>
      </c>
      <c r="G51" s="220">
        <f>线路!L48</f>
        <v>2802.6477306285196</v>
      </c>
      <c r="H51" s="220">
        <f>线路!M48</f>
        <v>2802.6477306285196</v>
      </c>
      <c r="I51" s="220">
        <f>线路!N48</f>
        <v>2802.6477306285196</v>
      </c>
      <c r="J51" s="221">
        <f t="shared" ref="J51:J52" si="77">I51-G51</f>
        <v>0</v>
      </c>
      <c r="K51" s="221">
        <f t="shared" ref="K51:K52" si="78">H51-H50</f>
        <v>95.436919329461944</v>
      </c>
      <c r="L51" s="58">
        <f>IF(AO51=0,断面设计!$C$8,IF(AO51=1,断面设计!$C$33,IF(AO51=2,断面设计!$C$44*2,0)))</f>
        <v>1.5524731620415944</v>
      </c>
      <c r="M51" s="7">
        <f>IF(AO51=0,断面设计!$D$8,0)</f>
        <v>0.24932800284318068</v>
      </c>
      <c r="N51" s="222">
        <f t="shared" ref="N51:N52" si="79">IF(AO51=0,0.015,0.014)</f>
        <v>1.4999999999999999E-2</v>
      </c>
      <c r="O51" s="60">
        <f>IF(AO51=0,断面设计!$I$8,IF(AO51=1,断面设计!$N$33,IF(AO51=2,断面设计!$G$44,断面设计!$I$8)))</f>
        <v>3000</v>
      </c>
      <c r="P51" s="61">
        <f>IF(AO51=0,断面设计!$L$8,IF(AO51=1,断面设计!$S$33,IF(AO51=2,断面设计!$N$44,0)))</f>
        <v>0.41</v>
      </c>
      <c r="Q51" s="59">
        <f>IF(AO51=0,断面设计!$B$8,IF(AO51=1,断面设计!$B$33,IF(AO51=2,断面设计!$B$44,0)))</f>
        <v>0.61035771418674445</v>
      </c>
      <c r="R51" s="58">
        <f>IF(AO51=0,断面设计!$E$8,IF(AO51=1,断面设计!$J$33,IF(AO51=2,断面设计!$D$44,0)))</f>
        <v>0.70474827215761959</v>
      </c>
      <c r="S51" s="58">
        <f>IF(AO51=0,断面设计!$F$8,IF(AO51=1,断面设计!$K$33,IF(AO51=2,断面设计!$D$44/断面设计!$E$44,0)))</f>
        <v>2.130349326053774</v>
      </c>
      <c r="T51" s="221">
        <f t="shared" ref="T51:T52" si="80">R51/S51</f>
        <v>0.33081347905654718</v>
      </c>
      <c r="U51" s="221">
        <f t="shared" ref="U51:U52" si="81">P51/R51</f>
        <v>0.58176801022124669</v>
      </c>
      <c r="V51" s="222">
        <f t="shared" ref="V51:V52" si="82">(I51-G51)*N51^2/T51^(4/3)*U51^2*3/4*((L51+Q51*M51*2*1.3)/E51)^0.5</f>
        <v>0</v>
      </c>
      <c r="W51" s="222"/>
      <c r="X51" s="222">
        <f>IF(AN51=0,IF(AN50=2,(H51-H50-AE50)/O51,(H51-H50)/O51),IF(AN51=1,IF(AN50=2,IF(AE51&lt;9,(H51-H50-AE51-AE50)/断面设计!$I$8,(H51-H50-AE51-AE50)/断面设计!$I$8),(H51-H50-AE51)/O50),(H51-H50)/O51))</f>
        <v>3.1812306443153984E-2</v>
      </c>
      <c r="Y51" s="222">
        <f t="shared" si="76"/>
        <v>0</v>
      </c>
      <c r="Z51" s="221">
        <f t="shared" si="56"/>
        <v>0</v>
      </c>
      <c r="AA51" s="224"/>
      <c r="AB51" s="225">
        <f t="shared" ref="AB51:AB52" si="83">Q51</f>
        <v>0.61035771418674445</v>
      </c>
      <c r="AC51" s="225">
        <f t="shared" ref="AC51:AC52" si="84">IF(AE51&lt;1,Y51+AA51+V51+X51,Y51+AA51+V51+X51+W51)</f>
        <v>3.1812306443153984E-2</v>
      </c>
      <c r="AD51" s="225">
        <f t="shared" ref="AD51:AD52" si="85">AD50-AC51</f>
        <v>2422.6192118324507</v>
      </c>
      <c r="AE51" s="223">
        <f t="shared" ref="AE51:AE52" si="86">IF(AO51=0,0,IF(AO51=2,IF(AN51=1,20,IF(AN51=0,0,25)),IF(AN51=1,15,IF(AN51=0,0,IF(AO51=3,20,20)))))</f>
        <v>0</v>
      </c>
      <c r="AF51" s="225" t="str">
        <f t="shared" ref="AF51:AF52" si="87">IF(AE51=0," ",IF(AN51=1,AD51+W51,AD51))</f>
        <v xml:space="preserve"> </v>
      </c>
      <c r="AG51" s="225" t="str">
        <f>IF(AE51=0," ",AF51-断面设计!$B$8)</f>
        <v xml:space="preserve"> </v>
      </c>
      <c r="AH51" s="225" t="str">
        <f t="shared" ref="AH51:AH52" si="88">IF(J51&lt;0.01," ",AD51+V51+J51/2/O51+J51/2/1000*Z51)</f>
        <v xml:space="preserve"> </v>
      </c>
      <c r="AI51" s="225" t="str">
        <f t="shared" ref="AI51:AI52" si="89">IF(J51&lt;0.01," ",AH51-AB51)</f>
        <v xml:space="preserve"> </v>
      </c>
      <c r="AJ51" s="225" t="str">
        <f t="shared" ref="AJ51:AJ52" si="90">IF(J51&lt;0.01," ",AD51-J51/2/O51-J51/2/1000*Z51)</f>
        <v xml:space="preserve"> </v>
      </c>
      <c r="AK51" s="225" t="str">
        <f t="shared" ref="AK51:AK52" si="91">IF(J51&lt;0.01," ",AJ51-AB51)</f>
        <v xml:space="preserve"> </v>
      </c>
      <c r="AL51" s="225">
        <f t="shared" ref="AL51:AL52" si="92">AM51+AB51</f>
        <v>2422.6192118324507</v>
      </c>
      <c r="AM51" s="225">
        <f t="shared" ref="AM51:AM52" si="93">IF(AN51=2,IF(AE51=0,AD51-AB51,AD51+W51-AB51),AD51-AB51+V51/2)</f>
        <v>2422.008854118264</v>
      </c>
      <c r="AN51" s="226"/>
      <c r="AO51" s="226">
        <v>0</v>
      </c>
    </row>
    <row r="52" spans="1:43" s="20" customFormat="1" x14ac:dyDescent="0.2">
      <c r="A52" s="46"/>
      <c r="B52" s="43" t="str">
        <f>线路!B49</f>
        <v>IP40</v>
      </c>
      <c r="C52" s="44">
        <f>线路!E49</f>
        <v>454291.51079999999</v>
      </c>
      <c r="D52" s="44">
        <f>线路!F49</f>
        <v>3044823.2404999998</v>
      </c>
      <c r="E52" s="172">
        <f>线路!G49</f>
        <v>10</v>
      </c>
      <c r="F52" s="6">
        <f>线路!H49</f>
        <v>63.279000000000003</v>
      </c>
      <c r="G52" s="145">
        <f>线路!L49</f>
        <v>2896.3780145191913</v>
      </c>
      <c r="H52" s="145">
        <f>线路!M49</f>
        <v>2901.9001490060386</v>
      </c>
      <c r="I52" s="145">
        <f>线路!N49</f>
        <v>2907.4222834928864</v>
      </c>
      <c r="J52" s="58">
        <f t="shared" si="77"/>
        <v>11.044268973695125</v>
      </c>
      <c r="K52" s="58">
        <f t="shared" si="78"/>
        <v>99.252418377519007</v>
      </c>
      <c r="L52" s="58">
        <f>IF(AO52=0,断面设计!$C$8,IF(AO52=1,断面设计!$C$33,IF(AO52=2,断面设计!$C$44*2,0)))</f>
        <v>1.5524731620415944</v>
      </c>
      <c r="M52" s="7">
        <f>IF(AO52=0,断面设计!$D$8,0)</f>
        <v>0.24932800284318068</v>
      </c>
      <c r="N52" s="59">
        <f t="shared" si="79"/>
        <v>1.4999999999999999E-2</v>
      </c>
      <c r="O52" s="60">
        <f>IF(AO52=0,断面设计!$I$8,IF(AO52=1,断面设计!$N$33,IF(AO52=2,断面设计!$G$44,断面设计!$I$8)))</f>
        <v>3000</v>
      </c>
      <c r="P52" s="61">
        <f>IF(AO52=0,断面设计!$L$8,IF(AO52=1,断面设计!$S$33,IF(AO52=2,断面设计!$N$44,0)))</f>
        <v>0.41</v>
      </c>
      <c r="Q52" s="59">
        <f>IF(AO52=0,断面设计!$B$8,IF(AO52=1,断面设计!$B$33,IF(AO52=2,断面设计!$B$44,0)))</f>
        <v>0.61035771418674445</v>
      </c>
      <c r="R52" s="58">
        <f>IF(AO52=0,断面设计!$E$8,IF(AO52=1,断面设计!$J$33,IF(AO52=2,断面设计!$D$44,0)))</f>
        <v>0.70474827215761959</v>
      </c>
      <c r="S52" s="58">
        <f>IF(AO52=0,断面设计!$F$8,IF(AO52=1,断面设计!$K$33,IF(AO52=2,断面设计!$D$44/断面设计!$E$44,0)))</f>
        <v>2.130349326053774</v>
      </c>
      <c r="T52" s="58">
        <f t="shared" si="80"/>
        <v>0.33081347905654718</v>
      </c>
      <c r="U52" s="58">
        <f t="shared" si="81"/>
        <v>0.58176801022124669</v>
      </c>
      <c r="V52" s="59">
        <f t="shared" si="82"/>
        <v>1.216875557588941E-3</v>
      </c>
      <c r="W52" s="59"/>
      <c r="X52" s="59">
        <f>IF(AN52=0,IF(AN51=2,(H52-H51-AE51)/O52,(H52-H51)/O52),IF(AN52=1,IF(AN51=2,IF(AE52&lt;9,(H52-H51-AE52-AE51)/断面设计!$I$8,(H52-H51-AE52-AE51)/断面设计!$I$8),(H52-H51-AE52)/O51),(H52-H51)/O52))</f>
        <v>3.3084139459173004E-2</v>
      </c>
      <c r="Y52" s="59">
        <f t="shared" si="76"/>
        <v>0</v>
      </c>
      <c r="Z52" s="58">
        <f t="shared" si="56"/>
        <v>0</v>
      </c>
      <c r="AA52" s="69"/>
      <c r="AB52" s="56">
        <f t="shared" si="83"/>
        <v>0.61035771418674445</v>
      </c>
      <c r="AC52" s="56">
        <f t="shared" si="84"/>
        <v>3.4301015016761943E-2</v>
      </c>
      <c r="AD52" s="56">
        <f t="shared" si="85"/>
        <v>2422.5849108174339</v>
      </c>
      <c r="AE52" s="60">
        <f t="shared" si="86"/>
        <v>0</v>
      </c>
      <c r="AF52" s="56" t="str">
        <f t="shared" si="87"/>
        <v xml:space="preserve"> </v>
      </c>
      <c r="AG52" s="56" t="str">
        <f>IF(AE52=0," ",AF52-断面设计!$B$8)</f>
        <v xml:space="preserve"> </v>
      </c>
      <c r="AH52" s="56">
        <f t="shared" si="88"/>
        <v>2422.5879684044871</v>
      </c>
      <c r="AI52" s="56">
        <f t="shared" si="89"/>
        <v>2421.9776106903005</v>
      </c>
      <c r="AJ52" s="56">
        <f t="shared" si="90"/>
        <v>2422.5830701059381</v>
      </c>
      <c r="AK52" s="56">
        <f t="shared" si="91"/>
        <v>2421.9727123917514</v>
      </c>
      <c r="AL52" s="56">
        <f t="shared" si="92"/>
        <v>2422.5855192552126</v>
      </c>
      <c r="AM52" s="56">
        <f t="shared" si="93"/>
        <v>2421.975161541026</v>
      </c>
      <c r="AN52" s="45"/>
      <c r="AO52" s="45">
        <v>0</v>
      </c>
      <c r="AP52" s="24">
        <v>2422.54</v>
      </c>
      <c r="AQ52" s="77"/>
    </row>
    <row r="53" spans="1:43" s="158" customFormat="1" x14ac:dyDescent="0.2">
      <c r="A53" s="163"/>
      <c r="B53" s="47" t="str">
        <f>线路!B50</f>
        <v>3#倒进</v>
      </c>
      <c r="C53" s="48">
        <f>线路!E50</f>
        <v>454326.95400000003</v>
      </c>
      <c r="D53" s="48">
        <f>线路!F50</f>
        <v>3044795.5137</v>
      </c>
      <c r="E53" s="173">
        <f>线路!G50</f>
        <v>10</v>
      </c>
      <c r="F53" s="9">
        <f>线路!H50</f>
        <v>0</v>
      </c>
      <c r="G53" s="146">
        <f>线路!L50</f>
        <v>2946.260689177906</v>
      </c>
      <c r="H53" s="146">
        <f>线路!M50</f>
        <v>2946.260689177906</v>
      </c>
      <c r="I53" s="146">
        <f>线路!N50</f>
        <v>2946.260689177906</v>
      </c>
      <c r="J53" s="62">
        <f t="shared" ref="J53:J90" si="94">I53-G53</f>
        <v>0</v>
      </c>
      <c r="K53" s="62">
        <f t="shared" ref="K53:K87" si="95">H53-H52</f>
        <v>44.360540171867342</v>
      </c>
      <c r="L53" s="58">
        <f>IF(AO53=0,断面设计!$C$8,IF(AO53=1,断面设计!$C$33,IF(AO53=2,断面设计!$C$44*2,0)))</f>
        <v>1.5524731620415944</v>
      </c>
      <c r="M53" s="7">
        <f>IF(AO53=0,断面设计!$D$8,0)</f>
        <v>0.24932800284318068</v>
      </c>
      <c r="N53" s="63">
        <f t="shared" si="75"/>
        <v>1.4999999999999999E-2</v>
      </c>
      <c r="O53" s="60">
        <f>IF(AO53=0,断面设计!$I$8,IF(AO53=1,断面设计!$N$33,IF(AO53=2,断面设计!$G$44,断面设计!$I$8)))</f>
        <v>3000</v>
      </c>
      <c r="P53" s="61">
        <f>IF(AO53=0,断面设计!$L$8,IF(AO53=1,断面设计!$S$33,IF(AO53=2,断面设计!$N$44,0)))</f>
        <v>0.41</v>
      </c>
      <c r="Q53" s="59">
        <f>IF(AO53=0,断面设计!$B$8,IF(AO53=1,断面设计!$B$33,IF(AO53=2,断面设计!$B$44,0)))</f>
        <v>0.61035771418674445</v>
      </c>
      <c r="R53" s="58">
        <f>IF(AO53=0,断面设计!$E$8,IF(AO53=1,断面设计!$J$33,IF(AO53=2,断面设计!$D$44,0)))</f>
        <v>0.70474827215761959</v>
      </c>
      <c r="S53" s="58">
        <f>IF(AO53=0,断面设计!$F$8,IF(AO53=1,断面设计!$K$33,IF(AO53=2,断面设计!$D$44/断面设计!$E$44,0)))</f>
        <v>2.130349326053774</v>
      </c>
      <c r="T53" s="62">
        <f t="shared" si="54"/>
        <v>0.33081347905654718</v>
      </c>
      <c r="U53" s="62">
        <f t="shared" si="55"/>
        <v>0.58176801022124669</v>
      </c>
      <c r="V53" s="63">
        <f t="shared" ref="V53" si="96">(I53-G53)*N53^2/T53^(4/3)*U53^2*3/4*((L53+Q53*M53*2*1.3)/E53)^0.5</f>
        <v>0</v>
      </c>
      <c r="W53" s="63"/>
      <c r="X53" s="63">
        <f>IF(AN53=0,IF(AN52=2,(H53-H52-AE52)/O53,(H53-H52)/O53),IF(AN53=1,IF(AN52=2,IF(AE53&lt;9,(H53-H52-AE53-AE52)/断面设计!$I$8,(H53-H52-AE53-AE52)/断面设计!$I$8),(H53-H52-AE53)/O52),(H53-H52)/O53))</f>
        <v>1.478684672395578E-2</v>
      </c>
      <c r="Y53" s="63">
        <v>0</v>
      </c>
      <c r="Z53" s="62">
        <f t="shared" si="56"/>
        <v>0</v>
      </c>
      <c r="AA53" s="70"/>
      <c r="AB53" s="71">
        <f t="shared" si="33"/>
        <v>0.61035771418674445</v>
      </c>
      <c r="AC53" s="71">
        <f t="shared" si="5"/>
        <v>1.478684672395578E-2</v>
      </c>
      <c r="AD53" s="71">
        <f t="shared" si="34"/>
        <v>2422.57012397071</v>
      </c>
      <c r="AE53" s="64">
        <f t="shared" si="35"/>
        <v>0</v>
      </c>
      <c r="AF53" s="71" t="str">
        <f t="shared" si="36"/>
        <v xml:space="preserve"> </v>
      </c>
      <c r="AG53" s="71" t="str">
        <f>IF(AE53=0," ",AF53-断面设计!$B$8)</f>
        <v xml:space="preserve"> </v>
      </c>
      <c r="AH53" s="71" t="str">
        <f t="shared" si="24"/>
        <v xml:space="preserve"> </v>
      </c>
      <c r="AI53" s="71" t="str">
        <f t="shared" si="25"/>
        <v xml:space="preserve"> </v>
      </c>
      <c r="AJ53" s="71" t="str">
        <f t="shared" si="26"/>
        <v xml:space="preserve"> </v>
      </c>
      <c r="AK53" s="71" t="str">
        <f t="shared" si="27"/>
        <v xml:space="preserve"> </v>
      </c>
      <c r="AL53" s="71">
        <f t="shared" si="28"/>
        <v>2422.57012397071</v>
      </c>
      <c r="AM53" s="71">
        <f t="shared" si="29"/>
        <v>2421.9597662565234</v>
      </c>
      <c r="AN53" s="74">
        <v>1</v>
      </c>
      <c r="AO53" s="74">
        <v>0</v>
      </c>
      <c r="AP53" s="160"/>
    </row>
    <row r="54" spans="1:43" s="158" customFormat="1" x14ac:dyDescent="0.2">
      <c r="A54" s="163"/>
      <c r="B54" s="47" t="str">
        <f>线路!B51</f>
        <v>IP41</v>
      </c>
      <c r="C54" s="48">
        <f>线路!E51</f>
        <v>454484.0477</v>
      </c>
      <c r="D54" s="48">
        <f>线路!F51</f>
        <v>3044672.6213000002</v>
      </c>
      <c r="E54" s="173">
        <f>线路!G51</f>
        <v>2.4</v>
      </c>
      <c r="F54" s="9">
        <f>线路!H51</f>
        <v>71.498999999999995</v>
      </c>
      <c r="G54" s="146">
        <f>线路!L51</f>
        <v>3143.9846479590092</v>
      </c>
      <c r="H54" s="146">
        <f>线路!M51</f>
        <v>3145.4821195132695</v>
      </c>
      <c r="I54" s="146">
        <f>线路!N51</f>
        <v>3146.9795910675293</v>
      </c>
      <c r="J54" s="62">
        <f t="shared" si="94"/>
        <v>2.9949431085201468</v>
      </c>
      <c r="K54" s="62">
        <f t="shared" si="95"/>
        <v>199.22143033536349</v>
      </c>
      <c r="L54" s="58">
        <f>IF(AO54=0,断面设计!$C$8,IF(AO54=1,断面设计!$C$33,IF(AO54=2,断面设计!$C$44*2,0)))</f>
        <v>1.5524731620415944</v>
      </c>
      <c r="M54" s="7">
        <f>IF(AO54=0,断面设计!$D$8,0)</f>
        <v>0.24932800284318068</v>
      </c>
      <c r="N54" s="63">
        <f t="shared" si="75"/>
        <v>1.4999999999999999E-2</v>
      </c>
      <c r="O54" s="60">
        <f>IF(AO54=0,断面设计!$I$8,IF(AO54=1,断面设计!$N$33,IF(AO54=2,断面设计!$G$44,断面设计!$I$8)))</f>
        <v>3000</v>
      </c>
      <c r="P54" s="61">
        <f>IF(AO54=0,断面设计!$L$8,IF(AO54=1,断面设计!$S$33,IF(AO54=2,断面设计!$N$44,0)))</f>
        <v>0.41</v>
      </c>
      <c r="Q54" s="59">
        <f>IF(AO54=0,断面设计!$B$8,IF(AO54=1,断面设计!$B$33,IF(AO54=2,断面设计!$B$44,0)))</f>
        <v>0.61035771418674445</v>
      </c>
      <c r="R54" s="58">
        <f>IF(AO54=0,断面设计!$E$8,IF(AO54=1,断面设计!$J$33,IF(AO54=2,断面设计!$D$44,0)))</f>
        <v>0.70474827215761959</v>
      </c>
      <c r="S54" s="58">
        <f>IF(AO54=0,断面设计!$F$8,IF(AO54=1,断面设计!$K$33,IF(AO54=2,断面设计!$D$44/断面设计!$E$44,0)))</f>
        <v>2.130349326053774</v>
      </c>
      <c r="T54" s="62">
        <f t="shared" si="54"/>
        <v>0.33081347905654718</v>
      </c>
      <c r="U54" s="62">
        <f t="shared" si="55"/>
        <v>0.58176801022124669</v>
      </c>
      <c r="V54" s="63"/>
      <c r="W54" s="63"/>
      <c r="X54" s="63"/>
      <c r="Y54" s="63"/>
      <c r="Z54" s="62"/>
      <c r="AA54" s="70"/>
      <c r="AB54" s="71"/>
      <c r="AC54" s="71"/>
      <c r="AD54" s="71"/>
      <c r="AE54" s="64"/>
      <c r="AF54" s="71"/>
      <c r="AG54" s="71"/>
      <c r="AH54" s="71"/>
      <c r="AI54" s="71"/>
      <c r="AJ54" s="71"/>
      <c r="AK54" s="71"/>
      <c r="AL54" s="71"/>
      <c r="AM54" s="71"/>
      <c r="AN54" s="74"/>
      <c r="AO54" s="74">
        <v>0</v>
      </c>
      <c r="AP54" s="160"/>
    </row>
    <row r="55" spans="1:43" s="158" customFormat="1" x14ac:dyDescent="0.2">
      <c r="A55" s="163"/>
      <c r="B55" s="47" t="str">
        <f>线路!B52</f>
        <v>3#倒出</v>
      </c>
      <c r="C55" s="48">
        <f>线路!E52</f>
        <v>454474.95329999999</v>
      </c>
      <c r="D55" s="48">
        <f>线路!F52</f>
        <v>3044646.9881000002</v>
      </c>
      <c r="E55" s="173">
        <f>线路!G52</f>
        <v>10</v>
      </c>
      <c r="F55" s="9">
        <f>线路!H52</f>
        <v>0</v>
      </c>
      <c r="G55" s="146">
        <f>线路!L52</f>
        <v>3172.4505658999014</v>
      </c>
      <c r="H55" s="146">
        <f>线路!M52</f>
        <v>3172.4505658999014</v>
      </c>
      <c r="I55" s="146">
        <f>线路!N52</f>
        <v>3172.4505658999014</v>
      </c>
      <c r="J55" s="62">
        <f t="shared" si="94"/>
        <v>0</v>
      </c>
      <c r="K55" s="62">
        <f t="shared" si="95"/>
        <v>26.968446386631967</v>
      </c>
      <c r="L55" s="58">
        <f>IF(AO55=0,断面设计!$C$8,IF(AO55=1,断面设计!$C$33,IF(AO55=2,断面设计!$C$44*2,0)))</f>
        <v>1.5524731620415944</v>
      </c>
      <c r="M55" s="7">
        <f>IF(AO55=0,断面设计!$D$8,0)</f>
        <v>0.24932800284318068</v>
      </c>
      <c r="N55" s="63">
        <f t="shared" si="75"/>
        <v>1.4999999999999999E-2</v>
      </c>
      <c r="O55" s="60">
        <f>IF(AO55=0,断面设计!$I$8,IF(AO55=1,断面设计!$N$33,IF(AO55=2,断面设计!$G$44,断面设计!$I$8)))</f>
        <v>3000</v>
      </c>
      <c r="P55" s="61">
        <f>IF(AO55=0,断面设计!$L$8,IF(AO55=1,断面设计!$S$33,IF(AO55=2,断面设计!$N$44,0)))</f>
        <v>0.41</v>
      </c>
      <c r="Q55" s="59">
        <f>IF(AO55=0,断面设计!$B$8,IF(AO55=1,断面设计!$B$33,IF(AO55=2,断面设计!$B$44,0)))</f>
        <v>0.61035771418674445</v>
      </c>
      <c r="R55" s="58">
        <f>IF(AO55=0,断面设计!$E$8,IF(AO55=1,断面设计!$J$33,IF(AO55=2,断面设计!$D$44,0)))</f>
        <v>0.70474827215761959</v>
      </c>
      <c r="S55" s="58">
        <f>IF(AO55=0,断面设计!$F$8,IF(AO55=1,断面设计!$K$33,IF(AO55=2,断面设计!$D$44/断面设计!$E$44,0)))</f>
        <v>2.130349326053774</v>
      </c>
      <c r="T55" s="62">
        <f t="shared" si="54"/>
        <v>0.33081347905654718</v>
      </c>
      <c r="U55" s="62">
        <f t="shared" si="55"/>
        <v>0.58176801022124669</v>
      </c>
      <c r="V55" s="63"/>
      <c r="W55" s="63"/>
      <c r="X55" s="63"/>
      <c r="Y55" s="63">
        <v>0.56000000000000005</v>
      </c>
      <c r="Z55" s="62">
        <f t="shared" si="56"/>
        <v>0</v>
      </c>
      <c r="AA55" s="70"/>
      <c r="AB55" s="71">
        <f t="shared" si="33"/>
        <v>0.61035771418674445</v>
      </c>
      <c r="AC55" s="71">
        <f t="shared" si="5"/>
        <v>0.56000000000000005</v>
      </c>
      <c r="AD55" s="71">
        <f>AD53-AC55</f>
        <v>2422.0101239707101</v>
      </c>
      <c r="AE55" s="64">
        <f t="shared" si="35"/>
        <v>0</v>
      </c>
      <c r="AF55" s="71" t="str">
        <f t="shared" si="36"/>
        <v xml:space="preserve"> </v>
      </c>
      <c r="AG55" s="71" t="str">
        <f>IF(AE55=0," ",AF55-断面设计!$B$8)</f>
        <v xml:space="preserve"> </v>
      </c>
      <c r="AH55" s="71" t="str">
        <f t="shared" si="24"/>
        <v xml:space="preserve"> </v>
      </c>
      <c r="AI55" s="71" t="str">
        <f t="shared" si="25"/>
        <v xml:space="preserve"> </v>
      </c>
      <c r="AJ55" s="71" t="str">
        <f t="shared" si="26"/>
        <v xml:space="preserve"> </v>
      </c>
      <c r="AK55" s="71" t="str">
        <f t="shared" si="27"/>
        <v xml:space="preserve"> </v>
      </c>
      <c r="AL55" s="71">
        <f t="shared" si="28"/>
        <v>2422.0101239707101</v>
      </c>
      <c r="AM55" s="71">
        <f t="shared" si="29"/>
        <v>2421.3997662565234</v>
      </c>
      <c r="AN55" s="74">
        <v>2</v>
      </c>
      <c r="AO55" s="74">
        <v>0</v>
      </c>
      <c r="AP55" s="160">
        <v>2422.04</v>
      </c>
    </row>
    <row r="56" spans="1:43" s="20" customFormat="1" x14ac:dyDescent="0.2">
      <c r="A56" s="21"/>
      <c r="B56" s="43" t="str">
        <f>线路!B53</f>
        <v>IP42</v>
      </c>
      <c r="C56" s="44">
        <f>线路!E53</f>
        <v>454460.71620000002</v>
      </c>
      <c r="D56" s="44">
        <f>线路!F53</f>
        <v>3044606.8602</v>
      </c>
      <c r="E56" s="172">
        <f>线路!G53</f>
        <v>10</v>
      </c>
      <c r="F56" s="6">
        <f>线路!H53</f>
        <v>41.322000000000003</v>
      </c>
      <c r="G56" s="145">
        <f>线路!L53</f>
        <v>3211.2583302410007</v>
      </c>
      <c r="H56" s="145">
        <f>线路!M53</f>
        <v>3214.8643550085462</v>
      </c>
      <c r="I56" s="145">
        <f>线路!N53</f>
        <v>3218.4703797760917</v>
      </c>
      <c r="J56" s="58">
        <f t="shared" si="94"/>
        <v>7.212049535090955</v>
      </c>
      <c r="K56" s="58">
        <f t="shared" si="95"/>
        <v>42.413789108644778</v>
      </c>
      <c r="L56" s="58">
        <f>IF(AO56=0,断面设计!$C$8,IF(AO56=1,断面设计!$C$33,IF(AO56=2,断面设计!$C$44*2,0)))</f>
        <v>1.5524731620415944</v>
      </c>
      <c r="M56" s="7">
        <f>IF(AO56=0,断面设计!$D$8,0)</f>
        <v>0.24932800284318068</v>
      </c>
      <c r="N56" s="59">
        <f t="shared" si="75"/>
        <v>1.4999999999999999E-2</v>
      </c>
      <c r="O56" s="60">
        <f>IF(AO56=0,断面设计!$I$8,IF(AO56=1,断面设计!$N$33,IF(AO56=2,断面设计!$G$44,断面设计!$I$8)))</f>
        <v>3000</v>
      </c>
      <c r="P56" s="61">
        <f>IF(AO56=0,断面设计!$L$8,IF(AO56=1,断面设计!$S$33,IF(AO56=2,断面设计!$N$44,0)))</f>
        <v>0.41</v>
      </c>
      <c r="Q56" s="59">
        <f>IF(AO56=0,断面设计!$B$8,IF(AO56=1,断面设计!$B$33,IF(AO56=2,断面设计!$B$44,0)))</f>
        <v>0.61035771418674445</v>
      </c>
      <c r="R56" s="58">
        <f>IF(AO56=0,断面设计!$E$8,IF(AO56=1,断面设计!$J$33,IF(AO56=2,断面设计!$D$44,0)))</f>
        <v>0.70474827215761959</v>
      </c>
      <c r="S56" s="58">
        <f>IF(AO56=0,断面设计!$F$8,IF(AO56=1,断面设计!$K$33,IF(AO56=2,断面设计!$D$44/断面设计!$E$44,0)))</f>
        <v>2.130349326053774</v>
      </c>
      <c r="T56" s="58">
        <f t="shared" si="54"/>
        <v>0.33081347905654718</v>
      </c>
      <c r="U56" s="58">
        <f t="shared" si="55"/>
        <v>0.58176801022124669</v>
      </c>
      <c r="V56" s="59">
        <f t="shared" si="57"/>
        <v>7.9463537335749913E-4</v>
      </c>
      <c r="W56" s="59"/>
      <c r="X56" s="59">
        <f>IF(AN56=0,IF(AN55=2,(H56-H55-AE55)/O56,(H56-H55)/O56),IF(AN56=1,IF(AN55=2,IF(AE56&lt;9,(H56-H55-AE56-AE55)/断面设计!$I$8,(H56-H55-AE56-AE55)/断面设计!$I$8),(H56-H55-AE56)/O55),(H56-H55)/O56))</f>
        <v>1.4137929702881592E-2</v>
      </c>
      <c r="Y56" s="59">
        <f t="shared" ref="Y56:Y59" si="97">$Y$5</f>
        <v>0</v>
      </c>
      <c r="Z56" s="58">
        <f t="shared" si="56"/>
        <v>0</v>
      </c>
      <c r="AA56" s="69"/>
      <c r="AB56" s="56">
        <f t="shared" si="33"/>
        <v>0.61035771418674445</v>
      </c>
      <c r="AC56" s="56">
        <f t="shared" si="5"/>
        <v>1.4932565076239092E-2</v>
      </c>
      <c r="AD56" s="56">
        <f t="shared" si="34"/>
        <v>2421.9951914056337</v>
      </c>
      <c r="AE56" s="60">
        <f t="shared" si="35"/>
        <v>0</v>
      </c>
      <c r="AF56" s="56" t="str">
        <f t="shared" si="36"/>
        <v xml:space="preserve"> </v>
      </c>
      <c r="AG56" s="56" t="str">
        <f>IF(AE56=0," ",AF56-断面设计!$B$8)</f>
        <v xml:space="preserve"> </v>
      </c>
      <c r="AH56" s="56">
        <f t="shared" si="24"/>
        <v>2421.9971880492631</v>
      </c>
      <c r="AI56" s="56">
        <f t="shared" si="25"/>
        <v>2421.3868303350764</v>
      </c>
      <c r="AJ56" s="56">
        <f t="shared" si="26"/>
        <v>2421.9939893973778</v>
      </c>
      <c r="AK56" s="56">
        <f t="shared" si="27"/>
        <v>2421.3836316831912</v>
      </c>
      <c r="AL56" s="56">
        <f t="shared" si="28"/>
        <v>2421.9955887233205</v>
      </c>
      <c r="AM56" s="56">
        <f t="shared" si="29"/>
        <v>2421.3852310091338</v>
      </c>
      <c r="AN56" s="45"/>
      <c r="AO56" s="45">
        <v>0</v>
      </c>
      <c r="AP56" s="24"/>
    </row>
    <row r="57" spans="1:43" s="20" customFormat="1" x14ac:dyDescent="0.2">
      <c r="A57" s="21"/>
      <c r="B57" s="43" t="str">
        <f>线路!B54</f>
        <v>IP43</v>
      </c>
      <c r="C57" s="44">
        <f>线路!E54</f>
        <v>454492.91210000002</v>
      </c>
      <c r="D57" s="44">
        <f>线路!F54</f>
        <v>3044526.3133</v>
      </c>
      <c r="E57" s="172">
        <f>线路!G54</f>
        <v>10</v>
      </c>
      <c r="F57" s="6">
        <f>线路!H54</f>
        <v>52.103000000000002</v>
      </c>
      <c r="G57" s="145">
        <f>线路!L54</f>
        <v>3296.5541927805853</v>
      </c>
      <c r="H57" s="145">
        <f>线路!M54</f>
        <v>3301.1010372814185</v>
      </c>
      <c r="I57" s="145">
        <f>线路!N54</f>
        <v>3305.6478817822513</v>
      </c>
      <c r="J57" s="58">
        <f t="shared" ref="J57:J59" si="98">I57-G57</f>
        <v>9.0936890016660072</v>
      </c>
      <c r="K57" s="58">
        <f t="shared" ref="K57:K59" si="99">H57-H56</f>
        <v>86.236682272872258</v>
      </c>
      <c r="L57" s="58">
        <f>IF(AO57=0,断面设计!$C$8,IF(AO57=1,断面设计!$C$33,IF(AO57=2,断面设计!$C$44*2,0)))</f>
        <v>1.5524731620415944</v>
      </c>
      <c r="M57" s="7">
        <f>IF(AO57=0,断面设计!$D$8,0)</f>
        <v>0.24932800284318068</v>
      </c>
      <c r="N57" s="59">
        <f t="shared" ref="N57:N59" si="100">IF(AO57=0,0.015,0.014)</f>
        <v>1.4999999999999999E-2</v>
      </c>
      <c r="O57" s="60">
        <f>IF(AO57=0,断面设计!$I$8,IF(AO57=1,断面设计!$N$33,IF(AO57=2,断面设计!$G$44,断面设计!$I$8)))</f>
        <v>3000</v>
      </c>
      <c r="P57" s="61">
        <f>IF(AO57=0,断面设计!$L$8,IF(AO57=1,断面设计!$S$33,IF(AO57=2,断面设计!$N$44,0)))</f>
        <v>0.41</v>
      </c>
      <c r="Q57" s="59">
        <f>IF(AO57=0,断面设计!$B$8,IF(AO57=1,断面设计!$B$33,IF(AO57=2,断面设计!$B$44,0)))</f>
        <v>0.61035771418674445</v>
      </c>
      <c r="R57" s="58">
        <f>IF(AO57=0,断面设计!$E$8,IF(AO57=1,断面设计!$J$33,IF(AO57=2,断面设计!$D$44,0)))</f>
        <v>0.70474827215761959</v>
      </c>
      <c r="S57" s="58">
        <f>IF(AO57=0,断面设计!$F$8,IF(AO57=1,断面设计!$K$33,IF(AO57=2,断面设计!$D$44/断面设计!$E$44,0)))</f>
        <v>2.130349326053774</v>
      </c>
      <c r="T57" s="58">
        <f t="shared" ref="T57:T59" si="101">R57/S57</f>
        <v>0.33081347905654718</v>
      </c>
      <c r="U57" s="58">
        <f t="shared" ref="U57:U59" si="102">P57/R57</f>
        <v>0.58176801022124669</v>
      </c>
      <c r="V57" s="59">
        <f t="shared" ref="V57:V59" si="103">(I57-G57)*N57^2/T57^(4/3)*U57^2*3/4*((L57+Q57*M57*2*1.3)/E57)^0.5</f>
        <v>1.0019574768415284E-3</v>
      </c>
      <c r="W57" s="59"/>
      <c r="X57" s="59">
        <f>IF(AN57=0,IF(AN56=2,(H57-H56-AE56)/O57,(H57-H56)/O57),IF(AN57=1,IF(AN56=2,IF(AE57&lt;9,(H57-H56-AE57-AE56)/断面设计!$I$8,(H57-H56-AE57-AE56)/断面设计!$I$8),(H57-H56-AE57)/O56),(H57-H56)/O57))</f>
        <v>2.8745560757624085E-2</v>
      </c>
      <c r="Y57" s="59">
        <f t="shared" si="97"/>
        <v>0</v>
      </c>
      <c r="Z57" s="58">
        <f t="shared" si="56"/>
        <v>0</v>
      </c>
      <c r="AA57" s="69"/>
      <c r="AB57" s="56">
        <f t="shared" ref="AB57:AB59" si="104">Q57</f>
        <v>0.61035771418674445</v>
      </c>
      <c r="AC57" s="56">
        <f t="shared" ref="AC57:AC59" si="105">IF(AE57&lt;1,Y57+AA57+V57+X57,Y57+AA57+V57+X57+W57)</f>
        <v>2.9747518234465614E-2</v>
      </c>
      <c r="AD57" s="56">
        <f t="shared" ref="AD57:AD59" si="106">AD56-AC57</f>
        <v>2421.965443887399</v>
      </c>
      <c r="AE57" s="60">
        <f t="shared" ref="AE57:AE59" si="107">IF(AO57=0,0,IF(AO57=2,IF(AN57=1,20,IF(AN57=0,0,25)),IF(AN57=1,15,IF(AN57=0,0,IF(AO57=3,20,20)))))</f>
        <v>0</v>
      </c>
      <c r="AF57" s="56" t="str">
        <f t="shared" ref="AF57:AF59" si="108">IF(AE57=0," ",IF(AN57=1,AD57+W57,AD57))</f>
        <v xml:space="preserve"> </v>
      </c>
      <c r="AG57" s="56" t="str">
        <f>IF(AE57=0," ",AF57-断面设计!$B$8)</f>
        <v xml:space="preserve"> </v>
      </c>
      <c r="AH57" s="56">
        <f t="shared" ref="AH57:AH59" si="109">IF(J57&lt;0.01," ",AD57+V57+J57/2/O57+J57/2/1000*Z57)</f>
        <v>2421.9679614597098</v>
      </c>
      <c r="AI57" s="56">
        <f t="shared" ref="AI57:AI59" si="110">IF(J57&lt;0.01," ",AH57-AB57)</f>
        <v>2421.3576037455232</v>
      </c>
      <c r="AJ57" s="56">
        <f t="shared" ref="AJ57:AJ59" si="111">IF(J57&lt;0.01," ",AD57-J57/2/O57-J57/2/1000*Z57)</f>
        <v>2421.9639282725652</v>
      </c>
      <c r="AK57" s="56">
        <f t="shared" ref="AK57:AK59" si="112">IF(J57&lt;0.01," ",AJ57-AB57)</f>
        <v>2421.3535705583786</v>
      </c>
      <c r="AL57" s="56">
        <f t="shared" ref="AL57:AL59" si="113">AM57+AB57</f>
        <v>2421.9659448661373</v>
      </c>
      <c r="AM57" s="56">
        <f t="shared" ref="AM57:AM59" si="114">IF(AN57=2,IF(AE57=0,AD57-AB57,AD57+W57-AB57),AD57-AB57+V57/2)</f>
        <v>2421.3555871519507</v>
      </c>
      <c r="AN57" s="45"/>
      <c r="AO57" s="45">
        <v>0</v>
      </c>
      <c r="AP57" s="24"/>
    </row>
    <row r="58" spans="1:43" s="213" customFormat="1" x14ac:dyDescent="0.2">
      <c r="A58" s="217"/>
      <c r="B58" s="218" t="str">
        <f>线路!B55</f>
        <v>石河东节制闸</v>
      </c>
      <c r="C58" s="208">
        <f>线路!E55</f>
        <v>454507.21590000001</v>
      </c>
      <c r="D58" s="208">
        <f>线路!F55</f>
        <v>3044522.1820999999</v>
      </c>
      <c r="E58" s="219">
        <f>线路!G55</f>
        <v>10</v>
      </c>
      <c r="F58" s="207">
        <f>线路!H55</f>
        <v>0</v>
      </c>
      <c r="G58" s="220">
        <f>线路!L55</f>
        <v>3315.6478597426658</v>
      </c>
      <c r="H58" s="220">
        <f>线路!M55</f>
        <v>3315.6478597426658</v>
      </c>
      <c r="I58" s="220">
        <f>线路!N55</f>
        <v>3315.6478597426658</v>
      </c>
      <c r="J58" s="221">
        <f t="shared" si="98"/>
        <v>0</v>
      </c>
      <c r="K58" s="221">
        <f t="shared" si="99"/>
        <v>14.546822461247302</v>
      </c>
      <c r="L58" s="58">
        <f>IF(AO58=0,断面设计!$C$8,IF(AO58=1,断面设计!$C$33,IF(AO58=2,断面设计!$C$44*2,0)))</f>
        <v>1.5524731620415944</v>
      </c>
      <c r="M58" s="7">
        <f>IF(AO58=0,断面设计!$D$8,0)</f>
        <v>0.24932800284318068</v>
      </c>
      <c r="N58" s="222">
        <f t="shared" si="100"/>
        <v>1.4999999999999999E-2</v>
      </c>
      <c r="O58" s="60">
        <f>IF(AO58=0,断面设计!$I$8,IF(AO58=1,断面设计!$N$33,IF(AO58=2,断面设计!$G$44,断面设计!$I$8)))</f>
        <v>3000</v>
      </c>
      <c r="P58" s="61">
        <f>IF(AO58=0,断面设计!$L$8,IF(AO58=1,断面设计!$S$33,IF(AO58=2,断面设计!$N$44,0)))</f>
        <v>0.41</v>
      </c>
      <c r="Q58" s="59">
        <f>IF(AO58=0,断面设计!$B$8,IF(AO58=1,断面设计!$B$33,IF(AO58=2,断面设计!$B$44,0)))</f>
        <v>0.61035771418674445</v>
      </c>
      <c r="R58" s="58">
        <f>IF(AO58=0,断面设计!$E$8,IF(AO58=1,断面设计!$J$33,IF(AO58=2,断面设计!$D$44,0)))</f>
        <v>0.70474827215761959</v>
      </c>
      <c r="S58" s="58">
        <f>IF(AO58=0,断面设计!$F$8,IF(AO58=1,断面设计!$K$33,IF(AO58=2,断面设计!$D$44/断面设计!$E$44,0)))</f>
        <v>2.130349326053774</v>
      </c>
      <c r="T58" s="221">
        <f t="shared" si="101"/>
        <v>0.33081347905654718</v>
      </c>
      <c r="U58" s="221">
        <f t="shared" si="102"/>
        <v>0.58176801022124669</v>
      </c>
      <c r="V58" s="222">
        <f t="shared" si="103"/>
        <v>0</v>
      </c>
      <c r="W58" s="222"/>
      <c r="X58" s="222">
        <f>IF(AN58=0,IF(AN57=2,(H58-H57-AE57)/O58,(H58-H57)/O58),IF(AN58=1,IF(AN57=2,IF(AE58&lt;9,(H58-H57-AE58-AE57)/断面设计!$I$8,(H58-H57-AE58-AE57)/断面设计!$I$8),(H58-H57-AE58)/O57),(H58-H57)/O58))</f>
        <v>4.8489408204157678E-3</v>
      </c>
      <c r="Y58" s="222">
        <f t="shared" si="97"/>
        <v>0</v>
      </c>
      <c r="Z58" s="221">
        <f t="shared" si="56"/>
        <v>0</v>
      </c>
      <c r="AA58" s="224">
        <v>0.05</v>
      </c>
      <c r="AB58" s="225">
        <f t="shared" si="104"/>
        <v>0.61035771418674445</v>
      </c>
      <c r="AC58" s="225">
        <f t="shared" si="105"/>
        <v>5.4848940820415769E-2</v>
      </c>
      <c r="AD58" s="225">
        <f t="shared" si="106"/>
        <v>2421.9105949465788</v>
      </c>
      <c r="AE58" s="223">
        <f t="shared" si="107"/>
        <v>0</v>
      </c>
      <c r="AF58" s="225" t="str">
        <f t="shared" si="108"/>
        <v xml:space="preserve"> </v>
      </c>
      <c r="AG58" s="225" t="str">
        <f>IF(AE58=0," ",AF58-断面设计!$B$8)</f>
        <v xml:space="preserve"> </v>
      </c>
      <c r="AH58" s="225" t="str">
        <f t="shared" si="109"/>
        <v xml:space="preserve"> </v>
      </c>
      <c r="AI58" s="225" t="str">
        <f t="shared" si="110"/>
        <v xml:space="preserve"> </v>
      </c>
      <c r="AJ58" s="225" t="str">
        <f t="shared" si="111"/>
        <v xml:space="preserve"> </v>
      </c>
      <c r="AK58" s="225" t="str">
        <f t="shared" si="112"/>
        <v xml:space="preserve"> </v>
      </c>
      <c r="AL58" s="225">
        <f t="shared" si="113"/>
        <v>2421.9105949465788</v>
      </c>
      <c r="AM58" s="225">
        <f t="shared" si="114"/>
        <v>2421.3002372323922</v>
      </c>
      <c r="AN58" s="226"/>
      <c r="AO58" s="226">
        <v>0</v>
      </c>
      <c r="AP58" s="227"/>
    </row>
    <row r="59" spans="1:43" s="20" customFormat="1" x14ac:dyDescent="0.2">
      <c r="A59" s="21"/>
      <c r="B59" s="43" t="str">
        <f>线路!B56</f>
        <v>IP44</v>
      </c>
      <c r="C59" s="44">
        <f>线路!E56</f>
        <v>454727.15389999998</v>
      </c>
      <c r="D59" s="44">
        <f>线路!F56</f>
        <v>3044458.6598999999</v>
      </c>
      <c r="E59" s="172">
        <f>线路!G56</f>
        <v>10</v>
      </c>
      <c r="F59" s="6">
        <f>线路!H56</f>
        <v>56.485999999999997</v>
      </c>
      <c r="G59" s="145">
        <f>线路!L56</f>
        <v>3539.2037260377406</v>
      </c>
      <c r="H59" s="145">
        <f>线路!M56</f>
        <v>3544.1330594441483</v>
      </c>
      <c r="I59" s="145">
        <f>线路!N56</f>
        <v>3549.0623928505556</v>
      </c>
      <c r="J59" s="58">
        <f t="shared" si="98"/>
        <v>9.858666812815045</v>
      </c>
      <c r="K59" s="58">
        <f t="shared" si="99"/>
        <v>228.48519970148254</v>
      </c>
      <c r="L59" s="58">
        <f>IF(AO59=0,断面设计!$C$8,IF(AO59=1,断面设计!$C$33,IF(AO59=2,断面设计!$C$44*2,0)))</f>
        <v>1.5524731620415944</v>
      </c>
      <c r="M59" s="7">
        <f>IF(AO59=0,断面设计!$D$8,0)</f>
        <v>0.24932800284318068</v>
      </c>
      <c r="N59" s="59">
        <f t="shared" si="100"/>
        <v>1.4999999999999999E-2</v>
      </c>
      <c r="O59" s="60">
        <f>IF(AO59=0,断面设计!$I$8,IF(AO59=1,断面设计!$N$33,IF(AO59=2,断面设计!$G$44,断面设计!$I$8)))</f>
        <v>3000</v>
      </c>
      <c r="P59" s="61">
        <f>IF(AO59=0,断面设计!$L$8,IF(AO59=1,断面设计!$S$33,IF(AO59=2,断面设计!$N$44,0)))</f>
        <v>0.41</v>
      </c>
      <c r="Q59" s="59">
        <f>IF(AO59=0,断面设计!$B$8,IF(AO59=1,断面设计!$B$33,IF(AO59=2,断面设计!$B$44,0)))</f>
        <v>0.61035771418674445</v>
      </c>
      <c r="R59" s="58">
        <f>IF(AO59=0,断面设计!$E$8,IF(AO59=1,断面设计!$J$33,IF(AO59=2,断面设计!$D$44,0)))</f>
        <v>0.70474827215761959</v>
      </c>
      <c r="S59" s="58">
        <f>IF(AO59=0,断面设计!$F$8,IF(AO59=1,断面设计!$K$33,IF(AO59=2,断面设计!$D$44/断面设计!$E$44,0)))</f>
        <v>2.130349326053774</v>
      </c>
      <c r="T59" s="58">
        <f t="shared" si="101"/>
        <v>0.33081347905654718</v>
      </c>
      <c r="U59" s="58">
        <f t="shared" si="102"/>
        <v>0.58176801022124669</v>
      </c>
      <c r="V59" s="59">
        <f t="shared" si="103"/>
        <v>1.0862439789814436E-3</v>
      </c>
      <c r="W59" s="59"/>
      <c r="X59" s="59">
        <f>IF(AN59=0,IF(AN58=2,(H59-H58-AE58)/O59,(H59-H58)/O59),IF(AN59=1,IF(AN58=2,IF(AE59&lt;9,(H59-H58-AE59-AE58)/断面设计!$I$8,(H59-H58-AE59-AE58)/断面设计!$I$8),(H59-H58-AE59)/O58),(H59-H58)/O59))</f>
        <v>7.6161733233827508E-2</v>
      </c>
      <c r="Y59" s="59">
        <f t="shared" si="97"/>
        <v>0</v>
      </c>
      <c r="Z59" s="58">
        <f t="shared" si="56"/>
        <v>0</v>
      </c>
      <c r="AA59" s="69"/>
      <c r="AB59" s="56">
        <f t="shared" si="104"/>
        <v>0.61035771418674445</v>
      </c>
      <c r="AC59" s="56">
        <f t="shared" si="105"/>
        <v>7.7247977212808946E-2</v>
      </c>
      <c r="AD59" s="56">
        <f t="shared" si="106"/>
        <v>2421.8333469693662</v>
      </c>
      <c r="AE59" s="60">
        <f t="shared" si="107"/>
        <v>0</v>
      </c>
      <c r="AF59" s="56" t="str">
        <f t="shared" si="108"/>
        <v xml:space="preserve"> </v>
      </c>
      <c r="AG59" s="56" t="str">
        <f>IF(AE59=0," ",AF59-断面设计!$B$8)</f>
        <v xml:space="preserve"> </v>
      </c>
      <c r="AH59" s="56">
        <f t="shared" si="109"/>
        <v>2421.8360763244805</v>
      </c>
      <c r="AI59" s="56">
        <f t="shared" si="110"/>
        <v>2421.2257186102938</v>
      </c>
      <c r="AJ59" s="56">
        <f t="shared" si="111"/>
        <v>2421.8317038582309</v>
      </c>
      <c r="AK59" s="56">
        <f t="shared" si="112"/>
        <v>2421.2213461440442</v>
      </c>
      <c r="AL59" s="56">
        <f t="shared" si="113"/>
        <v>2421.8338900913554</v>
      </c>
      <c r="AM59" s="56">
        <f t="shared" si="114"/>
        <v>2421.2235323771688</v>
      </c>
      <c r="AN59" s="45"/>
      <c r="AO59" s="45">
        <v>0</v>
      </c>
      <c r="AP59" s="24">
        <v>2421.9</v>
      </c>
    </row>
    <row r="60" spans="1:43" s="158" customFormat="1" x14ac:dyDescent="0.2">
      <c r="A60" s="163"/>
      <c r="B60" s="47" t="str">
        <f>线路!B57</f>
        <v>4#倒进</v>
      </c>
      <c r="C60" s="48">
        <f>线路!E57</f>
        <v>454728.76</v>
      </c>
      <c r="D60" s="48">
        <f>线路!F57</f>
        <v>3044453.5362</v>
      </c>
      <c r="E60" s="173">
        <f>线路!G57</f>
        <v>10</v>
      </c>
      <c r="F60" s="6">
        <f>线路!H57</f>
        <v>0</v>
      </c>
      <c r="G60" s="146">
        <f>线路!L57</f>
        <v>3549.0603039879065</v>
      </c>
      <c r="H60" s="146">
        <f>线路!M57</f>
        <v>3549.0603039879065</v>
      </c>
      <c r="I60" s="146">
        <f>线路!N57</f>
        <v>3549.0603039879065</v>
      </c>
      <c r="J60" s="62">
        <f t="shared" si="94"/>
        <v>0</v>
      </c>
      <c r="K60" s="62">
        <f t="shared" si="95"/>
        <v>4.9272445437582064</v>
      </c>
      <c r="L60" s="58">
        <f>IF(AO60=0,断面设计!$C$8,IF(AO60=1,断面设计!$C$33,IF(AO60=2,断面设计!$C$44*2,0)))</f>
        <v>1.5524731620415944</v>
      </c>
      <c r="M60" s="7">
        <f>IF(AO60=0,断面设计!$D$8,0)</f>
        <v>0.24932800284318068</v>
      </c>
      <c r="N60" s="63">
        <f t="shared" si="75"/>
        <v>1.4999999999999999E-2</v>
      </c>
      <c r="O60" s="60">
        <f>IF(AO60=0,断面设计!$I$8,IF(AO60=1,断面设计!$N$33,IF(AO60=2,断面设计!$G$44,断面设计!$I$8)))</f>
        <v>3000</v>
      </c>
      <c r="P60" s="61">
        <f>IF(AO60=0,断面设计!$L$8,IF(AO60=1,断面设计!$S$33,IF(AO60=2,断面设计!$N$44,0)))</f>
        <v>0.41</v>
      </c>
      <c r="Q60" s="59">
        <f>IF(AO60=0,断面设计!$B$8,IF(AO60=1,断面设计!$B$33,IF(AO60=2,断面设计!$B$44,0)))</f>
        <v>0.61035771418674445</v>
      </c>
      <c r="R60" s="58">
        <f>IF(AO60=0,断面设计!$E$8,IF(AO60=1,断面设计!$J$33,IF(AO60=2,断面设计!$D$44,0)))</f>
        <v>0.70474827215761959</v>
      </c>
      <c r="S60" s="58">
        <f>IF(AO60=0,断面设计!$F$8,IF(AO60=1,断面设计!$K$33,IF(AO60=2,断面设计!$D$44/断面设计!$E$44,0)))</f>
        <v>2.130349326053774</v>
      </c>
      <c r="T60" s="62">
        <f t="shared" si="54"/>
        <v>0.33081347905654718</v>
      </c>
      <c r="U60" s="62">
        <f t="shared" si="55"/>
        <v>0.58176801022124669</v>
      </c>
      <c r="V60" s="63">
        <f t="shared" ref="V60" si="115">(I60-G60)*N60^2/T60^(4/3)*U60^2*3/4*((L60+Q60*M60*2*1.3)/E60)^0.5</f>
        <v>0</v>
      </c>
      <c r="W60" s="63"/>
      <c r="X60" s="63">
        <f>IF(AN60=0,IF(AN59=2,(H60-H59-AE59)/O60,(H60-H59)/O60),IF(AN60=1,IF(AN59=2,IF(AE60&lt;9,(H60-H59-AE60-AE59)/断面设计!$I$8,(H60-H59-AE60-AE59)/断面设计!$I$8),(H60-H59-AE60)/O59),(H60-H59)/O60))</f>
        <v>1.642414847919402E-3</v>
      </c>
      <c r="Y60" s="63">
        <v>0</v>
      </c>
      <c r="Z60" s="58">
        <f t="shared" si="56"/>
        <v>0</v>
      </c>
      <c r="AA60" s="70"/>
      <c r="AB60" s="71">
        <f t="shared" si="33"/>
        <v>0.61035771418674445</v>
      </c>
      <c r="AC60" s="71">
        <f t="shared" si="5"/>
        <v>1.642414847919402E-3</v>
      </c>
      <c r="AD60" s="71">
        <f t="shared" si="34"/>
        <v>2421.8317045545182</v>
      </c>
      <c r="AE60" s="64">
        <f t="shared" si="35"/>
        <v>0</v>
      </c>
      <c r="AF60" s="71" t="str">
        <f t="shared" si="36"/>
        <v xml:space="preserve"> </v>
      </c>
      <c r="AG60" s="71" t="str">
        <f>IF(AE60=0," ",AF60-断面设计!$B$8)</f>
        <v xml:space="preserve"> </v>
      </c>
      <c r="AH60" s="71" t="str">
        <f t="shared" si="24"/>
        <v xml:space="preserve"> </v>
      </c>
      <c r="AI60" s="71" t="str">
        <f t="shared" si="25"/>
        <v xml:space="preserve"> </v>
      </c>
      <c r="AJ60" s="71" t="str">
        <f t="shared" si="26"/>
        <v xml:space="preserve"> </v>
      </c>
      <c r="AK60" s="71" t="str">
        <f t="shared" si="27"/>
        <v xml:space="preserve"> </v>
      </c>
      <c r="AL60" s="71">
        <f t="shared" si="28"/>
        <v>2421.8317045545182</v>
      </c>
      <c r="AM60" s="71">
        <f t="shared" si="29"/>
        <v>2421.2213468403315</v>
      </c>
      <c r="AN60" s="74">
        <v>1</v>
      </c>
      <c r="AO60" s="74">
        <v>0</v>
      </c>
      <c r="AP60" s="160"/>
    </row>
    <row r="61" spans="1:43" s="158" customFormat="1" x14ac:dyDescent="0.2">
      <c r="A61" s="163"/>
      <c r="B61" s="47" t="str">
        <f>线路!B58</f>
        <v>4#倒出</v>
      </c>
      <c r="C61" s="48">
        <f>线路!E58</f>
        <v>454787.41330000001</v>
      </c>
      <c r="D61" s="48">
        <f>线路!F58</f>
        <v>3044266.4259000001</v>
      </c>
      <c r="E61" s="173">
        <f>线路!G58</f>
        <v>10</v>
      </c>
      <c r="F61" s="6">
        <f>线路!H58</f>
        <v>0</v>
      </c>
      <c r="G61" s="146">
        <f>线路!L58</f>
        <v>3745.1482280600312</v>
      </c>
      <c r="H61" s="146">
        <f>线路!M58</f>
        <v>3745.1482280600312</v>
      </c>
      <c r="I61" s="146">
        <f>线路!N58</f>
        <v>3745.1482280600312</v>
      </c>
      <c r="J61" s="62">
        <f t="shared" si="94"/>
        <v>0</v>
      </c>
      <c r="K61" s="62">
        <f t="shared" si="95"/>
        <v>196.08792407212468</v>
      </c>
      <c r="L61" s="58">
        <f>IF(AO61=0,断面设计!$C$8,IF(AO61=1,断面设计!$C$33,IF(AO61=2,断面设计!$C$44*2,0)))</f>
        <v>1.5524731620415944</v>
      </c>
      <c r="M61" s="7">
        <f>IF(AO61=0,断面设计!$D$8,0)</f>
        <v>0.24932800284318068</v>
      </c>
      <c r="N61" s="63">
        <f t="shared" si="75"/>
        <v>1.4999999999999999E-2</v>
      </c>
      <c r="O61" s="60">
        <f>IF(AO61=0,断面设计!$I$8,IF(AO61=1,断面设计!$N$33,IF(AO61=2,断面设计!$G$44,断面设计!$I$8)))</f>
        <v>3000</v>
      </c>
      <c r="P61" s="61">
        <f>IF(AO61=0,断面设计!$L$8,IF(AO61=1,断面设计!$S$33,IF(AO61=2,断面设计!$N$44,0)))</f>
        <v>0.41</v>
      </c>
      <c r="Q61" s="59">
        <f>IF(AO61=0,断面设计!$B$8,IF(AO61=1,断面设计!$B$33,IF(AO61=2,断面设计!$B$44,0)))</f>
        <v>0.61035771418674445</v>
      </c>
      <c r="R61" s="58">
        <f>IF(AO61=0,断面设计!$E$8,IF(AO61=1,断面设计!$J$33,IF(AO61=2,断面设计!$D$44,0)))</f>
        <v>0.70474827215761959</v>
      </c>
      <c r="S61" s="58">
        <f>IF(AO61=0,断面设计!$F$8,IF(AO61=1,断面设计!$K$33,IF(AO61=2,断面设计!$D$44/断面设计!$E$44,0)))</f>
        <v>2.130349326053774</v>
      </c>
      <c r="T61" s="62">
        <f t="shared" si="54"/>
        <v>0.33081347905654718</v>
      </c>
      <c r="U61" s="62">
        <f t="shared" si="55"/>
        <v>0.58176801022124669</v>
      </c>
      <c r="V61" s="63"/>
      <c r="W61" s="63"/>
      <c r="X61" s="63"/>
      <c r="Y61" s="63">
        <v>0.56999999999999995</v>
      </c>
      <c r="Z61" s="58">
        <f t="shared" si="56"/>
        <v>0</v>
      </c>
      <c r="AA61" s="70"/>
      <c r="AB61" s="71">
        <f t="shared" si="33"/>
        <v>0.61035771418674445</v>
      </c>
      <c r="AC61" s="71">
        <f t="shared" si="5"/>
        <v>0.56999999999999995</v>
      </c>
      <c r="AD61" s="71">
        <f>AD60-AC61</f>
        <v>2421.261704554518</v>
      </c>
      <c r="AE61" s="64">
        <f t="shared" si="35"/>
        <v>0</v>
      </c>
      <c r="AF61" s="71" t="str">
        <f t="shared" si="36"/>
        <v xml:space="preserve"> </v>
      </c>
      <c r="AG61" s="71" t="str">
        <f>IF(AE61=0," ",AF61-断面设计!$B$8)</f>
        <v xml:space="preserve"> </v>
      </c>
      <c r="AH61" s="71" t="str">
        <f t="shared" si="24"/>
        <v xml:space="preserve"> </v>
      </c>
      <c r="AI61" s="71" t="str">
        <f t="shared" si="25"/>
        <v xml:space="preserve"> </v>
      </c>
      <c r="AJ61" s="71" t="str">
        <f t="shared" si="26"/>
        <v xml:space="preserve"> </v>
      </c>
      <c r="AK61" s="71" t="str">
        <f t="shared" si="27"/>
        <v xml:space="preserve"> </v>
      </c>
      <c r="AL61" s="71">
        <f t="shared" si="28"/>
        <v>2421.261704554518</v>
      </c>
      <c r="AM61" s="71">
        <f t="shared" si="29"/>
        <v>2420.6513468403314</v>
      </c>
      <c r="AN61" s="74">
        <v>2</v>
      </c>
      <c r="AO61" s="74">
        <v>0</v>
      </c>
      <c r="AP61" s="160"/>
    </row>
    <row r="62" spans="1:43" s="20" customFormat="1" x14ac:dyDescent="0.2">
      <c r="A62" s="21"/>
      <c r="B62" s="43" t="str">
        <f>线路!B59</f>
        <v>IP45</v>
      </c>
      <c r="C62" s="44">
        <f>线路!E59</f>
        <v>454805.64990000002</v>
      </c>
      <c r="D62" s="44">
        <f>线路!F59</f>
        <v>3044208.2491000001</v>
      </c>
      <c r="E62" s="172">
        <f>线路!G59</f>
        <v>10</v>
      </c>
      <c r="F62" s="6">
        <f>线路!H59</f>
        <v>67.454999999999998</v>
      </c>
      <c r="G62" s="145">
        <f>线路!L59</f>
        <v>3799.4402566868007</v>
      </c>
      <c r="H62" s="145">
        <f>线路!M59</f>
        <v>3805.3268159214645</v>
      </c>
      <c r="I62" s="145">
        <f>线路!N59</f>
        <v>3811.2133751561282</v>
      </c>
      <c r="J62" s="58">
        <f t="shared" si="94"/>
        <v>11.773118469327528</v>
      </c>
      <c r="K62" s="58">
        <f t="shared" si="95"/>
        <v>60.178587861433243</v>
      </c>
      <c r="L62" s="58">
        <f>IF(AO62=0,断面设计!$C$8,IF(AO62=1,断面设计!$C$33,IF(AO62=2,断面设计!$C$44*2,0)))</f>
        <v>1.5524731620415944</v>
      </c>
      <c r="M62" s="7">
        <f>IF(AO62=0,断面设计!$D$8,0)</f>
        <v>0.24932800284318068</v>
      </c>
      <c r="N62" s="59">
        <f t="shared" si="75"/>
        <v>1.4999999999999999E-2</v>
      </c>
      <c r="O62" s="60">
        <f>IF(AO62=0,断面设计!$I$8,IF(AO62=1,断面设计!$N$33,IF(AO62=2,断面设计!$G$44,断面设计!$I$8)))</f>
        <v>3000</v>
      </c>
      <c r="P62" s="61">
        <f>IF(AO62=0,断面设计!$L$8,IF(AO62=1,断面设计!$S$33,IF(AO62=2,断面设计!$N$44,0)))</f>
        <v>0.41</v>
      </c>
      <c r="Q62" s="59">
        <f>IF(AO62=0,断面设计!$B$8,IF(AO62=1,断面设计!$B$33,IF(AO62=2,断面设计!$B$44,0)))</f>
        <v>0.61035771418674445</v>
      </c>
      <c r="R62" s="58">
        <f>IF(AO62=0,断面设计!$E$8,IF(AO62=1,断面设计!$J$33,IF(AO62=2,断面设计!$D$44,0)))</f>
        <v>0.70474827215761959</v>
      </c>
      <c r="S62" s="58">
        <f>IF(AO62=0,断面设计!$F$8,IF(AO62=1,断面设计!$K$33,IF(AO62=2,断面设计!$D$44/断面设计!$E$44,0)))</f>
        <v>2.130349326053774</v>
      </c>
      <c r="T62" s="58">
        <f t="shared" si="54"/>
        <v>0.33081347905654718</v>
      </c>
      <c r="U62" s="58">
        <f t="shared" si="55"/>
        <v>0.58176801022124669</v>
      </c>
      <c r="V62" s="59">
        <f t="shared" si="57"/>
        <v>1.2971813830363777E-3</v>
      </c>
      <c r="W62" s="59"/>
      <c r="X62" s="59">
        <f>IF(AN62=0,IF(AN61=2,(H62-H61-AE61)/O62,(H62-H61)/O62),IF(AN62=1,IF(AN61=2,IF(AE62&lt;9,(H62-H61-AE62-AE61)/断面设计!$I$8,(H62-H61-AE62-AE61)/断面设计!$I$8),(H62-H61-AE62)/O61),(H62-H61)/O62))</f>
        <v>2.0059529287144415E-2</v>
      </c>
      <c r="Y62" s="59">
        <f t="shared" ref="Y62:Y65" si="116">$Y$5</f>
        <v>0</v>
      </c>
      <c r="Z62" s="58">
        <f t="shared" si="56"/>
        <v>0</v>
      </c>
      <c r="AA62" s="69"/>
      <c r="AB62" s="56">
        <f t="shared" si="33"/>
        <v>0.61035771418674445</v>
      </c>
      <c r="AC62" s="56">
        <f t="shared" si="5"/>
        <v>2.1356710670180794E-2</v>
      </c>
      <c r="AD62" s="56">
        <f t="shared" si="34"/>
        <v>2421.2403478438478</v>
      </c>
      <c r="AE62" s="60">
        <f t="shared" si="35"/>
        <v>0</v>
      </c>
      <c r="AF62" s="56" t="str">
        <f t="shared" si="36"/>
        <v xml:space="preserve"> </v>
      </c>
      <c r="AG62" s="56" t="str">
        <f>IF(AE62=0," ",AF62-断面设计!$B$8)</f>
        <v xml:space="preserve"> </v>
      </c>
      <c r="AH62" s="56">
        <f t="shared" si="24"/>
        <v>2421.2436072116425</v>
      </c>
      <c r="AI62" s="56">
        <f t="shared" si="25"/>
        <v>2420.6332494974558</v>
      </c>
      <c r="AJ62" s="56">
        <f t="shared" si="26"/>
        <v>2421.2383856574361</v>
      </c>
      <c r="AK62" s="56">
        <f t="shared" si="27"/>
        <v>2420.6280279432494</v>
      </c>
      <c r="AL62" s="56">
        <f t="shared" si="28"/>
        <v>2421.2409964345393</v>
      </c>
      <c r="AM62" s="56">
        <f t="shared" si="29"/>
        <v>2420.6306387203526</v>
      </c>
      <c r="AN62" s="45"/>
      <c r="AO62" s="45">
        <v>0</v>
      </c>
      <c r="AP62" s="24"/>
    </row>
    <row r="63" spans="1:43" s="20" customFormat="1" x14ac:dyDescent="0.2">
      <c r="A63" s="21"/>
      <c r="B63" s="43" t="str">
        <f>线路!B60</f>
        <v>IP46</v>
      </c>
      <c r="C63" s="44">
        <f>线路!E60</f>
        <v>454785.00910000002</v>
      </c>
      <c r="D63" s="44">
        <f>线路!F60</f>
        <v>3044190.9604000002</v>
      </c>
      <c r="E63" s="172">
        <f>线路!G60</f>
        <v>10</v>
      </c>
      <c r="F63" s="6">
        <f>线路!H60</f>
        <v>11.757</v>
      </c>
      <c r="G63" s="145">
        <f>线路!L60</f>
        <v>3830.4324031962597</v>
      </c>
      <c r="H63" s="145">
        <f>线路!M60</f>
        <v>3831.4583949970447</v>
      </c>
      <c r="I63" s="145">
        <f>线路!N60</f>
        <v>3832.4843867978293</v>
      </c>
      <c r="J63" s="58">
        <f t="shared" si="94"/>
        <v>2.0519836015696455</v>
      </c>
      <c r="K63" s="58">
        <f t="shared" si="95"/>
        <v>26.131579075580248</v>
      </c>
      <c r="L63" s="58">
        <f>IF(AO63=0,断面设计!$C$8,IF(AO63=1,断面设计!$C$33,IF(AO63=2,断面设计!$C$44*2,0)))</f>
        <v>1.5524731620415944</v>
      </c>
      <c r="M63" s="7">
        <f>IF(AO63=0,断面设计!$D$8,0)</f>
        <v>0.24932800284318068</v>
      </c>
      <c r="N63" s="59">
        <f t="shared" si="75"/>
        <v>1.4999999999999999E-2</v>
      </c>
      <c r="O63" s="60">
        <f>IF(AO63=0,断面设计!$I$8,IF(AO63=1,断面设计!$N$33,IF(AO63=2,断面设计!$G$44,断面设计!$I$8)))</f>
        <v>3000</v>
      </c>
      <c r="P63" s="61">
        <f>IF(AO63=0,断面设计!$L$8,IF(AO63=1,断面设计!$S$33,IF(AO63=2,断面设计!$N$44,0)))</f>
        <v>0.41</v>
      </c>
      <c r="Q63" s="59">
        <f>IF(AO63=0,断面设计!$B$8,IF(AO63=1,断面设计!$B$33,IF(AO63=2,断面设计!$B$44,0)))</f>
        <v>0.61035771418674445</v>
      </c>
      <c r="R63" s="58">
        <f>IF(AO63=0,断面设计!$E$8,IF(AO63=1,断面设计!$J$33,IF(AO63=2,断面设计!$D$44,0)))</f>
        <v>0.70474827215761959</v>
      </c>
      <c r="S63" s="58">
        <f>IF(AO63=0,断面设计!$F$8,IF(AO63=1,断面设计!$K$33,IF(AO63=2,断面设计!$D$44/断面设计!$E$44,0)))</f>
        <v>2.130349326053774</v>
      </c>
      <c r="T63" s="58">
        <f t="shared" si="54"/>
        <v>0.33081347905654718</v>
      </c>
      <c r="U63" s="58">
        <f t="shared" si="55"/>
        <v>0.58176801022124669</v>
      </c>
      <c r="V63" s="59">
        <f t="shared" si="57"/>
        <v>2.2609089793726678E-4</v>
      </c>
      <c r="W63" s="59"/>
      <c r="X63" s="59">
        <f>IF(AN63=0,IF(AN62=2,(H63-H62-AE62)/O63,(H63-H62)/O63),IF(AN63=1,IF(AN62=2,IF(AE63&lt;9,(H63-H62-AE63-AE62)/断面设计!$I$8,(H63-H62-AE63-AE62)/断面设计!$I$8),(H63-H62-AE63)/O62),(H63-H62)/O63))</f>
        <v>8.7105263585267496E-3</v>
      </c>
      <c r="Y63" s="59">
        <f t="shared" si="116"/>
        <v>0</v>
      </c>
      <c r="Z63" s="58">
        <f t="shared" si="56"/>
        <v>0</v>
      </c>
      <c r="AA63" s="69"/>
      <c r="AB63" s="56">
        <f t="shared" si="33"/>
        <v>0.61035771418674445</v>
      </c>
      <c r="AC63" s="56">
        <f t="shared" si="5"/>
        <v>8.9366172564640158E-3</v>
      </c>
      <c r="AD63" s="56">
        <f t="shared" si="34"/>
        <v>2421.2314112265913</v>
      </c>
      <c r="AE63" s="60">
        <f t="shared" si="35"/>
        <v>0</v>
      </c>
      <c r="AF63" s="56" t="str">
        <f t="shared" si="36"/>
        <v xml:space="preserve"> </v>
      </c>
      <c r="AG63" s="56" t="str">
        <f>IF(AE63=0," ",AF63-断面设计!$B$8)</f>
        <v xml:space="preserve"> </v>
      </c>
      <c r="AH63" s="56">
        <f t="shared" si="24"/>
        <v>2421.2319793147558</v>
      </c>
      <c r="AI63" s="56">
        <f t="shared" si="25"/>
        <v>2420.6216216005691</v>
      </c>
      <c r="AJ63" s="56">
        <f t="shared" si="26"/>
        <v>2421.2310692293245</v>
      </c>
      <c r="AK63" s="56">
        <f t="shared" si="27"/>
        <v>2420.6207115151378</v>
      </c>
      <c r="AL63" s="56">
        <f t="shared" si="28"/>
        <v>2421.2315242720401</v>
      </c>
      <c r="AM63" s="56">
        <f t="shared" si="29"/>
        <v>2420.6211665578535</v>
      </c>
      <c r="AN63" s="45"/>
      <c r="AO63" s="45">
        <v>0</v>
      </c>
      <c r="AP63" s="24"/>
    </row>
    <row r="64" spans="1:43" s="20" customFormat="1" x14ac:dyDescent="0.2">
      <c r="A64" s="21"/>
      <c r="B64" s="43" t="str">
        <f>线路!B61</f>
        <v>IP47</v>
      </c>
      <c r="C64" s="44">
        <f>线路!E61</f>
        <v>454776.90210000001</v>
      </c>
      <c r="D64" s="44">
        <f>线路!F61</f>
        <v>3044180.6927999998</v>
      </c>
      <c r="E64" s="172">
        <f>线路!G61</f>
        <v>10</v>
      </c>
      <c r="F64" s="6">
        <f>线路!H61</f>
        <v>28.210999999999999</v>
      </c>
      <c r="G64" s="145">
        <f>线路!L61</f>
        <v>3842.0242513576027</v>
      </c>
      <c r="H64" s="145">
        <f>线路!M61</f>
        <v>3844.4861255340033</v>
      </c>
      <c r="I64" s="145">
        <f>线路!N61</f>
        <v>3846.947999710404</v>
      </c>
      <c r="J64" s="58">
        <f t="shared" si="94"/>
        <v>4.9237483528013399</v>
      </c>
      <c r="K64" s="58">
        <f t="shared" si="95"/>
        <v>13.027730536958643</v>
      </c>
      <c r="L64" s="58">
        <f>IF(AO64=0,断面设计!$C$8,IF(AO64=1,断面设计!$C$33,IF(AO64=2,断面设计!$C$44*2,0)))</f>
        <v>1.5524731620415944</v>
      </c>
      <c r="M64" s="7">
        <f>IF(AO64=0,断面设计!$D$8,0)</f>
        <v>0.24932800284318068</v>
      </c>
      <c r="N64" s="59">
        <f t="shared" si="75"/>
        <v>1.4999999999999999E-2</v>
      </c>
      <c r="O64" s="60">
        <f>IF(AO64=0,断面设计!$I$8,IF(AO64=1,断面设计!$N$33,IF(AO64=2,断面设计!$G$44,断面设计!$I$8)))</f>
        <v>3000</v>
      </c>
      <c r="P64" s="61">
        <f>IF(AO64=0,断面设计!$L$8,IF(AO64=1,断面设计!$S$33,IF(AO64=2,断面设计!$N$44,0)))</f>
        <v>0.41</v>
      </c>
      <c r="Q64" s="59">
        <f>IF(AO64=0,断面设计!$B$8,IF(AO64=1,断面设计!$B$33,IF(AO64=2,断面设计!$B$44,0)))</f>
        <v>0.61035771418674445</v>
      </c>
      <c r="R64" s="58">
        <f>IF(AO64=0,断面设计!$E$8,IF(AO64=1,断面设计!$J$33,IF(AO64=2,断面设计!$D$44,0)))</f>
        <v>0.70474827215761959</v>
      </c>
      <c r="S64" s="58">
        <f>IF(AO64=0,断面设计!$F$8,IF(AO64=1,断面设计!$K$33,IF(AO64=2,断面设计!$D$44/断面设计!$E$44,0)))</f>
        <v>2.130349326053774</v>
      </c>
      <c r="T64" s="58">
        <f t="shared" si="54"/>
        <v>0.33081347905654718</v>
      </c>
      <c r="U64" s="58">
        <f t="shared" si="55"/>
        <v>0.58176801022124669</v>
      </c>
      <c r="V64" s="59">
        <f t="shared" si="57"/>
        <v>5.4250661918080136E-4</v>
      </c>
      <c r="W64" s="59"/>
      <c r="X64" s="59">
        <f>IF(AN64=0,IF(AN63=2,(H64-H63-AE63)/O64,(H64-H63)/O64),IF(AN64=1,IF(AN63=2,IF(AE64&lt;9,(H64-H63-AE64-AE63)/断面设计!$I$8,(H64-H63-AE64-AE63)/断面设计!$I$8),(H64-H63-AE64)/O63),(H64-H63)/O64))</f>
        <v>4.342576845652881E-3</v>
      </c>
      <c r="Y64" s="59">
        <f t="shared" si="116"/>
        <v>0</v>
      </c>
      <c r="Z64" s="58">
        <f t="shared" si="56"/>
        <v>0</v>
      </c>
      <c r="AA64" s="69"/>
      <c r="AB64" s="56">
        <f t="shared" si="33"/>
        <v>0.61035771418674445</v>
      </c>
      <c r="AC64" s="56">
        <f t="shared" si="5"/>
        <v>4.8850834648336821E-3</v>
      </c>
      <c r="AD64" s="56">
        <f t="shared" si="34"/>
        <v>2421.2265261431266</v>
      </c>
      <c r="AE64" s="60">
        <f t="shared" si="35"/>
        <v>0</v>
      </c>
      <c r="AF64" s="56" t="str">
        <f t="shared" si="36"/>
        <v xml:space="preserve"> </v>
      </c>
      <c r="AG64" s="56" t="str">
        <f>IF(AE64=0," ",AF64-断面设计!$B$8)</f>
        <v xml:space="preserve"> </v>
      </c>
      <c r="AH64" s="56">
        <f t="shared" si="24"/>
        <v>2421.2278892744712</v>
      </c>
      <c r="AI64" s="56">
        <f t="shared" si="25"/>
        <v>2420.6175315602845</v>
      </c>
      <c r="AJ64" s="56">
        <f t="shared" si="26"/>
        <v>2421.2257055184014</v>
      </c>
      <c r="AK64" s="56">
        <f t="shared" si="27"/>
        <v>2420.6153478042147</v>
      </c>
      <c r="AL64" s="56">
        <f t="shared" si="28"/>
        <v>2421.2267973964363</v>
      </c>
      <c r="AM64" s="56">
        <f t="shared" si="29"/>
        <v>2420.6164396822496</v>
      </c>
      <c r="AN64" s="45"/>
      <c r="AO64" s="45">
        <v>0</v>
      </c>
      <c r="AP64" s="24"/>
    </row>
    <row r="65" spans="1:42" s="20" customFormat="1" x14ac:dyDescent="0.2">
      <c r="A65" s="21"/>
      <c r="B65" s="43" t="str">
        <f>线路!B62</f>
        <v>IP48</v>
      </c>
      <c r="C65" s="44">
        <f>线路!E62</f>
        <v>454771.86700000003</v>
      </c>
      <c r="D65" s="44">
        <f>线路!F62</f>
        <v>3044152.3747</v>
      </c>
      <c r="E65" s="172">
        <f>线路!G62</f>
        <v>10</v>
      </c>
      <c r="F65" s="6">
        <f>线路!H62</f>
        <v>59.933999999999997</v>
      </c>
      <c r="G65" s="145">
        <f>线路!L62</f>
        <v>3867.4315769153072</v>
      </c>
      <c r="H65" s="145">
        <f>线路!M62</f>
        <v>3872.6618050847587</v>
      </c>
      <c r="I65" s="145">
        <f>线路!N62</f>
        <v>3877.8920332542102</v>
      </c>
      <c r="J65" s="58">
        <f t="shared" si="94"/>
        <v>10.460456338902986</v>
      </c>
      <c r="K65" s="58">
        <f t="shared" si="95"/>
        <v>28.175679550755376</v>
      </c>
      <c r="L65" s="58">
        <f>IF(AO65=0,断面设计!$C$8,IF(AO65=1,断面设计!$C$33,IF(AO65=2,断面设计!$C$44*2,0)))</f>
        <v>1.5524731620415944</v>
      </c>
      <c r="M65" s="7">
        <f>IF(AO65=0,断面设计!$D$8,0)</f>
        <v>0.24932800284318068</v>
      </c>
      <c r="N65" s="59">
        <f t="shared" si="75"/>
        <v>1.4999999999999999E-2</v>
      </c>
      <c r="O65" s="60">
        <f>IF(AO65=0,断面设计!$I$8,IF(AO65=1,断面设计!$N$33,IF(AO65=2,断面设计!$G$44,断面设计!$I$8)))</f>
        <v>3000</v>
      </c>
      <c r="P65" s="61">
        <f>IF(AO65=0,断面设计!$L$8,IF(AO65=1,断面设计!$S$33,IF(AO65=2,断面设计!$N$44,0)))</f>
        <v>0.41</v>
      </c>
      <c r="Q65" s="59">
        <f>IF(AO65=0,断面设计!$B$8,IF(AO65=1,断面设计!$B$33,IF(AO65=2,断面设计!$B$44,0)))</f>
        <v>0.61035771418674445</v>
      </c>
      <c r="R65" s="58">
        <f>IF(AO65=0,断面设计!$E$8,IF(AO65=1,断面设计!$J$33,IF(AO65=2,断面设计!$D$44,0)))</f>
        <v>0.70474827215761959</v>
      </c>
      <c r="S65" s="58">
        <f>IF(AO65=0,断面设计!$F$8,IF(AO65=1,断面设计!$K$33,IF(AO65=2,断面设计!$D$44/断面设计!$E$44,0)))</f>
        <v>2.130349326053774</v>
      </c>
      <c r="T65" s="58">
        <f t="shared" si="54"/>
        <v>0.33081347905654718</v>
      </c>
      <c r="U65" s="58">
        <f t="shared" si="55"/>
        <v>0.58176801022124669</v>
      </c>
      <c r="V65" s="59">
        <f t="shared" si="57"/>
        <v>1.1525501298777702E-3</v>
      </c>
      <c r="W65" s="59"/>
      <c r="X65" s="59">
        <f>IF(AN65=0,IF(AN64=2,(H65-H64-AE64)/O65,(H65-H64)/O65),IF(AN65=1,IF(AN64=2,IF(AE65&lt;9,(H65-H64-AE65-AE64)/断面设计!$I$8,(H65-H64-AE65-AE64)/断面设计!$I$8),(H65-H64-AE65)/O64),(H65-H64)/O65))</f>
        <v>9.3918931835851246E-3</v>
      </c>
      <c r="Y65" s="59">
        <f t="shared" si="116"/>
        <v>0</v>
      </c>
      <c r="Z65" s="58">
        <f t="shared" si="56"/>
        <v>0</v>
      </c>
      <c r="AA65" s="69"/>
      <c r="AB65" s="56">
        <f t="shared" si="33"/>
        <v>0.61035771418674445</v>
      </c>
      <c r="AC65" s="56">
        <f t="shared" si="5"/>
        <v>1.0544443313462895E-2</v>
      </c>
      <c r="AD65" s="56">
        <f t="shared" si="34"/>
        <v>2421.2159816998133</v>
      </c>
      <c r="AE65" s="60">
        <f t="shared" si="35"/>
        <v>0</v>
      </c>
      <c r="AF65" s="56" t="str">
        <f t="shared" si="36"/>
        <v xml:space="preserve"> </v>
      </c>
      <c r="AG65" s="56" t="str">
        <f>IF(AE65=0," ",AF65-断面设计!$B$8)</f>
        <v xml:space="preserve"> </v>
      </c>
      <c r="AH65" s="56">
        <f t="shared" si="24"/>
        <v>2421.218877659333</v>
      </c>
      <c r="AI65" s="56">
        <f t="shared" si="25"/>
        <v>2420.6085199451463</v>
      </c>
      <c r="AJ65" s="56">
        <f t="shared" si="26"/>
        <v>2421.2142382904235</v>
      </c>
      <c r="AK65" s="56">
        <f t="shared" si="27"/>
        <v>2420.6038805762369</v>
      </c>
      <c r="AL65" s="56">
        <f t="shared" si="28"/>
        <v>2421.216557974878</v>
      </c>
      <c r="AM65" s="56">
        <f t="shared" si="29"/>
        <v>2420.6062002606914</v>
      </c>
      <c r="AN65" s="45"/>
      <c r="AO65" s="45">
        <v>0</v>
      </c>
      <c r="AP65" s="24"/>
    </row>
    <row r="66" spans="1:42" s="166" customFormat="1" x14ac:dyDescent="0.2">
      <c r="A66" s="164"/>
      <c r="B66" s="147" t="str">
        <f>线路!B63</f>
        <v>1#隧进</v>
      </c>
      <c r="C66" s="148">
        <f>线路!E63</f>
        <v>454789.18800000002</v>
      </c>
      <c r="D66" s="148">
        <f>线路!F63</f>
        <v>3044137.7644000002</v>
      </c>
      <c r="E66" s="174">
        <f>线路!G63</f>
        <v>10</v>
      </c>
      <c r="F66" s="6">
        <f>线路!H63</f>
        <v>0</v>
      </c>
      <c r="G66" s="149">
        <f>线路!L63</f>
        <v>3894.7862583655656</v>
      </c>
      <c r="H66" s="149">
        <f>线路!M63</f>
        <v>3894.7862583655656</v>
      </c>
      <c r="I66" s="149">
        <f>线路!N63</f>
        <v>3894.7862583655656</v>
      </c>
      <c r="J66" s="150">
        <f t="shared" si="94"/>
        <v>0</v>
      </c>
      <c r="K66" s="150">
        <f t="shared" si="95"/>
        <v>22.124453280806847</v>
      </c>
      <c r="L66" s="58">
        <f>IF(AO66=0,断面设计!$C$8,IF(AO66=1,断面设计!$C$33,IF(AO66=2,断面设计!$C$44*2,0)))</f>
        <v>1.8</v>
      </c>
      <c r="M66" s="7">
        <f>IF(AO66=0,断面设计!$D$8,0)</f>
        <v>0</v>
      </c>
      <c r="N66" s="151">
        <f t="shared" si="75"/>
        <v>1.4E-2</v>
      </c>
      <c r="O66" s="60">
        <f>IF(AO66=0,断面设计!$I$8,IF(AO66=1,断面设计!$N$33,IF(AO66=2,断面设计!$G$44,断面设计!$I$8)))</f>
        <v>7000</v>
      </c>
      <c r="P66" s="61">
        <f>IF(AO66=0,断面设计!$L$8,IF(AO66=1,断面设计!$S$33,IF(AO66=2,断面设计!$N$44,0)))</f>
        <v>0.41</v>
      </c>
      <c r="Q66" s="59">
        <f>IF(AO66=0,断面设计!$B$8,IF(AO66=1,断面设计!$B$33,IF(AO66=2,断面设计!$B$44,0)))</f>
        <v>0.54746804082763056</v>
      </c>
      <c r="R66" s="58">
        <f>IF(AO66=0,断面设计!$E$8,IF(AO66=1,断面设计!$J$33,IF(AO66=2,断面设计!$D$44,0)))</f>
        <v>0.98544247348973502</v>
      </c>
      <c r="S66" s="58">
        <f>IF(AO66=0,断面设计!$F$8,IF(AO66=1,断面设计!$K$33,IF(AO66=2,断面设计!$D$44/断面设计!$E$44,0)))</f>
        <v>2.8949360816552612</v>
      </c>
      <c r="T66" s="150">
        <f t="shared" si="54"/>
        <v>0.34040215248078309</v>
      </c>
      <c r="U66" s="150">
        <f t="shared" si="55"/>
        <v>0.41605675727378805</v>
      </c>
      <c r="V66" s="151">
        <f t="shared" si="57"/>
        <v>0</v>
      </c>
      <c r="W66" s="151">
        <f>1.15*(U66^2/2-U65^2/2)/9.81</f>
        <v>-9.6918150514857335E-3</v>
      </c>
      <c r="X66" s="151">
        <f>IF(AN66=0,IF(AN65=2,(H66-H65-AE65)/O66,(H66-H65)/O66),IF(AN66=1,IF(AN65=2,IF(AE66&lt;9,(H66-H65-AE66-AE65)/断面设计!$I$8,(H66-H65-AE66-AE65)/断面设计!$I$8),(H66-H65-AE66)/O65),(H66-H65)/O66))</f>
        <v>5.708151093602282E-3</v>
      </c>
      <c r="Y66" s="151">
        <v>0</v>
      </c>
      <c r="Z66" s="58">
        <f t="shared" si="56"/>
        <v>0</v>
      </c>
      <c r="AA66" s="153"/>
      <c r="AB66" s="154">
        <f t="shared" si="33"/>
        <v>0.54746804082763056</v>
      </c>
      <c r="AC66" s="56">
        <f t="shared" si="5"/>
        <v>-3.9836639578834515E-3</v>
      </c>
      <c r="AD66" s="154">
        <f t="shared" si="34"/>
        <v>2421.2199653637713</v>
      </c>
      <c r="AE66" s="152">
        <v>5</v>
      </c>
      <c r="AF66" s="154">
        <f t="shared" si="36"/>
        <v>2421.2102735487197</v>
      </c>
      <c r="AG66" s="154">
        <f>IF(AE66=0," ",AF66-断面设计!$B$8)</f>
        <v>2420.599915834533</v>
      </c>
      <c r="AH66" s="56" t="str">
        <f t="shared" si="24"/>
        <v xml:space="preserve"> </v>
      </c>
      <c r="AI66" s="56" t="str">
        <f t="shared" si="25"/>
        <v xml:space="preserve"> </v>
      </c>
      <c r="AJ66" s="56" t="str">
        <f t="shared" si="26"/>
        <v xml:space="preserve"> </v>
      </c>
      <c r="AK66" s="56" t="str">
        <f t="shared" si="27"/>
        <v xml:space="preserve"> </v>
      </c>
      <c r="AL66" s="56">
        <f t="shared" si="28"/>
        <v>2421.2199653637713</v>
      </c>
      <c r="AM66" s="56">
        <f t="shared" si="29"/>
        <v>2420.6724973229439</v>
      </c>
      <c r="AN66" s="155">
        <v>1</v>
      </c>
      <c r="AO66" s="155">
        <v>1</v>
      </c>
      <c r="AP66" s="165">
        <v>2421.3200000000002</v>
      </c>
    </row>
    <row r="67" spans="1:42" s="166" customFormat="1" x14ac:dyDescent="0.2">
      <c r="A67" s="164"/>
      <c r="B67" s="147" t="str">
        <f>线路!B64</f>
        <v>1#隧出</v>
      </c>
      <c r="C67" s="148">
        <f>线路!E64</f>
        <v>454957.26059999998</v>
      </c>
      <c r="D67" s="148">
        <f>线路!F64</f>
        <v>3043995.9942999999</v>
      </c>
      <c r="E67" s="174">
        <f>线路!G64</f>
        <v>10</v>
      </c>
      <c r="F67" s="6">
        <f>线路!H64</f>
        <v>0</v>
      </c>
      <c r="G67" s="149">
        <f>线路!L64</f>
        <v>4114.6661349455844</v>
      </c>
      <c r="H67" s="149">
        <f>线路!M64</f>
        <v>4114.6661349455844</v>
      </c>
      <c r="I67" s="149">
        <f>线路!N64</f>
        <v>4114.6661349455844</v>
      </c>
      <c r="J67" s="150">
        <f t="shared" si="94"/>
        <v>0</v>
      </c>
      <c r="K67" s="150">
        <f t="shared" si="95"/>
        <v>219.87987658001884</v>
      </c>
      <c r="L67" s="58">
        <f>IF(AO67=0,断面设计!$C$8,IF(AO67=1,断面设计!$C$33,IF(AO67=2,断面设计!$C$44*2,0)))</f>
        <v>1.8</v>
      </c>
      <c r="M67" s="7">
        <f>IF(AO67=0,断面设计!$D$8,0)</f>
        <v>0</v>
      </c>
      <c r="N67" s="151">
        <f t="shared" si="75"/>
        <v>1.4E-2</v>
      </c>
      <c r="O67" s="60">
        <f>IF(AO67=0,断面设计!$I$8,IF(AO67=1,断面设计!$N$33,IF(AO67=2,断面设计!$G$44,断面设计!$I$8)))</f>
        <v>7000</v>
      </c>
      <c r="P67" s="61">
        <f>IF(AO67=0,断面设计!$L$8,IF(AO67=1,断面设计!$S$33,IF(AO67=2,断面设计!$N$44,0)))</f>
        <v>0.41</v>
      </c>
      <c r="Q67" s="59">
        <f>IF(AO67=0,断面设计!$B$8,IF(AO67=1,断面设计!$B$33,IF(AO67=2,断面设计!$B$44,0)))</f>
        <v>0.54746804082763056</v>
      </c>
      <c r="R67" s="58">
        <f>IF(AO67=0,断面设计!$E$8,IF(AO67=1,断面设计!$J$33,IF(AO67=2,断面设计!$D$44,0)))</f>
        <v>0.98544247348973502</v>
      </c>
      <c r="S67" s="58">
        <f>IF(AO67=0,断面设计!$F$8,IF(AO67=1,断面设计!$K$33,IF(AO67=2,断面设计!$D$44/断面设计!$E$44,0)))</f>
        <v>2.8949360816552612</v>
      </c>
      <c r="T67" s="150">
        <f t="shared" si="54"/>
        <v>0.34040215248078309</v>
      </c>
      <c r="U67" s="150">
        <f t="shared" si="55"/>
        <v>0.41605675727378805</v>
      </c>
      <c r="V67" s="151">
        <f t="shared" si="57"/>
        <v>0</v>
      </c>
      <c r="W67" s="151">
        <f>-0.6*(U67^2/2-U68^2/2)/9.81</f>
        <v>5.056599157296904E-3</v>
      </c>
      <c r="X67" s="151">
        <f>IF(AN67=0,IF(AN66=2,(H67-H66-AE66)/O67,(H67-H66)/O67),IF(AN67=1,IF(AN66=2,IF(AE67&lt;9,(H67-H66-AE67-AE66)/断面设计!$I$8,(H67-H66-AE67-AE66)/断面设计!$I$8),(H67-H66-AE67)/O66),(H67-H66)/O67))</f>
        <v>3.1411410940002694E-2</v>
      </c>
      <c r="Y67" s="151">
        <v>0</v>
      </c>
      <c r="Z67" s="58">
        <f t="shared" si="56"/>
        <v>0</v>
      </c>
      <c r="AA67" s="153"/>
      <c r="AB67" s="154">
        <f t="shared" si="33"/>
        <v>0.54746804082763056</v>
      </c>
      <c r="AC67" s="56">
        <f t="shared" si="5"/>
        <v>3.6468010097299601E-2</v>
      </c>
      <c r="AD67" s="154">
        <f t="shared" si="34"/>
        <v>2421.1834973536738</v>
      </c>
      <c r="AE67" s="152">
        <v>5</v>
      </c>
      <c r="AF67" s="154">
        <f t="shared" si="36"/>
        <v>2421.1834973536738</v>
      </c>
      <c r="AG67" s="154">
        <f>IF(AE67=0," ",AF67-断面设计!$B$8)</f>
        <v>2420.5731396394872</v>
      </c>
      <c r="AH67" s="56" t="str">
        <f t="shared" si="24"/>
        <v xml:space="preserve"> </v>
      </c>
      <c r="AI67" s="56" t="str">
        <f t="shared" si="25"/>
        <v xml:space="preserve"> </v>
      </c>
      <c r="AJ67" s="56" t="str">
        <f t="shared" si="26"/>
        <v xml:space="preserve"> </v>
      </c>
      <c r="AK67" s="56" t="str">
        <f t="shared" si="27"/>
        <v xml:space="preserve"> </v>
      </c>
      <c r="AL67" s="56">
        <f t="shared" si="28"/>
        <v>2421.1885539528312</v>
      </c>
      <c r="AM67" s="56">
        <f t="shared" si="29"/>
        <v>2420.6410859120037</v>
      </c>
      <c r="AN67" s="155">
        <v>2</v>
      </c>
      <c r="AO67" s="155">
        <v>1</v>
      </c>
      <c r="AP67" s="165">
        <v>2421.21</v>
      </c>
    </row>
    <row r="68" spans="1:42" s="20" customFormat="1" x14ac:dyDescent="0.2">
      <c r="A68" s="21"/>
      <c r="B68" s="43" t="str">
        <f>线路!B65</f>
        <v>IP49</v>
      </c>
      <c r="C68" s="44">
        <f>线路!E65</f>
        <v>455004.49290000001</v>
      </c>
      <c r="D68" s="44">
        <f>线路!F65</f>
        <v>3043956.1537000001</v>
      </c>
      <c r="E68" s="172">
        <f>线路!G65</f>
        <v>10</v>
      </c>
      <c r="F68" s="6">
        <f>线路!H65</f>
        <v>5.3310000000000004</v>
      </c>
      <c r="G68" s="145">
        <f>线路!L65</f>
        <v>4175.9918719422867</v>
      </c>
      <c r="H68" s="145">
        <f>线路!M65</f>
        <v>4176.4570894544058</v>
      </c>
      <c r="I68" s="145">
        <f>线路!N65</f>
        <v>4176.922306966525</v>
      </c>
      <c r="J68" s="58">
        <f t="shared" si="94"/>
        <v>0.93043502423824975</v>
      </c>
      <c r="K68" s="58">
        <f t="shared" si="95"/>
        <v>61.790954508821414</v>
      </c>
      <c r="L68" s="58">
        <f>IF(AO68=0,断面设计!$C$8,IF(AO68=1,断面设计!$C$33,IF(AO68=2,断面设计!$C$44*2,0)))</f>
        <v>1.5524731620415944</v>
      </c>
      <c r="M68" s="7">
        <f>IF(AO68=0,断面设计!$D$8,0)</f>
        <v>0.24932800284318068</v>
      </c>
      <c r="N68" s="59">
        <f t="shared" si="75"/>
        <v>1.4999999999999999E-2</v>
      </c>
      <c r="O68" s="60">
        <f>IF(AO68=0,断面设计!$I$8,IF(AO68=1,断面设计!$N$33,IF(AO68=2,断面设计!$G$44,断面设计!$I$8)))</f>
        <v>3000</v>
      </c>
      <c r="P68" s="61">
        <f>IF(AO68=0,断面设计!$L$8,IF(AO68=1,断面设计!$S$33,IF(AO68=2,断面设计!$N$44,0)))</f>
        <v>0.41</v>
      </c>
      <c r="Q68" s="59">
        <f>IF(AO68=0,断面设计!$B$8,IF(AO68=1,断面设计!$B$33,IF(AO68=2,断面设计!$B$44,0)))</f>
        <v>0.61035771418674445</v>
      </c>
      <c r="R68" s="58">
        <f>IF(AO68=0,断面设计!$E$8,IF(AO68=1,断面设计!$J$33,IF(AO68=2,断面设计!$D$44,0)))</f>
        <v>0.70474827215761959</v>
      </c>
      <c r="S68" s="58">
        <f>IF(AO68=0,断面设计!$F$8,IF(AO68=1,断面设计!$K$33,IF(AO68=2,断面设计!$D$44/断面设计!$E$44,0)))</f>
        <v>2.130349326053774</v>
      </c>
      <c r="T68" s="58">
        <f t="shared" si="54"/>
        <v>0.33081347905654718</v>
      </c>
      <c r="U68" s="58">
        <f t="shared" si="55"/>
        <v>0.58176801022124669</v>
      </c>
      <c r="V68" s="59">
        <f t="shared" si="57"/>
        <v>1.0251684757197536E-4</v>
      </c>
      <c r="W68" s="59"/>
      <c r="X68" s="59">
        <f>IF(AN68=0,IF(AN67=2,(H68-H67-AE67)/O68,(H68-H67)/O68),IF(AN68=1,IF(AN67=2,IF(AE68&lt;9,(H68-H67-AE68-AE67)/断面设计!$I$8,(H68-H67-AE68-AE67)/断面设计!$I$8),(H68-H67-AE68)/O67),(H68-H67)/O68))</f>
        <v>1.8930318169607139E-2</v>
      </c>
      <c r="Y68" s="59">
        <v>0</v>
      </c>
      <c r="Z68" s="58">
        <f t="shared" si="56"/>
        <v>0</v>
      </c>
      <c r="AA68" s="69"/>
      <c r="AB68" s="56">
        <f t="shared" si="33"/>
        <v>0.61035771418674445</v>
      </c>
      <c r="AC68" s="56">
        <f t="shared" si="5"/>
        <v>1.9032835017179114E-2</v>
      </c>
      <c r="AD68" s="56">
        <f t="shared" si="34"/>
        <v>2421.1644645186566</v>
      </c>
      <c r="AE68" s="60">
        <f t="shared" si="35"/>
        <v>0</v>
      </c>
      <c r="AF68" s="56" t="str">
        <f t="shared" si="36"/>
        <v xml:space="preserve"> </v>
      </c>
      <c r="AG68" s="56" t="str">
        <f>IF(AE68=0," ",AF68-断面设计!$B$8)</f>
        <v xml:space="preserve"> </v>
      </c>
      <c r="AH68" s="56">
        <f t="shared" si="24"/>
        <v>2421.1647221080084</v>
      </c>
      <c r="AI68" s="56">
        <f t="shared" si="25"/>
        <v>2420.5543643938217</v>
      </c>
      <c r="AJ68" s="56">
        <f t="shared" si="26"/>
        <v>2421.1643094461524</v>
      </c>
      <c r="AK68" s="56">
        <f t="shared" si="27"/>
        <v>2420.5539517319658</v>
      </c>
      <c r="AL68" s="56">
        <f t="shared" si="28"/>
        <v>2421.1645157770804</v>
      </c>
      <c r="AM68" s="56">
        <f t="shared" si="29"/>
        <v>2420.5541580628937</v>
      </c>
      <c r="AN68" s="45"/>
      <c r="AO68" s="45">
        <v>0</v>
      </c>
      <c r="AP68" s="24">
        <v>2421.19</v>
      </c>
    </row>
    <row r="69" spans="1:42" s="158" customFormat="1" x14ac:dyDescent="0.2">
      <c r="A69" s="163"/>
      <c r="B69" s="47" t="str">
        <f>线路!B66</f>
        <v>5#倒进</v>
      </c>
      <c r="C69" s="48">
        <f>线路!E66</f>
        <v>455004.81910000002</v>
      </c>
      <c r="D69" s="48">
        <f>线路!F66</f>
        <v>3043955.8220000002</v>
      </c>
      <c r="E69" s="173">
        <f>线路!G66</f>
        <v>10</v>
      </c>
      <c r="F69" s="6">
        <f>线路!H66</f>
        <v>4.0000000000000001E-3</v>
      </c>
      <c r="G69" s="146">
        <f>线路!L66</f>
        <v>4176.9216262857726</v>
      </c>
      <c r="H69" s="146">
        <f>线路!M66</f>
        <v>4176.9219753516227</v>
      </c>
      <c r="I69" s="146">
        <f>线路!N66</f>
        <v>4176.9223244174736</v>
      </c>
      <c r="J69" s="62">
        <f t="shared" si="94"/>
        <v>6.9813170102861477E-4</v>
      </c>
      <c r="K69" s="62">
        <f t="shared" si="95"/>
        <v>0.46488589721684548</v>
      </c>
      <c r="L69" s="58">
        <f>IF(AO69=0,断面设计!$C$8,IF(AO69=1,断面设计!$C$33,IF(AO69=2,断面设计!$C$44*2,0)))</f>
        <v>1.5524731620415944</v>
      </c>
      <c r="M69" s="7">
        <f>IF(AO69=0,断面设计!$D$8,0)</f>
        <v>0.24932800284318068</v>
      </c>
      <c r="N69" s="63">
        <f t="shared" si="75"/>
        <v>1.4999999999999999E-2</v>
      </c>
      <c r="O69" s="60">
        <f>IF(AO69=0,断面设计!$I$8,IF(AO69=1,断面设计!$N$33,IF(AO69=2,断面设计!$G$44,断面设计!$I$8)))</f>
        <v>3000</v>
      </c>
      <c r="P69" s="61">
        <f>IF(AO69=0,断面设计!$L$8,IF(AO69=1,断面设计!$S$33,IF(AO69=2,断面设计!$N$44,0)))</f>
        <v>0.41</v>
      </c>
      <c r="Q69" s="59">
        <f>IF(AO69=0,断面设计!$B$8,IF(AO69=1,断面设计!$B$33,IF(AO69=2,断面设计!$B$44,0)))</f>
        <v>0.61035771418674445</v>
      </c>
      <c r="R69" s="58">
        <f>IF(AO69=0,断面设计!$E$8,IF(AO69=1,断面设计!$J$33,IF(AO69=2,断面设计!$D$44,0)))</f>
        <v>0.70474827215761959</v>
      </c>
      <c r="S69" s="58">
        <f>IF(AO69=0,断面设计!$F$8,IF(AO69=1,断面设计!$K$33,IF(AO69=2,断面设计!$D$44/断面设计!$E$44,0)))</f>
        <v>2.130349326053774</v>
      </c>
      <c r="T69" s="62">
        <f t="shared" si="54"/>
        <v>0.33081347905654718</v>
      </c>
      <c r="U69" s="62">
        <f t="shared" si="55"/>
        <v>0.58176801022124669</v>
      </c>
      <c r="V69" s="63">
        <f t="shared" ref="V69" si="117">(I69-G69)*N69^2/T69^(4/3)*U69^2*3/4*((L69+Q69*M69*2*1.3)/E69)^0.5</f>
        <v>7.6921288768239564E-8</v>
      </c>
      <c r="W69" s="63"/>
      <c r="X69" s="63">
        <f>IF(AN69=0,IF(AN68=2,(H69-H68-AE68)/O69,(H69-H68)/O69),IF(AN69=1,IF(AN68=2,IF(AE69&lt;9,(H69-H68-AE69-AE68)/断面设计!$I$8,(H69-H68-AE69-AE68)/断面设计!$I$8),(H69-H68-AE69)/O68),(H69-H68)/O69))</f>
        <v>1.5496196573894848E-4</v>
      </c>
      <c r="Y69" s="63">
        <v>0</v>
      </c>
      <c r="Z69" s="58">
        <f t="shared" si="56"/>
        <v>0</v>
      </c>
      <c r="AA69" s="70"/>
      <c r="AB69" s="71">
        <f t="shared" si="33"/>
        <v>0.61035771418674445</v>
      </c>
      <c r="AC69" s="71">
        <f t="shared" si="5"/>
        <v>1.5503888702771672E-4</v>
      </c>
      <c r="AD69" s="71">
        <f t="shared" si="34"/>
        <v>2421.1643094797696</v>
      </c>
      <c r="AE69" s="64">
        <f t="shared" si="35"/>
        <v>0</v>
      </c>
      <c r="AF69" s="71" t="str">
        <f t="shared" si="36"/>
        <v xml:space="preserve"> </v>
      </c>
      <c r="AG69" s="71" t="str">
        <f>IF(AE69=0," ",AF69-断面设计!$B$8)</f>
        <v xml:space="preserve"> </v>
      </c>
      <c r="AH69" s="71" t="str">
        <f t="shared" si="24"/>
        <v xml:space="preserve"> </v>
      </c>
      <c r="AI69" s="71" t="str">
        <f t="shared" si="25"/>
        <v xml:space="preserve"> </v>
      </c>
      <c r="AJ69" s="71" t="str">
        <f t="shared" si="26"/>
        <v xml:space="preserve"> </v>
      </c>
      <c r="AK69" s="71" t="str">
        <f t="shared" si="27"/>
        <v xml:space="preserve"> </v>
      </c>
      <c r="AL69" s="71">
        <f t="shared" si="28"/>
        <v>2421.1643095182303</v>
      </c>
      <c r="AM69" s="71">
        <f t="shared" si="29"/>
        <v>2420.5539518040437</v>
      </c>
      <c r="AN69" s="74">
        <v>1</v>
      </c>
      <c r="AO69" s="74">
        <v>0</v>
      </c>
      <c r="AP69" s="160"/>
    </row>
    <row r="70" spans="1:42" s="158" customFormat="1" x14ac:dyDescent="0.2">
      <c r="A70" s="163"/>
      <c r="B70" s="47" t="str">
        <f>线路!B67</f>
        <v>IP50</v>
      </c>
      <c r="C70" s="48">
        <f>线路!E67</f>
        <v>455120.46399999998</v>
      </c>
      <c r="D70" s="48">
        <f>线路!F67</f>
        <v>3043838.2417000001</v>
      </c>
      <c r="E70" s="173">
        <f>线路!G67</f>
        <v>2.4</v>
      </c>
      <c r="F70" s="6">
        <f>线路!H67</f>
        <v>34.020000000000003</v>
      </c>
      <c r="G70" s="146">
        <f>线路!L67</f>
        <v>4341.1085623602694</v>
      </c>
      <c r="H70" s="146">
        <f>线路!M67</f>
        <v>4341.8210755741038</v>
      </c>
      <c r="I70" s="146">
        <f>线路!N67</f>
        <v>4342.5335887879373</v>
      </c>
      <c r="J70" s="62">
        <f t="shared" si="94"/>
        <v>1.4250264276679445</v>
      </c>
      <c r="K70" s="62">
        <f t="shared" si="95"/>
        <v>164.89910022248114</v>
      </c>
      <c r="L70" s="58">
        <f>IF(AO70=0,断面设计!$C$8,IF(AO70=1,断面设计!$C$33,IF(AO70=2,断面设计!$C$44*2,0)))</f>
        <v>1.5524731620415944</v>
      </c>
      <c r="M70" s="7">
        <f>IF(AO70=0,断面设计!$D$8,0)</f>
        <v>0.24932800284318068</v>
      </c>
      <c r="N70" s="63">
        <f t="shared" si="75"/>
        <v>1.4999999999999999E-2</v>
      </c>
      <c r="O70" s="60">
        <f>IF(AO70=0,断面设计!$I$8,IF(AO70=1,断面设计!$N$33,IF(AO70=2,断面设计!$G$44,断面设计!$I$8)))</f>
        <v>3000</v>
      </c>
      <c r="P70" s="61">
        <f>IF(AO70=0,断面设计!$L$8,IF(AO70=1,断面设计!$S$33,IF(AO70=2,断面设计!$N$44,0)))</f>
        <v>0.41</v>
      </c>
      <c r="Q70" s="59">
        <f>IF(AO70=0,断面设计!$B$8,IF(AO70=1,断面设计!$B$33,IF(AO70=2,断面设计!$B$44,0)))</f>
        <v>0.61035771418674445</v>
      </c>
      <c r="R70" s="58">
        <f>IF(AO70=0,断面设计!$E$8,IF(AO70=1,断面设计!$J$33,IF(AO70=2,断面设计!$D$44,0)))</f>
        <v>0.70474827215761959</v>
      </c>
      <c r="S70" s="58">
        <f>IF(AO70=0,断面设计!$F$8,IF(AO70=1,断面设计!$K$33,IF(AO70=2,断面设计!$D$44/断面设计!$E$44,0)))</f>
        <v>2.130349326053774</v>
      </c>
      <c r="T70" s="62">
        <f t="shared" si="54"/>
        <v>0.33081347905654718</v>
      </c>
      <c r="U70" s="62">
        <f t="shared" si="55"/>
        <v>0.58176801022124669</v>
      </c>
      <c r="V70" s="63"/>
      <c r="W70" s="63"/>
      <c r="X70" s="63"/>
      <c r="Y70" s="63"/>
      <c r="Z70" s="62"/>
      <c r="AA70" s="70"/>
      <c r="AB70" s="71"/>
      <c r="AC70" s="71"/>
      <c r="AD70" s="71"/>
      <c r="AE70" s="64"/>
      <c r="AF70" s="71"/>
      <c r="AG70" s="71"/>
      <c r="AH70" s="71"/>
      <c r="AI70" s="71"/>
      <c r="AJ70" s="71"/>
      <c r="AK70" s="71"/>
      <c r="AL70" s="71"/>
      <c r="AM70" s="71"/>
      <c r="AN70" s="74"/>
      <c r="AO70" s="74">
        <v>0</v>
      </c>
      <c r="AP70" s="160"/>
    </row>
    <row r="71" spans="1:42" s="158" customFormat="1" x14ac:dyDescent="0.2">
      <c r="A71" s="163"/>
      <c r="B71" s="47" t="str">
        <f>线路!B68</f>
        <v>IP51</v>
      </c>
      <c r="C71" s="48">
        <f>线路!E68</f>
        <v>455159.69189999998</v>
      </c>
      <c r="D71" s="48">
        <f>线路!F68</f>
        <v>3043626.6776000001</v>
      </c>
      <c r="E71" s="173">
        <f>线路!G68</f>
        <v>2.4</v>
      </c>
      <c r="F71" s="6">
        <f>线路!H68</f>
        <v>53.015999999999998</v>
      </c>
      <c r="G71" s="146">
        <f>线路!L68</f>
        <v>4555.7725199978167</v>
      </c>
      <c r="H71" s="146">
        <f>线路!M68</f>
        <v>4556.8828845053013</v>
      </c>
      <c r="I71" s="146">
        <f>线路!N68</f>
        <v>4557.9932490127867</v>
      </c>
      <c r="J71" s="62">
        <f t="shared" si="94"/>
        <v>2.2207290149699475</v>
      </c>
      <c r="K71" s="62">
        <f t="shared" si="95"/>
        <v>215.06180893119745</v>
      </c>
      <c r="L71" s="58">
        <f>IF(AO71=0,断面设计!$C$8,IF(AO71=1,断面设计!$C$33,IF(AO71=2,断面设计!$C$44*2,0)))</f>
        <v>1.5524731620415944</v>
      </c>
      <c r="M71" s="7">
        <f>IF(AO71=0,断面设计!$D$8,0)</f>
        <v>0.24932800284318068</v>
      </c>
      <c r="N71" s="63">
        <f t="shared" si="75"/>
        <v>1.4999999999999999E-2</v>
      </c>
      <c r="O71" s="60">
        <f>IF(AO71=0,断面设计!$I$8,IF(AO71=1,断面设计!$N$33,IF(AO71=2,断面设计!$G$44,断面设计!$I$8)))</f>
        <v>3000</v>
      </c>
      <c r="P71" s="61">
        <f>IF(AO71=0,断面设计!$L$8,IF(AO71=1,断面设计!$S$33,IF(AO71=2,断面设计!$N$44,0)))</f>
        <v>0.41</v>
      </c>
      <c r="Q71" s="59">
        <f>IF(AO71=0,断面设计!$B$8,IF(AO71=1,断面设计!$B$33,IF(AO71=2,断面设计!$B$44,0)))</f>
        <v>0.61035771418674445</v>
      </c>
      <c r="R71" s="58">
        <f>IF(AO71=0,断面设计!$E$8,IF(AO71=1,断面设计!$J$33,IF(AO71=2,断面设计!$D$44,0)))</f>
        <v>0.70474827215761959</v>
      </c>
      <c r="S71" s="58">
        <f>IF(AO71=0,断面设计!$F$8,IF(AO71=1,断面设计!$K$33,IF(AO71=2,断面设计!$D$44/断面设计!$E$44,0)))</f>
        <v>2.130349326053774</v>
      </c>
      <c r="T71" s="62">
        <f t="shared" si="54"/>
        <v>0.33081347905654718</v>
      </c>
      <c r="U71" s="62">
        <f t="shared" si="55"/>
        <v>0.58176801022124669</v>
      </c>
      <c r="V71" s="63"/>
      <c r="W71" s="63"/>
      <c r="X71" s="63"/>
      <c r="Y71" s="63"/>
      <c r="Z71" s="62"/>
      <c r="AA71" s="70"/>
      <c r="AB71" s="71"/>
      <c r="AC71" s="71"/>
      <c r="AD71" s="71"/>
      <c r="AE71" s="64"/>
      <c r="AF71" s="71"/>
      <c r="AG71" s="71"/>
      <c r="AH71" s="71"/>
      <c r="AI71" s="71"/>
      <c r="AJ71" s="71"/>
      <c r="AK71" s="71"/>
      <c r="AL71" s="71"/>
      <c r="AM71" s="71"/>
      <c r="AN71" s="74"/>
      <c r="AO71" s="74">
        <v>0</v>
      </c>
      <c r="AP71" s="160"/>
    </row>
    <row r="72" spans="1:42" s="158" customFormat="1" x14ac:dyDescent="0.2">
      <c r="A72" s="163"/>
      <c r="B72" s="47" t="str">
        <f>线路!B69</f>
        <v>5#倒出</v>
      </c>
      <c r="C72" s="48">
        <f>线路!E69</f>
        <v>455149.07789999997</v>
      </c>
      <c r="D72" s="48">
        <f>线路!F69</f>
        <v>3043615.0992999999</v>
      </c>
      <c r="E72" s="173">
        <f>线路!G69</f>
        <v>10</v>
      </c>
      <c r="F72" s="6">
        <f>线路!H69</f>
        <v>0</v>
      </c>
      <c r="G72" s="146">
        <f>线路!L69</f>
        <v>4572.5033677140245</v>
      </c>
      <c r="H72" s="146">
        <f>线路!M69</f>
        <v>4572.5033677140245</v>
      </c>
      <c r="I72" s="146">
        <f>线路!N69</f>
        <v>4572.5033677140245</v>
      </c>
      <c r="J72" s="62">
        <f t="shared" ref="J72:J73" si="118">I72-G72</f>
        <v>0</v>
      </c>
      <c r="K72" s="62">
        <f t="shared" ref="K72:K73" si="119">H72-H71</f>
        <v>15.620483208723272</v>
      </c>
      <c r="L72" s="58">
        <f>IF(AO72=0,断面设计!$C$8,IF(AO72=1,断面设计!$C$33,IF(AO72=2,断面设计!$C$44*2,0)))</f>
        <v>1.5524731620415944</v>
      </c>
      <c r="M72" s="7">
        <f>IF(AO72=0,断面设计!$D$8,0)</f>
        <v>0.24932800284318068</v>
      </c>
      <c r="N72" s="63">
        <f t="shared" si="75"/>
        <v>1.4999999999999999E-2</v>
      </c>
      <c r="O72" s="60">
        <f>IF(AO72=0,断面设计!$I$8,IF(AO72=1,断面设计!$N$33,IF(AO72=2,断面设计!$G$44,断面设计!$I$8)))</f>
        <v>3000</v>
      </c>
      <c r="P72" s="61">
        <f>IF(AO72=0,断面设计!$L$8,IF(AO72=1,断面设计!$S$33,IF(AO72=2,断面设计!$N$44,0)))</f>
        <v>0.41</v>
      </c>
      <c r="Q72" s="59">
        <f>IF(AO72=0,断面设计!$B$8,IF(AO72=1,断面设计!$B$33,IF(AO72=2,断面设计!$B$44,0)))</f>
        <v>0.61035771418674445</v>
      </c>
      <c r="R72" s="58">
        <f>IF(AO72=0,断面设计!$E$8,IF(AO72=1,断面设计!$J$33,IF(AO72=2,断面设计!$D$44,0)))</f>
        <v>0.70474827215761959</v>
      </c>
      <c r="S72" s="58">
        <f>IF(AO72=0,断面设计!$F$8,IF(AO72=1,断面设计!$K$33,IF(AO72=2,断面设计!$D$44/断面设计!$E$44,0)))</f>
        <v>2.130349326053774</v>
      </c>
      <c r="T72" s="62">
        <f t="shared" si="54"/>
        <v>0.33081347905654718</v>
      </c>
      <c r="U72" s="62">
        <f t="shared" si="55"/>
        <v>0.58176801022124669</v>
      </c>
      <c r="V72" s="63"/>
      <c r="W72" s="63"/>
      <c r="X72" s="63"/>
      <c r="Y72" s="63">
        <v>1.05</v>
      </c>
      <c r="Z72" s="62">
        <f t="shared" si="56"/>
        <v>0</v>
      </c>
      <c r="AA72" s="70"/>
      <c r="AB72" s="71">
        <f t="shared" ref="AB72:AB73" si="120">Q72</f>
        <v>0.61035771418674445</v>
      </c>
      <c r="AC72" s="71">
        <f t="shared" ref="AC72:AC73" si="121">IF(AE72&lt;1,Y72+AA72+V72+X72,Y72+AA72+V72+X72+W72)</f>
        <v>1.05</v>
      </c>
      <c r="AD72" s="71">
        <f>AD69-AC72</f>
        <v>2420.1143094797694</v>
      </c>
      <c r="AE72" s="64">
        <f t="shared" ref="AE72:AE73" si="122">IF(AO72=0,0,IF(AO72=2,IF(AN72=1,20,IF(AN72=0,0,25)),IF(AN72=1,15,IF(AN72=0,0,IF(AO72=3,20,20)))))</f>
        <v>0</v>
      </c>
      <c r="AF72" s="71"/>
      <c r="AG72" s="71"/>
      <c r="AH72" s="71"/>
      <c r="AI72" s="71"/>
      <c r="AJ72" s="71"/>
      <c r="AK72" s="71"/>
      <c r="AL72" s="71">
        <f t="shared" ref="AL72" si="123">AM72+AB72</f>
        <v>2420.1143094797694</v>
      </c>
      <c r="AM72" s="71">
        <f t="shared" ref="AM72" si="124">IF(AN72=2,IF(AE72=0,AD72-AB72,AD72+W72-AB72),AD72-AB72+V72/2)</f>
        <v>2419.5039517655828</v>
      </c>
      <c r="AN72" s="74"/>
      <c r="AO72" s="74">
        <v>0</v>
      </c>
      <c r="AP72" s="160">
        <v>2420.11</v>
      </c>
    </row>
    <row r="73" spans="1:42" s="158" customFormat="1" x14ac:dyDescent="0.2">
      <c r="A73" s="21"/>
      <c r="B73" s="43" t="str">
        <f>线路!B70</f>
        <v>IP52</v>
      </c>
      <c r="C73" s="44">
        <f>线路!E70</f>
        <v>455141.07579999999</v>
      </c>
      <c r="D73" s="44">
        <f>线路!F70</f>
        <v>3043606.3701999998</v>
      </c>
      <c r="E73" s="172">
        <f>线路!G70</f>
        <v>10</v>
      </c>
      <c r="F73" s="6">
        <f>线路!H70</f>
        <v>20.872</v>
      </c>
      <c r="G73" s="145">
        <f>线路!L70</f>
        <v>4582.5034369440427</v>
      </c>
      <c r="H73" s="145">
        <f>线路!M70</f>
        <v>4584.3248625514243</v>
      </c>
      <c r="I73" s="145">
        <f>线路!N70</f>
        <v>4586.146288158805</v>
      </c>
      <c r="J73" s="58">
        <f t="shared" si="118"/>
        <v>3.6428512147622314</v>
      </c>
      <c r="K73" s="58">
        <f t="shared" si="119"/>
        <v>11.821494837399769</v>
      </c>
      <c r="L73" s="58">
        <f>IF(AO73=0,断面设计!$C$8,IF(AO73=1,断面设计!$C$33,IF(AO73=2,断面设计!$C$44*2,0)))</f>
        <v>1.5524731620415944</v>
      </c>
      <c r="M73" s="7">
        <f>IF(AO73=0,断面设计!$D$8,0)</f>
        <v>0.24932800284318068</v>
      </c>
      <c r="N73" s="59">
        <f t="shared" si="75"/>
        <v>1.4999999999999999E-2</v>
      </c>
      <c r="O73" s="60">
        <f>IF(AO73=0,断面设计!$I$8,IF(AO73=1,断面设计!$N$33,IF(AO73=2,断面设计!$G$44,断面设计!$I$8)))</f>
        <v>3000</v>
      </c>
      <c r="P73" s="61">
        <f>IF(AO73=0,断面设计!$L$8,IF(AO73=1,断面设计!$S$33,IF(AO73=2,断面设计!$N$44,0)))</f>
        <v>0.41</v>
      </c>
      <c r="Q73" s="59">
        <f>IF(AO73=0,断面设计!$B$8,IF(AO73=1,断面设计!$B$33,IF(AO73=2,断面设计!$B$44,0)))</f>
        <v>0.61035771418674445</v>
      </c>
      <c r="R73" s="58">
        <f>IF(AO73=0,断面设计!$E$8,IF(AO73=1,断面设计!$J$33,IF(AO73=2,断面设计!$D$44,0)))</f>
        <v>0.70474827215761959</v>
      </c>
      <c r="S73" s="58">
        <f>IF(AO73=0,断面设计!$F$8,IF(AO73=1,断面设计!$K$33,IF(AO73=2,断面设计!$D$44/断面设计!$E$44,0)))</f>
        <v>2.130349326053774</v>
      </c>
      <c r="T73" s="58">
        <f t="shared" si="54"/>
        <v>0.33081347905654718</v>
      </c>
      <c r="U73" s="58">
        <f t="shared" si="55"/>
        <v>0.58176801022124669</v>
      </c>
      <c r="V73" s="59">
        <f t="shared" si="57"/>
        <v>4.0137528465989633E-4</v>
      </c>
      <c r="W73" s="59"/>
      <c r="X73" s="59">
        <f>IF(AN73=0,IF(AN72=2,(H73-H72-AE72)/O73,(H73-H72)/O73),IF(AN73=1,IF(AN72=2,IF(AE73&lt;9,(H73-H72-AE73-AE72)/断面设计!$I$8,(H73-H72-AE73-AE72)/断面设计!$I$8),(H73-H72-AE73)/O72),(H73-H72)/O73))</f>
        <v>3.9404982791332562E-3</v>
      </c>
      <c r="Y73" s="59">
        <f t="shared" ref="Y73:Y80" si="125">$Y$5</f>
        <v>0</v>
      </c>
      <c r="Z73" s="58">
        <f t="shared" si="56"/>
        <v>0</v>
      </c>
      <c r="AA73" s="69"/>
      <c r="AB73" s="56">
        <f t="shared" si="120"/>
        <v>0.61035771418674445</v>
      </c>
      <c r="AC73" s="56">
        <f t="shared" si="121"/>
        <v>4.3418735637931524E-3</v>
      </c>
      <c r="AD73" s="56">
        <f t="shared" si="34"/>
        <v>2420.1099676062058</v>
      </c>
      <c r="AE73" s="60">
        <f t="shared" si="122"/>
        <v>0</v>
      </c>
      <c r="AF73" s="56"/>
      <c r="AG73" s="56"/>
      <c r="AH73" s="56">
        <f t="shared" ref="AH73" si="126">IF(J73&lt;0.01," ",AD73+V73+J73/2/O73+J73/2/1000*Z73)</f>
        <v>2420.1109761233597</v>
      </c>
      <c r="AI73" s="56">
        <f t="shared" ref="AI73" si="127">IF(J73&lt;0.01," ",AH73-AB73)</f>
        <v>2419.5006184091731</v>
      </c>
      <c r="AJ73" s="56">
        <f t="shared" ref="AJ73" si="128">IF(J73&lt;0.01," ",AD73-J73/2/O73-J73/2/1000*Z73)</f>
        <v>2420.1093604643365</v>
      </c>
      <c r="AK73" s="56">
        <f t="shared" ref="AK73" si="129">IF(J73&lt;0.01," ",AJ73-AB73)</f>
        <v>2419.4990027501499</v>
      </c>
      <c r="AL73" s="56">
        <f t="shared" ref="AL73" si="130">AM73+AB73</f>
        <v>2420.1101682938483</v>
      </c>
      <c r="AM73" s="56">
        <f t="shared" ref="AM73" si="131">IF(AN73=2,IF(AE73=0,AD73-AB73,AD73+W73-AB73),AD73-AB73+V73/2)</f>
        <v>2419.4998105796617</v>
      </c>
      <c r="AN73" s="74"/>
      <c r="AO73" s="74">
        <v>0</v>
      </c>
      <c r="AP73" s="160"/>
    </row>
    <row r="74" spans="1:42" s="158" customFormat="1" x14ac:dyDescent="0.2">
      <c r="A74" s="21"/>
      <c r="B74" s="43" t="str">
        <f>线路!B71</f>
        <v>IP53</v>
      </c>
      <c r="C74" s="44">
        <f>线路!E71</f>
        <v>455102.76079999999</v>
      </c>
      <c r="D74" s="44">
        <f>线路!F71</f>
        <v>3043587.1701000002</v>
      </c>
      <c r="E74" s="172">
        <f>线路!G71</f>
        <v>10</v>
      </c>
      <c r="F74" s="6">
        <f>线路!H71</f>
        <v>57.258000000000003</v>
      </c>
      <c r="G74" s="145">
        <f>线路!L71</f>
        <v>4621.7022448040825</v>
      </c>
      <c r="H74" s="145">
        <f>线路!M71</f>
        <v>4626.6989479196172</v>
      </c>
      <c r="I74" s="145">
        <f>线路!N71</f>
        <v>4631.695651035152</v>
      </c>
      <c r="J74" s="58">
        <f t="shared" ref="J74:J77" si="132">I74-G74</f>
        <v>9.9934062310694571</v>
      </c>
      <c r="K74" s="58">
        <f t="shared" ref="K74:K77" si="133">H74-H73</f>
        <v>42.374085368192937</v>
      </c>
      <c r="L74" s="58">
        <f>IF(AO74=0,断面设计!$C$8,IF(AO74=1,断面设计!$C$33,IF(AO74=2,断面设计!$C$44*2,0)))</f>
        <v>1.5524731620415944</v>
      </c>
      <c r="M74" s="7">
        <f>IF(AO74=0,断面设计!$D$8,0)</f>
        <v>0.24932800284318068</v>
      </c>
      <c r="N74" s="59">
        <f t="shared" si="75"/>
        <v>1.4999999999999999E-2</v>
      </c>
      <c r="O74" s="60">
        <f>IF(AO74=0,断面设计!$I$8,IF(AO74=1,断面设计!$N$33,IF(AO74=2,断面设计!$G$44,断面设计!$I$8)))</f>
        <v>3000</v>
      </c>
      <c r="P74" s="61">
        <f>IF(AO74=0,断面设计!$L$8,IF(AO74=1,断面设计!$S$33,IF(AO74=2,断面设计!$N$44,0)))</f>
        <v>0.41</v>
      </c>
      <c r="Q74" s="59">
        <f>IF(AO74=0,断面设计!$B$8,IF(AO74=1,断面设计!$B$33,IF(AO74=2,断面设计!$B$44,0)))</f>
        <v>0.61035771418674445</v>
      </c>
      <c r="R74" s="58">
        <f>IF(AO74=0,断面设计!$E$8,IF(AO74=1,断面设计!$J$33,IF(AO74=2,断面设计!$D$44,0)))</f>
        <v>0.70474827215761959</v>
      </c>
      <c r="S74" s="58">
        <f>IF(AO74=0,断面设计!$F$8,IF(AO74=1,断面设计!$K$33,IF(AO74=2,断面设计!$D$44/断面设计!$E$44,0)))</f>
        <v>2.130349326053774</v>
      </c>
      <c r="T74" s="58">
        <f t="shared" si="54"/>
        <v>0.33081347905654718</v>
      </c>
      <c r="U74" s="58">
        <f t="shared" si="55"/>
        <v>0.58176801022124669</v>
      </c>
      <c r="V74" s="59">
        <f t="shared" si="57"/>
        <v>1.1010897877088536E-3</v>
      </c>
      <c r="W74" s="59"/>
      <c r="X74" s="59">
        <f>IF(AN74=0,IF(AN73=2,(H74-H73-AE73)/O74,(H74-H73)/O74),IF(AN74=1,IF(AN73=2,IF(AE74&lt;9,(H74-H73-AE74-AE73)/断面设计!$I$8,(H74-H73-AE74-AE73)/断面设计!$I$8),(H74-H73-AE74)/O73),(H74-H73)/O74))</f>
        <v>1.412469512273098E-2</v>
      </c>
      <c r="Y74" s="59">
        <f t="shared" si="125"/>
        <v>0</v>
      </c>
      <c r="Z74" s="58">
        <f t="shared" si="56"/>
        <v>0</v>
      </c>
      <c r="AA74" s="69"/>
      <c r="AB74" s="56">
        <f t="shared" si="33"/>
        <v>0.61035771418674445</v>
      </c>
      <c r="AC74" s="56">
        <f t="shared" ref="AC74:AC122" si="134">IF(AE74&lt;1,Y74+AA74+V74+X74,Y74+AA74+V74+X74+W74)</f>
        <v>1.5225784910439834E-2</v>
      </c>
      <c r="AD74" s="56">
        <f t="shared" si="34"/>
        <v>2420.0947418212954</v>
      </c>
      <c r="AE74" s="60">
        <f t="shared" si="35"/>
        <v>0</v>
      </c>
      <c r="AF74" s="56" t="str">
        <f t="shared" si="36"/>
        <v xml:space="preserve"> </v>
      </c>
      <c r="AG74" s="56" t="str">
        <f>IF(AE74=0," ",AF74-断面设计!$B$8)</f>
        <v xml:space="preserve"> </v>
      </c>
      <c r="AH74" s="56">
        <f t="shared" ref="AH74:AH122" si="135">IF(J74&lt;0.01," ",AD74+V74+J74/2/O74+J74/2/1000*Z74)</f>
        <v>2420.0975084787883</v>
      </c>
      <c r="AI74" s="56">
        <f t="shared" ref="AI74:AI122" si="136">IF(J74&lt;0.01," ",AH74-AB74)</f>
        <v>2419.4871507646017</v>
      </c>
      <c r="AJ74" s="56">
        <f t="shared" ref="AJ74:AJ122" si="137">IF(J74&lt;0.01," ",AD74-J74/2/O74-J74/2/1000*Z74)</f>
        <v>2420.0930762535904</v>
      </c>
      <c r="AK74" s="56">
        <f t="shared" ref="AK74:AK122" si="138">IF(J74&lt;0.01," ",AJ74-AB74)</f>
        <v>2419.4827185394038</v>
      </c>
      <c r="AL74" s="56">
        <f t="shared" ref="AL74:AL122" si="139">AM74+AB74</f>
        <v>2420.0947418212954</v>
      </c>
      <c r="AM74" s="56">
        <f t="shared" ref="AM74:AM122" si="140">IF(AN74=2,IF(AE74=0,AD74-AB74,AD74+W74-AB74),AD74-AB74+V74/2)</f>
        <v>2419.4843841071088</v>
      </c>
      <c r="AN74" s="74">
        <v>2</v>
      </c>
      <c r="AO74" s="74">
        <v>0</v>
      </c>
    </row>
    <row r="75" spans="1:42" s="20" customFormat="1" x14ac:dyDescent="0.2">
      <c r="A75" s="21"/>
      <c r="B75" s="43" t="str">
        <f>线路!B72</f>
        <v>IP54</v>
      </c>
      <c r="C75" s="44">
        <f>线路!E72</f>
        <v>455098.65919999999</v>
      </c>
      <c r="D75" s="44">
        <f>线路!F72</f>
        <v>3043548.9537</v>
      </c>
      <c r="E75" s="172">
        <f>线路!G72</f>
        <v>10</v>
      </c>
      <c r="F75" s="6">
        <f>线路!H72</f>
        <v>41.024000000000001</v>
      </c>
      <c r="G75" s="145">
        <f>线路!L72</f>
        <v>4660.931545279529</v>
      </c>
      <c r="H75" s="145">
        <f>线路!M72</f>
        <v>4664.5115646412196</v>
      </c>
      <c r="I75" s="145">
        <f>线路!N72</f>
        <v>4668.0915840029102</v>
      </c>
      <c r="J75" s="58">
        <f t="shared" si="132"/>
        <v>7.1600387233811489</v>
      </c>
      <c r="K75" s="58">
        <f t="shared" si="133"/>
        <v>37.812616721602353</v>
      </c>
      <c r="L75" s="58">
        <f>IF(AO75=0,断面设计!$C$8,IF(AO75=1,断面设计!$C$33,IF(AO75=2,断面设计!$C$44*2,0)))</f>
        <v>1.5524731620415944</v>
      </c>
      <c r="M75" s="7">
        <f>IF(AO75=0,断面设计!$D$8,0)</f>
        <v>0.24932800284318068</v>
      </c>
      <c r="N75" s="59">
        <f t="shared" si="75"/>
        <v>1.4999999999999999E-2</v>
      </c>
      <c r="O75" s="60">
        <f>IF(AO75=0,断面设计!$I$8,IF(AO75=1,断面设计!$N$33,IF(AO75=2,断面设计!$G$44,断面设计!$I$8)))</f>
        <v>3000</v>
      </c>
      <c r="P75" s="61">
        <f>IF(AO75=0,断面设计!$L$8,IF(AO75=1,断面设计!$S$33,IF(AO75=2,断面设计!$N$44,0)))</f>
        <v>0.41</v>
      </c>
      <c r="Q75" s="59">
        <f>IF(AO75=0,断面设计!$B$8,IF(AO75=1,断面设计!$B$33,IF(AO75=2,断面设计!$B$44,0)))</f>
        <v>0.61035771418674445</v>
      </c>
      <c r="R75" s="58">
        <f>IF(AO75=0,断面设计!$E$8,IF(AO75=1,断面设计!$J$33,IF(AO75=2,断面设计!$D$44,0)))</f>
        <v>0.70474827215761959</v>
      </c>
      <c r="S75" s="58">
        <f>IF(AO75=0,断面设计!$F$8,IF(AO75=1,断面设计!$K$33,IF(AO75=2,断面设计!$D$44/断面设计!$E$44,0)))</f>
        <v>2.130349326053774</v>
      </c>
      <c r="T75" s="58">
        <f t="shared" si="54"/>
        <v>0.33081347905654718</v>
      </c>
      <c r="U75" s="58">
        <f t="shared" si="55"/>
        <v>0.58176801022124669</v>
      </c>
      <c r="V75" s="59">
        <f t="shared" si="57"/>
        <v>7.8890473734611916E-4</v>
      </c>
      <c r="W75" s="59"/>
      <c r="X75" s="59">
        <f>IF(AN75=0,IF(AN74=2,(H75-H74-AE74)/O75,(H75-H74)/O75),IF(AN75=1,IF(AN74=2,IF(AE75&lt;9,(H75-H74-AE75-AE74)/断面设计!$I$8,(H75-H74-AE75-AE74)/断面设计!$I$8),(H75-H74-AE75)/O74),(H75-H74)/O75))</f>
        <v>1.260420557386745E-2</v>
      </c>
      <c r="Y75" s="59">
        <f t="shared" si="125"/>
        <v>0</v>
      </c>
      <c r="Z75" s="58">
        <f t="shared" si="56"/>
        <v>0</v>
      </c>
      <c r="AA75" s="69"/>
      <c r="AB75" s="56">
        <f t="shared" si="33"/>
        <v>0.61035771418674445</v>
      </c>
      <c r="AC75" s="56">
        <f t="shared" si="134"/>
        <v>1.339311031121357E-2</v>
      </c>
      <c r="AD75" s="56">
        <f t="shared" si="34"/>
        <v>2420.081348710984</v>
      </c>
      <c r="AE75" s="60">
        <f t="shared" si="35"/>
        <v>0</v>
      </c>
      <c r="AF75" s="56" t="str">
        <f t="shared" si="36"/>
        <v xml:space="preserve"> </v>
      </c>
      <c r="AG75" s="56" t="str">
        <f>IF(AE75=0," ",AF75-断面设计!$B$8)</f>
        <v xml:space="preserve"> </v>
      </c>
      <c r="AH75" s="56">
        <f t="shared" si="135"/>
        <v>2420.0833309555087</v>
      </c>
      <c r="AI75" s="56">
        <f t="shared" si="136"/>
        <v>2419.4729732413221</v>
      </c>
      <c r="AJ75" s="56">
        <f t="shared" si="137"/>
        <v>2420.0801553711967</v>
      </c>
      <c r="AK75" s="56">
        <f t="shared" si="138"/>
        <v>2419.4697976570101</v>
      </c>
      <c r="AL75" s="56">
        <f t="shared" si="139"/>
        <v>2420.0817431633527</v>
      </c>
      <c r="AM75" s="56">
        <f t="shared" si="140"/>
        <v>2419.4713854491661</v>
      </c>
      <c r="AN75" s="45"/>
      <c r="AO75" s="45">
        <v>0</v>
      </c>
      <c r="AP75" s="24"/>
    </row>
    <row r="76" spans="1:42" s="20" customFormat="1" x14ac:dyDescent="0.2">
      <c r="A76" s="21"/>
      <c r="B76" s="43" t="str">
        <f>线路!B73</f>
        <v>IP55</v>
      </c>
      <c r="C76" s="44">
        <f>线路!E73</f>
        <v>455071.1176</v>
      </c>
      <c r="D76" s="44">
        <f>线路!F73</f>
        <v>3043523.4054999999</v>
      </c>
      <c r="E76" s="172">
        <f>线路!G73</f>
        <v>10</v>
      </c>
      <c r="F76" s="6">
        <f>线路!H73</f>
        <v>54.869</v>
      </c>
      <c r="G76" s="145">
        <f>线路!L73</f>
        <v>4696.7258114403003</v>
      </c>
      <c r="H76" s="145">
        <f>线路!M73</f>
        <v>4701.5140349766843</v>
      </c>
      <c r="I76" s="145">
        <f>线路!N73</f>
        <v>4706.3022585130684</v>
      </c>
      <c r="J76" s="58">
        <f t="shared" si="132"/>
        <v>9.5764470727681328</v>
      </c>
      <c r="K76" s="58">
        <f t="shared" si="133"/>
        <v>37.00247033546475</v>
      </c>
      <c r="L76" s="58">
        <f>IF(AO76=0,断面设计!$C$8,IF(AO76=1,断面设计!$C$33,IF(AO76=2,断面设计!$C$44*2,0)))</f>
        <v>1.5524731620415944</v>
      </c>
      <c r="M76" s="7">
        <f>IF(AO76=0,断面设计!$D$8,0)</f>
        <v>0.24932800284318068</v>
      </c>
      <c r="N76" s="59">
        <f t="shared" ref="N76:N80" si="141">IF(AO76=0,0.015,0.014)</f>
        <v>1.4999999999999999E-2</v>
      </c>
      <c r="O76" s="60">
        <f>IF(AO76=0,断面设计!$I$8,IF(AO76=1,断面设计!$N$33,IF(AO76=2,断面设计!$G$44,断面设计!$I$8)))</f>
        <v>3000</v>
      </c>
      <c r="P76" s="61">
        <f>IF(AO76=0,断面设计!$L$8,IF(AO76=1,断面设计!$S$33,IF(AO76=2,断面设计!$N$44,0)))</f>
        <v>0.41</v>
      </c>
      <c r="Q76" s="59">
        <f>IF(AO76=0,断面设计!$B$8,IF(AO76=1,断面设计!$B$33,IF(AO76=2,断面设计!$B$44,0)))</f>
        <v>0.61035771418674445</v>
      </c>
      <c r="R76" s="58">
        <f>IF(AO76=0,断面设计!$E$8,IF(AO76=1,断面设计!$J$33,IF(AO76=2,断面设计!$D$44,0)))</f>
        <v>0.70474827215761959</v>
      </c>
      <c r="S76" s="58">
        <f>IF(AO76=0,断面设计!$F$8,IF(AO76=1,断面设计!$K$33,IF(AO76=2,断面设计!$D$44/断面设计!$E$44,0)))</f>
        <v>2.130349326053774</v>
      </c>
      <c r="T76" s="58">
        <f t="shared" ref="T76:T80" si="142">R76/S76</f>
        <v>0.33081347905654718</v>
      </c>
      <c r="U76" s="58">
        <f t="shared" ref="U76:U80" si="143">P76/R76</f>
        <v>0.58176801022124669</v>
      </c>
      <c r="V76" s="59">
        <f t="shared" ref="V76:V80" si="144">(I76-G76)*N76^2/T76^(4/3)*U76^2*3/4*((L76+Q76*M76*2*1.3)/E76)^0.5</f>
        <v>1.0551485480072293E-3</v>
      </c>
      <c r="W76" s="59"/>
      <c r="X76" s="59">
        <f>IF(AN76=0,IF(AN75=2,(H76-H75-AE75)/O76,(H76-H75)/O76),IF(AN76=1,IF(AN75=2,IF(AE76&lt;9,(H76-H75-AE76-AE75)/断面设计!$I$8,(H76-H75-AE76-AE75)/断面设计!$I$8),(H76-H75-AE76)/O75),(H76-H75)/O76))</f>
        <v>1.233415677848825E-2</v>
      </c>
      <c r="Y76" s="59">
        <f t="shared" si="125"/>
        <v>0</v>
      </c>
      <c r="Z76" s="58">
        <f t="shared" si="56"/>
        <v>0</v>
      </c>
      <c r="AA76" s="69"/>
      <c r="AB76" s="56">
        <f t="shared" ref="AB76:AB80" si="145">Q76</f>
        <v>0.61035771418674445</v>
      </c>
      <c r="AC76" s="56">
        <f t="shared" ref="AC76:AC80" si="146">IF(AE76&lt;1,Y76+AA76+V76+X76,Y76+AA76+V76+X76+W76)</f>
        <v>1.3389305326495479E-2</v>
      </c>
      <c r="AD76" s="56">
        <f t="shared" si="34"/>
        <v>2420.0679594056573</v>
      </c>
      <c r="AE76" s="60">
        <f t="shared" ref="AE76:AE80" si="147">IF(AO76=0,0,IF(AO76=2,IF(AN76=1,20,IF(AN76=0,0,25)),IF(AN76=1,15,IF(AN76=0,0,IF(AO76=3,20,20)))))</f>
        <v>0</v>
      </c>
      <c r="AF76" s="56" t="str">
        <f t="shared" ref="AF76:AF80" si="148">IF(AE76=0," ",IF(AN76=1,AD76+W76,AD76))</f>
        <v xml:space="preserve"> </v>
      </c>
      <c r="AG76" s="56" t="str">
        <f>IF(AE76=0," ",AF76-断面设计!$B$8)</f>
        <v xml:space="preserve"> </v>
      </c>
      <c r="AH76" s="56">
        <f t="shared" ref="AH76:AH80" si="149">IF(J76&lt;0.01," ",AD76+V76+J76/2/O76+J76/2/1000*Z76)</f>
        <v>2420.0706106287175</v>
      </c>
      <c r="AI76" s="56">
        <f t="shared" ref="AI76:AI80" si="150">IF(J76&lt;0.01," ",AH76-AB76)</f>
        <v>2419.4602529145309</v>
      </c>
      <c r="AJ76" s="56">
        <f t="shared" ref="AJ76:AJ80" si="151">IF(J76&lt;0.01," ",AD76-J76/2/O76-J76/2/1000*Z76)</f>
        <v>2420.0663633311451</v>
      </c>
      <c r="AK76" s="56">
        <f t="shared" ref="AK76:AK80" si="152">IF(J76&lt;0.01," ",AJ76-AB76)</f>
        <v>2419.4560056169585</v>
      </c>
      <c r="AL76" s="56">
        <f t="shared" ref="AL76:AL80" si="153">AM76+AB76</f>
        <v>2420.0684869799315</v>
      </c>
      <c r="AM76" s="56">
        <f t="shared" ref="AM76:AM80" si="154">IF(AN76=2,IF(AE76=0,AD76-AB76,AD76+W76-AB76),AD76-AB76+V76/2)</f>
        <v>2419.4581292657449</v>
      </c>
      <c r="AN76" s="45"/>
      <c r="AO76" s="45">
        <v>0</v>
      </c>
      <c r="AP76" s="24"/>
    </row>
    <row r="77" spans="1:42" s="20" customFormat="1" x14ac:dyDescent="0.2">
      <c r="A77" s="21"/>
      <c r="B77" s="43" t="str">
        <f>线路!B74</f>
        <v>IP56</v>
      </c>
      <c r="C77" s="44">
        <f>线路!E74</f>
        <v>455049.31959999999</v>
      </c>
      <c r="D77" s="44">
        <f>线路!F74</f>
        <v>3043528.0466</v>
      </c>
      <c r="E77" s="172">
        <f>线路!G74</f>
        <v>10</v>
      </c>
      <c r="F77" s="6">
        <f>线路!H74</f>
        <v>65.125</v>
      </c>
      <c r="G77" s="145">
        <f>线路!L74</f>
        <v>4717.0116620479075</v>
      </c>
      <c r="H77" s="145">
        <f>线路!M74</f>
        <v>4722.6948904247138</v>
      </c>
      <c r="I77" s="145">
        <f>线路!N74</f>
        <v>4728.3781188015209</v>
      </c>
      <c r="J77" s="58">
        <f t="shared" si="132"/>
        <v>11.36645675361342</v>
      </c>
      <c r="K77" s="58">
        <f t="shared" si="133"/>
        <v>21.180855448029433</v>
      </c>
      <c r="L77" s="58">
        <f>IF(AO77=0,断面设计!$C$8,IF(AO77=1,断面设计!$C$33,IF(AO77=2,断面设计!$C$44*2,0)))</f>
        <v>1.5524731620415944</v>
      </c>
      <c r="M77" s="7">
        <f>IF(AO77=0,断面设计!$D$8,0)</f>
        <v>0.24932800284318068</v>
      </c>
      <c r="N77" s="59">
        <f t="shared" si="141"/>
        <v>1.4999999999999999E-2</v>
      </c>
      <c r="O77" s="60">
        <f>IF(AO77=0,断面设计!$I$8,IF(AO77=1,断面设计!$N$33,IF(AO77=2,断面设计!$G$44,断面设计!$I$8)))</f>
        <v>3000</v>
      </c>
      <c r="P77" s="61">
        <f>IF(AO77=0,断面设计!$L$8,IF(AO77=1,断面设计!$S$33,IF(AO77=2,断面设计!$N$44,0)))</f>
        <v>0.41</v>
      </c>
      <c r="Q77" s="59">
        <f>IF(AO77=0,断面设计!$B$8,IF(AO77=1,断面设计!$B$33,IF(AO77=2,断面设计!$B$44,0)))</f>
        <v>0.61035771418674445</v>
      </c>
      <c r="R77" s="58">
        <f>IF(AO77=0,断面设计!$E$8,IF(AO77=1,断面设计!$J$33,IF(AO77=2,断面设计!$D$44,0)))</f>
        <v>0.70474827215761959</v>
      </c>
      <c r="S77" s="58">
        <f>IF(AO77=0,断面设计!$F$8,IF(AO77=1,断面设计!$K$33,IF(AO77=2,断面设计!$D$44/断面设计!$E$44,0)))</f>
        <v>2.130349326053774</v>
      </c>
      <c r="T77" s="58">
        <f t="shared" si="142"/>
        <v>0.33081347905654718</v>
      </c>
      <c r="U77" s="58">
        <f t="shared" si="143"/>
        <v>0.58176801022124669</v>
      </c>
      <c r="V77" s="59">
        <f t="shared" si="144"/>
        <v>1.2523747323437593E-3</v>
      </c>
      <c r="W77" s="59"/>
      <c r="X77" s="59">
        <f>IF(AN77=0,IF(AN76=2,(H77-H76-AE76)/O77,(H77-H76)/O77),IF(AN77=1,IF(AN76=2,IF(AE77&lt;9,(H77-H76-AE77-AE76)/断面设计!$I$8,(H77-H76-AE77-AE76)/断面设计!$I$8),(H77-H76-AE77)/O76),(H77-H76)/O77))</f>
        <v>7.0602851493431441E-3</v>
      </c>
      <c r="Y77" s="59">
        <f t="shared" si="125"/>
        <v>0</v>
      </c>
      <c r="Z77" s="58">
        <f t="shared" si="56"/>
        <v>0</v>
      </c>
      <c r="AA77" s="69"/>
      <c r="AB77" s="56">
        <f t="shared" si="145"/>
        <v>0.61035771418674445</v>
      </c>
      <c r="AC77" s="56">
        <f t="shared" si="146"/>
        <v>8.3126598816869041E-3</v>
      </c>
      <c r="AD77" s="56">
        <f t="shared" si="34"/>
        <v>2420.0596467457758</v>
      </c>
      <c r="AE77" s="60">
        <f t="shared" si="147"/>
        <v>0</v>
      </c>
      <c r="AF77" s="56" t="str">
        <f t="shared" si="148"/>
        <v xml:space="preserve"> </v>
      </c>
      <c r="AG77" s="56" t="str">
        <f>IF(AE77=0," ",AF77-断面设计!$B$8)</f>
        <v xml:space="preserve"> </v>
      </c>
      <c r="AH77" s="56">
        <f t="shared" si="149"/>
        <v>2420.0627935299672</v>
      </c>
      <c r="AI77" s="56">
        <f t="shared" si="150"/>
        <v>2419.4524358157805</v>
      </c>
      <c r="AJ77" s="56">
        <f t="shared" si="151"/>
        <v>2420.0577523363168</v>
      </c>
      <c r="AK77" s="56">
        <f t="shared" si="152"/>
        <v>2419.4473946221301</v>
      </c>
      <c r="AL77" s="56">
        <f t="shared" si="153"/>
        <v>2420.0602729331422</v>
      </c>
      <c r="AM77" s="56">
        <f t="shared" si="154"/>
        <v>2419.4499152189555</v>
      </c>
      <c r="AN77" s="45"/>
      <c r="AO77" s="45">
        <v>0</v>
      </c>
      <c r="AP77" s="24"/>
    </row>
    <row r="78" spans="1:42" s="213" customFormat="1" x14ac:dyDescent="0.2">
      <c r="A78" s="217"/>
      <c r="B78" s="218" t="str">
        <f>线路!B75</f>
        <v>4#斗门</v>
      </c>
      <c r="C78" s="208">
        <f>线路!E75</f>
        <v>455043.39390000002</v>
      </c>
      <c r="D78" s="208">
        <f>线路!F75</f>
        <v>3043520.1529000001</v>
      </c>
      <c r="E78" s="219">
        <f>线路!G75</f>
        <v>10</v>
      </c>
      <c r="F78" s="6">
        <f>线路!H75</f>
        <v>0</v>
      </c>
      <c r="G78" s="220">
        <f>线路!L75</f>
        <v>4731.8624509393085</v>
      </c>
      <c r="H78" s="220">
        <f>线路!M75</f>
        <v>4731.8624509393085</v>
      </c>
      <c r="I78" s="220">
        <f>线路!N75</f>
        <v>4731.8624509393085</v>
      </c>
      <c r="J78" s="221">
        <f t="shared" ref="J78:J80" si="155">I78-G78</f>
        <v>0</v>
      </c>
      <c r="K78" s="221">
        <f t="shared" ref="K78:K80" si="156">H78-H77</f>
        <v>9.1675605145946975</v>
      </c>
      <c r="L78" s="58">
        <f>IF(AO78=0,断面设计!$C$8,IF(AO78=1,断面设计!$C$33,IF(AO78=2,断面设计!$C$44*2,0)))</f>
        <v>1.5524731620415944</v>
      </c>
      <c r="M78" s="7">
        <f>IF(AO78=0,断面设计!$D$8,0)</f>
        <v>0.24932800284318068</v>
      </c>
      <c r="N78" s="222">
        <f t="shared" si="141"/>
        <v>1.4999999999999999E-2</v>
      </c>
      <c r="O78" s="60">
        <f>IF(AO78=0,断面设计!$I$8,IF(AO78=1,断面设计!$N$33,IF(AO78=2,断面设计!$G$44,断面设计!$I$8)))</f>
        <v>3000</v>
      </c>
      <c r="P78" s="61">
        <f>IF(AO78=0,断面设计!$L$8,IF(AO78=1,断面设计!$S$33,IF(AO78=2,断面设计!$N$44,0)))</f>
        <v>0.41</v>
      </c>
      <c r="Q78" s="59">
        <f>IF(AO78=0,断面设计!$B$8,IF(AO78=1,断面设计!$B$33,IF(AO78=2,断面设计!$B$44,0)))</f>
        <v>0.61035771418674445</v>
      </c>
      <c r="R78" s="58">
        <f>IF(AO78=0,断面设计!$E$8,IF(AO78=1,断面设计!$J$33,IF(AO78=2,断面设计!$D$44,0)))</f>
        <v>0.70474827215761959</v>
      </c>
      <c r="S78" s="58">
        <f>IF(AO78=0,断面设计!$F$8,IF(AO78=1,断面设计!$K$33,IF(AO78=2,断面设计!$D$44/断面设计!$E$44,0)))</f>
        <v>2.130349326053774</v>
      </c>
      <c r="T78" s="221">
        <f t="shared" si="142"/>
        <v>0.33081347905654718</v>
      </c>
      <c r="U78" s="221">
        <f t="shared" si="143"/>
        <v>0.58176801022124669</v>
      </c>
      <c r="V78" s="222">
        <f t="shared" si="144"/>
        <v>0</v>
      </c>
      <c r="W78" s="222"/>
      <c r="X78" s="222">
        <f>IF(AN78=0,IF(AN77=2,(H78-H77-AE77)/O78,(H78-H77)/O78),IF(AN78=1,IF(AN77=2,IF(AE78&lt;9,(H78-H77-AE78-AE77)/断面设计!$I$8,(H78-H77-AE78-AE77)/断面设计!$I$8),(H78-H77-AE78)/O77),(H78-H77)/O78))</f>
        <v>3.0558535048648993E-3</v>
      </c>
      <c r="Y78" s="222">
        <f t="shared" si="125"/>
        <v>0</v>
      </c>
      <c r="Z78" s="221">
        <f t="shared" si="56"/>
        <v>0</v>
      </c>
      <c r="AA78" s="224"/>
      <c r="AB78" s="225">
        <f t="shared" si="145"/>
        <v>0.61035771418674445</v>
      </c>
      <c r="AC78" s="225">
        <f t="shared" si="146"/>
        <v>3.0558535048648993E-3</v>
      </c>
      <c r="AD78" s="225">
        <f t="shared" ref="AD78:AD80" si="157">AD77-AC78</f>
        <v>2420.0565908922708</v>
      </c>
      <c r="AE78" s="223">
        <f t="shared" si="147"/>
        <v>0</v>
      </c>
      <c r="AF78" s="225" t="str">
        <f t="shared" si="148"/>
        <v xml:space="preserve"> </v>
      </c>
      <c r="AG78" s="225" t="str">
        <f>IF(AE78=0," ",AF78-断面设计!$B$8)</f>
        <v xml:space="preserve"> </v>
      </c>
      <c r="AH78" s="225" t="str">
        <f t="shared" si="149"/>
        <v xml:space="preserve"> </v>
      </c>
      <c r="AI78" s="225" t="str">
        <f t="shared" si="150"/>
        <v xml:space="preserve"> </v>
      </c>
      <c r="AJ78" s="225" t="str">
        <f t="shared" si="151"/>
        <v xml:space="preserve"> </v>
      </c>
      <c r="AK78" s="225" t="str">
        <f t="shared" si="152"/>
        <v xml:space="preserve"> </v>
      </c>
      <c r="AL78" s="225">
        <f t="shared" si="153"/>
        <v>2420.0565908922708</v>
      </c>
      <c r="AM78" s="225">
        <f t="shared" si="154"/>
        <v>2419.4462331780842</v>
      </c>
      <c r="AN78" s="226"/>
      <c r="AO78" s="226">
        <v>0</v>
      </c>
      <c r="AP78" s="227"/>
    </row>
    <row r="79" spans="1:42" s="20" customFormat="1" x14ac:dyDescent="0.2">
      <c r="A79" s="21"/>
      <c r="B79" s="43" t="str">
        <f>线路!B76</f>
        <v>IP57</v>
      </c>
      <c r="C79" s="44">
        <f>线路!E76</f>
        <v>455037.46830000001</v>
      </c>
      <c r="D79" s="44">
        <f>线路!F76</f>
        <v>3043512.2592000002</v>
      </c>
      <c r="E79" s="172">
        <f>线路!G76</f>
        <v>10</v>
      </c>
      <c r="F79" s="6">
        <f>线路!H76</f>
        <v>56.975000000000001</v>
      </c>
      <c r="G79" s="145">
        <f>线路!L76</f>
        <v>4736.3060393449668</v>
      </c>
      <c r="H79" s="145">
        <f>线路!M76</f>
        <v>4741.278046051586</v>
      </c>
      <c r="I79" s="145">
        <f>线路!N76</f>
        <v>4746.2500527582042</v>
      </c>
      <c r="J79" s="58">
        <f t="shared" si="155"/>
        <v>9.9440134132373714</v>
      </c>
      <c r="K79" s="58">
        <f t="shared" si="156"/>
        <v>9.415595112277515</v>
      </c>
      <c r="L79" s="58">
        <f>IF(AO79=0,断面设计!$C$8,IF(AO79=1,断面设计!$C$33,IF(AO79=2,断面设计!$C$44*2,0)))</f>
        <v>1.5524731620415944</v>
      </c>
      <c r="M79" s="7">
        <f>IF(AO79=0,断面设计!$D$8,0)</f>
        <v>0.24932800284318068</v>
      </c>
      <c r="N79" s="59">
        <f t="shared" si="141"/>
        <v>1.4999999999999999E-2</v>
      </c>
      <c r="O79" s="60">
        <f>IF(AO79=0,断面设计!$I$8,IF(AO79=1,断面设计!$N$33,IF(AO79=2,断面设计!$G$44,断面设计!$I$8)))</f>
        <v>3000</v>
      </c>
      <c r="P79" s="61">
        <f>IF(AO79=0,断面设计!$L$8,IF(AO79=1,断面设计!$S$33,IF(AO79=2,断面设计!$N$44,0)))</f>
        <v>0.41</v>
      </c>
      <c r="Q79" s="59">
        <f>IF(AO79=0,断面设计!$B$8,IF(AO79=1,断面设计!$B$33,IF(AO79=2,断面设计!$B$44,0)))</f>
        <v>0.61035771418674445</v>
      </c>
      <c r="R79" s="58">
        <f>IF(AO79=0,断面设计!$E$8,IF(AO79=1,断面设计!$J$33,IF(AO79=2,断面设计!$D$44,0)))</f>
        <v>0.70474827215761959</v>
      </c>
      <c r="S79" s="58">
        <f>IF(AO79=0,断面设计!$F$8,IF(AO79=1,断面设计!$K$33,IF(AO79=2,断面设计!$D$44/断面设计!$E$44,0)))</f>
        <v>2.130349326053774</v>
      </c>
      <c r="T79" s="58">
        <f t="shared" si="142"/>
        <v>0.33081347905654718</v>
      </c>
      <c r="U79" s="58">
        <f t="shared" si="143"/>
        <v>0.58176801022124669</v>
      </c>
      <c r="V79" s="59">
        <f t="shared" si="144"/>
        <v>1.0956476065302294E-3</v>
      </c>
      <c r="W79" s="59"/>
      <c r="X79" s="59">
        <f>IF(AN79=0,IF(AN78=2,(H79-H78-AE78)/O79,(H79-H78)/O79),IF(AN79=1,IF(AN78=2,IF(AE79&lt;9,(H79-H78-AE79-AE78)/断面设计!$I$8,(H79-H78-AE79-AE78)/断面设计!$I$8),(H79-H78-AE79)/O78),(H79-H78)/O79))</f>
        <v>3.1385317040925052E-3</v>
      </c>
      <c r="Y79" s="59">
        <f t="shared" si="125"/>
        <v>0</v>
      </c>
      <c r="Z79" s="58">
        <f t="shared" si="56"/>
        <v>0</v>
      </c>
      <c r="AA79" s="69"/>
      <c r="AB79" s="56">
        <f t="shared" si="145"/>
        <v>0.61035771418674445</v>
      </c>
      <c r="AC79" s="56">
        <f t="shared" si="146"/>
        <v>4.2341793106227344E-3</v>
      </c>
      <c r="AD79" s="56">
        <f t="shared" si="157"/>
        <v>2420.0523567129603</v>
      </c>
      <c r="AE79" s="60">
        <f t="shared" si="147"/>
        <v>0</v>
      </c>
      <c r="AF79" s="56" t="str">
        <f t="shared" si="148"/>
        <v xml:space="preserve"> </v>
      </c>
      <c r="AG79" s="56" t="str">
        <f>IF(AE79=0," ",AF79-断面设计!$B$8)</f>
        <v xml:space="preserve"> </v>
      </c>
      <c r="AH79" s="56">
        <f t="shared" si="149"/>
        <v>2420.0551096961358</v>
      </c>
      <c r="AI79" s="56">
        <f t="shared" si="150"/>
        <v>2419.4447519819491</v>
      </c>
      <c r="AJ79" s="56">
        <f t="shared" si="151"/>
        <v>2420.0506993773915</v>
      </c>
      <c r="AK79" s="56">
        <f t="shared" si="152"/>
        <v>2419.4403416632049</v>
      </c>
      <c r="AL79" s="56">
        <f t="shared" si="153"/>
        <v>2420.0529045367634</v>
      </c>
      <c r="AM79" s="56">
        <f t="shared" si="154"/>
        <v>2419.4425468225768</v>
      </c>
      <c r="AN79" s="45"/>
      <c r="AO79" s="45">
        <v>0</v>
      </c>
      <c r="AP79" s="24"/>
    </row>
    <row r="80" spans="1:42" s="20" customFormat="1" x14ac:dyDescent="0.2">
      <c r="A80" s="21"/>
      <c r="B80" s="43" t="str">
        <f>线路!B77</f>
        <v>IP58</v>
      </c>
      <c r="C80" s="44">
        <f>线路!E77</f>
        <v>455023.85950000002</v>
      </c>
      <c r="D80" s="44">
        <f>线路!F77</f>
        <v>3043513.1797000002</v>
      </c>
      <c r="E80" s="172">
        <f>线路!G77</f>
        <v>10</v>
      </c>
      <c r="F80" s="6">
        <f>线路!H77</f>
        <v>48.761000000000003</v>
      </c>
      <c r="G80" s="145">
        <f>线路!L77</f>
        <v>4749.9311179511888</v>
      </c>
      <c r="H80" s="145">
        <f>线路!M77</f>
        <v>4754.1863179340135</v>
      </c>
      <c r="I80" s="145">
        <f>线路!N77</f>
        <v>4758.4415179168382</v>
      </c>
      <c r="J80" s="58">
        <f t="shared" si="155"/>
        <v>8.5103999656494125</v>
      </c>
      <c r="K80" s="58">
        <f t="shared" si="156"/>
        <v>12.908271882427471</v>
      </c>
      <c r="L80" s="58">
        <f>IF(AO80=0,断面设计!$C$8,IF(AO80=1,断面设计!$C$33,IF(AO80=2,断面设计!$C$44*2,0)))</f>
        <v>1.5524731620415944</v>
      </c>
      <c r="M80" s="7">
        <f>IF(AO80=0,断面设计!$D$8,0)</f>
        <v>0.24932800284318068</v>
      </c>
      <c r="N80" s="59">
        <f t="shared" si="141"/>
        <v>1.4999999999999999E-2</v>
      </c>
      <c r="O80" s="60">
        <f>IF(AO80=0,断面设计!$I$8,IF(AO80=1,断面设计!$N$33,IF(AO80=2,断面设计!$G$44,断面设计!$I$8)))</f>
        <v>3000</v>
      </c>
      <c r="P80" s="61">
        <f>IF(AO80=0,断面设计!$L$8,IF(AO80=1,断面设计!$S$33,IF(AO80=2,断面设计!$N$44,0)))</f>
        <v>0.41</v>
      </c>
      <c r="Q80" s="59">
        <f>IF(AO80=0,断面设计!$B$8,IF(AO80=1,断面设计!$B$33,IF(AO80=2,断面设计!$B$44,0)))</f>
        <v>0.61035771418674445</v>
      </c>
      <c r="R80" s="58">
        <f>IF(AO80=0,断面设计!$E$8,IF(AO80=1,断面设计!$J$33,IF(AO80=2,断面设计!$D$44,0)))</f>
        <v>0.70474827215761959</v>
      </c>
      <c r="S80" s="58">
        <f>IF(AO80=0,断面设计!$F$8,IF(AO80=1,断面设计!$K$33,IF(AO80=2,断面设计!$D$44/断面设计!$E$44,0)))</f>
        <v>2.130349326053774</v>
      </c>
      <c r="T80" s="58">
        <f t="shared" si="142"/>
        <v>0.33081347905654718</v>
      </c>
      <c r="U80" s="58">
        <f t="shared" si="143"/>
        <v>0.58176801022124669</v>
      </c>
      <c r="V80" s="59">
        <f t="shared" si="144"/>
        <v>9.3768974009690868E-4</v>
      </c>
      <c r="W80" s="59"/>
      <c r="X80" s="59">
        <f>IF(AN80=0,IF(AN79=2,(H80-H79-AE79)/O80,(H80-H79)/O80),IF(AN80=1,IF(AN79=2,IF(AE80&lt;9,(H80-H79-AE80-AE79)/断面设计!$I$8,(H80-H79-AE80-AE79)/断面设计!$I$8),(H80-H79-AE80)/O79),(H80-H79)/O80))</f>
        <v>4.3027572941424898E-3</v>
      </c>
      <c r="Y80" s="59">
        <f t="shared" si="125"/>
        <v>0</v>
      </c>
      <c r="Z80" s="58">
        <f t="shared" si="56"/>
        <v>0</v>
      </c>
      <c r="AA80" s="69"/>
      <c r="AB80" s="56">
        <f t="shared" si="145"/>
        <v>0.61035771418674445</v>
      </c>
      <c r="AC80" s="56">
        <f t="shared" si="146"/>
        <v>5.2404470342393983E-3</v>
      </c>
      <c r="AD80" s="56">
        <f t="shared" si="157"/>
        <v>2420.047116265926</v>
      </c>
      <c r="AE80" s="60">
        <f t="shared" si="147"/>
        <v>0</v>
      </c>
      <c r="AF80" s="56" t="str">
        <f t="shared" si="148"/>
        <v xml:space="preserve"> </v>
      </c>
      <c r="AG80" s="56" t="str">
        <f>IF(AE80=0," ",AF80-断面设计!$B$8)</f>
        <v xml:space="preserve"> </v>
      </c>
      <c r="AH80" s="56">
        <f t="shared" si="149"/>
        <v>2420.0494723556603</v>
      </c>
      <c r="AI80" s="56">
        <f t="shared" si="150"/>
        <v>2419.4391146414737</v>
      </c>
      <c r="AJ80" s="56">
        <f t="shared" si="151"/>
        <v>2420.0456978659317</v>
      </c>
      <c r="AK80" s="56">
        <f t="shared" si="152"/>
        <v>2419.4353401517451</v>
      </c>
      <c r="AL80" s="56">
        <f t="shared" si="153"/>
        <v>2420.0475851107958</v>
      </c>
      <c r="AM80" s="56">
        <f t="shared" si="154"/>
        <v>2419.4372273966092</v>
      </c>
      <c r="AN80" s="45"/>
      <c r="AO80" s="45">
        <v>0</v>
      </c>
      <c r="AP80" s="24">
        <v>2420.0300000000002</v>
      </c>
    </row>
    <row r="81" spans="1:42" s="158" customFormat="1" x14ac:dyDescent="0.2">
      <c r="A81" s="163"/>
      <c r="B81" s="47" t="str">
        <f>线路!B78</f>
        <v>6#倒进</v>
      </c>
      <c r="C81" s="48">
        <f>线路!E78</f>
        <v>455020.64870000002</v>
      </c>
      <c r="D81" s="48">
        <f>线路!F78</f>
        <v>3043509.9810000001</v>
      </c>
      <c r="E81" s="173">
        <f>线路!G78</f>
        <v>10</v>
      </c>
      <c r="F81" s="6">
        <f>线路!H78</f>
        <v>0</v>
      </c>
      <c r="G81" s="146">
        <f>线路!L78</f>
        <v>4758.4416288042075</v>
      </c>
      <c r="H81" s="146">
        <f>线路!M78</f>
        <v>4758.4416288042075</v>
      </c>
      <c r="I81" s="146">
        <f>线路!N78</f>
        <v>4758.4416288042075</v>
      </c>
      <c r="J81" s="62">
        <f t="shared" si="94"/>
        <v>0</v>
      </c>
      <c r="K81" s="62">
        <f t="shared" si="95"/>
        <v>4.2553108701940801</v>
      </c>
      <c r="L81" s="58">
        <f>IF(AO81=0,断面设计!$C$8,IF(AO81=1,断面设计!$C$33,IF(AO81=2,断面设计!$C$44*2,0)))</f>
        <v>1.5524731620415944</v>
      </c>
      <c r="M81" s="7">
        <f>IF(AO81=0,断面设计!$D$8,0)</f>
        <v>0.24932800284318068</v>
      </c>
      <c r="N81" s="63">
        <f t="shared" si="75"/>
        <v>1.4999999999999999E-2</v>
      </c>
      <c r="O81" s="60">
        <f>IF(AO81=0,断面设计!$I$8,IF(AO81=1,断面设计!$N$33,IF(AO81=2,断面设计!$G$44,断面设计!$I$8)))</f>
        <v>3000</v>
      </c>
      <c r="P81" s="61">
        <f>IF(AO81=0,断面设计!$L$8,IF(AO81=1,断面设计!$S$33,IF(AO81=2,断面设计!$N$44,0)))</f>
        <v>0.41</v>
      </c>
      <c r="Q81" s="59">
        <f>IF(AO81=0,断面设计!$B$8,IF(AO81=1,断面设计!$B$33,IF(AO81=2,断面设计!$B$44,0)))</f>
        <v>0.61035771418674445</v>
      </c>
      <c r="R81" s="58">
        <f>IF(AO81=0,断面设计!$E$8,IF(AO81=1,断面设计!$J$33,IF(AO81=2,断面设计!$D$44,0)))</f>
        <v>0.70474827215761959</v>
      </c>
      <c r="S81" s="58">
        <f>IF(AO81=0,断面设计!$F$8,IF(AO81=1,断面设计!$K$33,IF(AO81=2,断面设计!$D$44/断面设计!$E$44,0)))</f>
        <v>2.130349326053774</v>
      </c>
      <c r="T81" s="62">
        <f t="shared" si="54"/>
        <v>0.33081347905654718</v>
      </c>
      <c r="U81" s="62">
        <f t="shared" si="55"/>
        <v>0.58176801022124669</v>
      </c>
      <c r="V81" s="63">
        <f t="shared" ref="V81" si="158">(I81-G81)*N81^2/T81^(4/3)*U81^2*3/4*((L81+Q81*M81*2*1.3)/E81)^0.5</f>
        <v>0</v>
      </c>
      <c r="W81" s="63"/>
      <c r="X81" s="63">
        <f>IF(AN81=0,IF(AN80=2,(H81-H80-AE80)/O81,(H81-H80)/O81),IF(AN81=1,IF(AN80=2,IF(AE81&lt;9,(H81-H80-AE81-AE80)/断面设计!$I$8,(H81-H80-AE81-AE80)/断面设计!$I$8),(H81-H80-AE81)/O80),(H81-H80)/O81))</f>
        <v>1.4184369567313601E-3</v>
      </c>
      <c r="Y81" s="63">
        <v>0</v>
      </c>
      <c r="Z81" s="62">
        <f t="shared" si="56"/>
        <v>0</v>
      </c>
      <c r="AA81" s="70"/>
      <c r="AB81" s="71">
        <f t="shared" si="33"/>
        <v>0.61035771418674445</v>
      </c>
      <c r="AC81" s="71">
        <f t="shared" si="134"/>
        <v>1.4184369567313601E-3</v>
      </c>
      <c r="AD81" s="71">
        <f t="shared" si="34"/>
        <v>2420.0456978289694</v>
      </c>
      <c r="AE81" s="64">
        <f t="shared" si="35"/>
        <v>0</v>
      </c>
      <c r="AF81" s="71" t="str">
        <f t="shared" si="36"/>
        <v xml:space="preserve"> </v>
      </c>
      <c r="AG81" s="71" t="str">
        <f>IF(AE81=0," ",AF81-断面设计!$B$8)</f>
        <v xml:space="preserve"> </v>
      </c>
      <c r="AH81" s="71" t="str">
        <f t="shared" si="135"/>
        <v xml:space="preserve"> </v>
      </c>
      <c r="AI81" s="71" t="str">
        <f t="shared" si="136"/>
        <v xml:space="preserve"> </v>
      </c>
      <c r="AJ81" s="71" t="str">
        <f t="shared" si="137"/>
        <v xml:space="preserve"> </v>
      </c>
      <c r="AK81" s="71" t="str">
        <f t="shared" si="138"/>
        <v xml:space="preserve"> </v>
      </c>
      <c r="AL81" s="71">
        <f t="shared" si="139"/>
        <v>2420.0456978289694</v>
      </c>
      <c r="AM81" s="71">
        <f t="shared" si="140"/>
        <v>2419.4353401147828</v>
      </c>
      <c r="AN81" s="74">
        <v>1</v>
      </c>
      <c r="AO81" s="74">
        <v>0</v>
      </c>
      <c r="AP81" s="160"/>
    </row>
    <row r="82" spans="1:42" s="158" customFormat="1" x14ac:dyDescent="0.2">
      <c r="A82" s="163"/>
      <c r="B82" s="47" t="str">
        <f>线路!B79</f>
        <v>IP59</v>
      </c>
      <c r="C82" s="48">
        <f>线路!E79</f>
        <v>455002.91600000003</v>
      </c>
      <c r="D82" s="48">
        <f>线路!F79</f>
        <v>3043492.3149000001</v>
      </c>
      <c r="E82" s="173">
        <f>线路!G79</f>
        <v>2.4</v>
      </c>
      <c r="F82" s="6">
        <f>线路!H79</f>
        <v>12.672000000000001</v>
      </c>
      <c r="G82" s="146">
        <f>线路!L79</f>
        <v>4783.2059157142212</v>
      </c>
      <c r="H82" s="146">
        <f>线路!M79</f>
        <v>4783.4713174615963</v>
      </c>
      <c r="I82" s="146">
        <f>线路!N79</f>
        <v>4783.7367192089714</v>
      </c>
      <c r="J82" s="62">
        <f t="shared" si="94"/>
        <v>0.53080349475021649</v>
      </c>
      <c r="K82" s="62">
        <f t="shared" si="95"/>
        <v>25.02968865738876</v>
      </c>
      <c r="L82" s="58">
        <f>IF(AO82=0,断面设计!$C$8,IF(AO82=1,断面设计!$C$33,IF(AO82=2,断面设计!$C$44*2,0)))</f>
        <v>1.5524731620415944</v>
      </c>
      <c r="M82" s="7">
        <f>IF(AO82=0,断面设计!$D$8,0)</f>
        <v>0.24932800284318068</v>
      </c>
      <c r="N82" s="63">
        <f t="shared" si="75"/>
        <v>1.4999999999999999E-2</v>
      </c>
      <c r="O82" s="60">
        <f>IF(AO82=0,断面设计!$I$8,IF(AO82=1,断面设计!$N$33,IF(AO82=2,断面设计!$G$44,断面设计!$I$8)))</f>
        <v>3000</v>
      </c>
      <c r="P82" s="61">
        <f>IF(AO82=0,断面设计!$L$8,IF(AO82=1,断面设计!$S$33,IF(AO82=2,断面设计!$N$44,0)))</f>
        <v>0.41</v>
      </c>
      <c r="Q82" s="59">
        <f>IF(AO82=0,断面设计!$B$8,IF(AO82=1,断面设计!$B$33,IF(AO82=2,断面设计!$B$44,0)))</f>
        <v>0.61035771418674445</v>
      </c>
      <c r="R82" s="58">
        <f>IF(AO82=0,断面设计!$E$8,IF(AO82=1,断面设计!$J$33,IF(AO82=2,断面设计!$D$44,0)))</f>
        <v>0.70474827215761959</v>
      </c>
      <c r="S82" s="58">
        <f>IF(AO82=0,断面设计!$F$8,IF(AO82=1,断面设计!$K$33,IF(AO82=2,断面设计!$D$44/断面设计!$E$44,0)))</f>
        <v>2.130349326053774</v>
      </c>
      <c r="T82" s="62">
        <f t="shared" si="54"/>
        <v>0.33081347905654718</v>
      </c>
      <c r="U82" s="62">
        <f t="shared" si="55"/>
        <v>0.58176801022124669</v>
      </c>
      <c r="V82" s="63"/>
      <c r="W82" s="63"/>
      <c r="X82" s="63"/>
      <c r="Y82" s="63"/>
      <c r="Z82" s="62"/>
      <c r="AA82" s="70"/>
      <c r="AB82" s="71"/>
      <c r="AC82" s="71"/>
      <c r="AD82" s="71"/>
      <c r="AE82" s="64"/>
      <c r="AF82" s="71"/>
      <c r="AG82" s="71"/>
      <c r="AH82" s="71"/>
      <c r="AI82" s="71"/>
      <c r="AJ82" s="71"/>
      <c r="AK82" s="71"/>
      <c r="AL82" s="71"/>
      <c r="AM82" s="71"/>
      <c r="AN82" s="74"/>
      <c r="AO82" s="74">
        <v>0</v>
      </c>
      <c r="AP82" s="160"/>
    </row>
    <row r="83" spans="1:42" s="158" customFormat="1" x14ac:dyDescent="0.2">
      <c r="A83" s="163"/>
      <c r="B83" s="47" t="str">
        <f>线路!B80</f>
        <v>IP60</v>
      </c>
      <c r="C83" s="48">
        <f>线路!E80</f>
        <v>454758.9106</v>
      </c>
      <c r="D83" s="48">
        <f>线路!F80</f>
        <v>3043338.5375000001</v>
      </c>
      <c r="E83" s="173">
        <f>线路!G80</f>
        <v>2.4</v>
      </c>
      <c r="F83" s="6">
        <f>线路!H80</f>
        <v>28.038</v>
      </c>
      <c r="G83" s="146">
        <f>线路!L80</f>
        <v>5071.2910454823805</v>
      </c>
      <c r="H83" s="146">
        <f>线路!M80</f>
        <v>5071.8782719811898</v>
      </c>
      <c r="I83" s="146">
        <f>线路!N80</f>
        <v>5072.4654984799981</v>
      </c>
      <c r="J83" s="62">
        <f t="shared" si="94"/>
        <v>1.1744529976176636</v>
      </c>
      <c r="K83" s="62">
        <f t="shared" si="95"/>
        <v>288.40695451959346</v>
      </c>
      <c r="L83" s="58">
        <f>IF(AO83=0,断面设计!$C$8,IF(AO83=1,断面设计!$C$33,IF(AO83=2,断面设计!$C$44*2,0)))</f>
        <v>1.5524731620415944</v>
      </c>
      <c r="M83" s="7">
        <f>IF(AO83=0,断面设计!$D$8,0)</f>
        <v>0.24932800284318068</v>
      </c>
      <c r="N83" s="63">
        <f t="shared" si="75"/>
        <v>1.4999999999999999E-2</v>
      </c>
      <c r="O83" s="60">
        <f>IF(AO83=0,断面设计!$I$8,IF(AO83=1,断面设计!$N$33,IF(AO83=2,断面设计!$G$44,断面设计!$I$8)))</f>
        <v>3000</v>
      </c>
      <c r="P83" s="61">
        <f>IF(AO83=0,断面设计!$L$8,IF(AO83=1,断面设计!$S$33,IF(AO83=2,断面设计!$N$44,0)))</f>
        <v>0.41</v>
      </c>
      <c r="Q83" s="59">
        <f>IF(AO83=0,断面设计!$B$8,IF(AO83=1,断面设计!$B$33,IF(AO83=2,断面设计!$B$44,0)))</f>
        <v>0.61035771418674445</v>
      </c>
      <c r="R83" s="58">
        <f>IF(AO83=0,断面设计!$E$8,IF(AO83=1,断面设计!$J$33,IF(AO83=2,断面设计!$D$44,0)))</f>
        <v>0.70474827215761959</v>
      </c>
      <c r="S83" s="58">
        <f>IF(AO83=0,断面设计!$F$8,IF(AO83=1,断面设计!$K$33,IF(AO83=2,断面设计!$D$44/断面设计!$E$44,0)))</f>
        <v>2.130349326053774</v>
      </c>
      <c r="T83" s="62">
        <f t="shared" si="54"/>
        <v>0.33081347905654718</v>
      </c>
      <c r="U83" s="62">
        <f t="shared" si="55"/>
        <v>0.58176801022124669</v>
      </c>
      <c r="V83" s="63"/>
      <c r="W83" s="63"/>
      <c r="X83" s="63"/>
      <c r="Y83" s="63"/>
      <c r="Z83" s="62"/>
      <c r="AA83" s="70"/>
      <c r="AB83" s="71"/>
      <c r="AC83" s="71"/>
      <c r="AD83" s="71"/>
      <c r="AE83" s="64"/>
      <c r="AF83" s="71"/>
      <c r="AG83" s="71"/>
      <c r="AH83" s="71"/>
      <c r="AI83" s="71"/>
      <c r="AJ83" s="71"/>
      <c r="AK83" s="71"/>
      <c r="AL83" s="71"/>
      <c r="AM83" s="71"/>
      <c r="AN83" s="74"/>
      <c r="AO83" s="74">
        <v>0</v>
      </c>
      <c r="AP83" s="160"/>
    </row>
    <row r="84" spans="1:42" s="158" customFormat="1" x14ac:dyDescent="0.2">
      <c r="A84" s="163"/>
      <c r="B84" s="47" t="str">
        <f>线路!B81</f>
        <v>IP61</v>
      </c>
      <c r="C84" s="48">
        <f>线路!E81</f>
        <v>454653.70679999999</v>
      </c>
      <c r="D84" s="48">
        <f>线路!F81</f>
        <v>3043154.4117000001</v>
      </c>
      <c r="E84" s="173">
        <f>线路!G81</f>
        <v>2.4</v>
      </c>
      <c r="F84" s="6">
        <f>线路!H81</f>
        <v>15.22</v>
      </c>
      <c r="G84" s="146">
        <f>线路!L81</f>
        <v>5283.6072761362739</v>
      </c>
      <c r="H84" s="146">
        <f>线路!M81</f>
        <v>5283.9260430708582</v>
      </c>
      <c r="I84" s="146">
        <f>线路!N81</f>
        <v>5284.2448100054426</v>
      </c>
      <c r="J84" s="62">
        <f t="shared" si="94"/>
        <v>0.63753386916869204</v>
      </c>
      <c r="K84" s="62">
        <f t="shared" si="95"/>
        <v>212.04777108966846</v>
      </c>
      <c r="L84" s="58">
        <f>IF(AO84=0,断面设计!$C$8,IF(AO84=1,断面设计!$C$33,IF(AO84=2,断面设计!$C$44*2,0)))</f>
        <v>1.5524731620415944</v>
      </c>
      <c r="M84" s="7">
        <f>IF(AO84=0,断面设计!$D$8,0)</f>
        <v>0.24932800284318068</v>
      </c>
      <c r="N84" s="63">
        <f t="shared" si="75"/>
        <v>1.4999999999999999E-2</v>
      </c>
      <c r="O84" s="60">
        <f>IF(AO84=0,断面设计!$I$8,IF(AO84=1,断面设计!$N$33,IF(AO84=2,断面设计!$G$44,断面设计!$I$8)))</f>
        <v>3000</v>
      </c>
      <c r="P84" s="61">
        <f>IF(AO84=0,断面设计!$L$8,IF(AO84=1,断面设计!$S$33,IF(AO84=2,断面设计!$N$44,0)))</f>
        <v>0.41</v>
      </c>
      <c r="Q84" s="59">
        <f>IF(AO84=0,断面设计!$B$8,IF(AO84=1,断面设计!$B$33,IF(AO84=2,断面设计!$B$44,0)))</f>
        <v>0.61035771418674445</v>
      </c>
      <c r="R84" s="58">
        <f>IF(AO84=0,断面设计!$E$8,IF(AO84=1,断面设计!$J$33,IF(AO84=2,断面设计!$D$44,0)))</f>
        <v>0.70474827215761959</v>
      </c>
      <c r="S84" s="58">
        <f>IF(AO84=0,断面设计!$F$8,IF(AO84=1,断面设计!$K$33,IF(AO84=2,断面设计!$D$44/断面设计!$E$44,0)))</f>
        <v>2.130349326053774</v>
      </c>
      <c r="T84" s="62">
        <f t="shared" si="54"/>
        <v>0.33081347905654718</v>
      </c>
      <c r="U84" s="62">
        <f t="shared" si="55"/>
        <v>0.58176801022124669</v>
      </c>
      <c r="V84" s="63"/>
      <c r="W84" s="63"/>
      <c r="X84" s="63"/>
      <c r="Y84" s="63"/>
      <c r="Z84" s="62"/>
      <c r="AA84" s="70"/>
      <c r="AB84" s="71"/>
      <c r="AC84" s="71"/>
      <c r="AD84" s="71"/>
      <c r="AE84" s="64"/>
      <c r="AF84" s="71"/>
      <c r="AG84" s="71"/>
      <c r="AH84" s="71"/>
      <c r="AI84" s="71"/>
      <c r="AJ84" s="71"/>
      <c r="AK84" s="71"/>
      <c r="AL84" s="71"/>
      <c r="AM84" s="71"/>
      <c r="AN84" s="74"/>
      <c r="AO84" s="74">
        <v>0</v>
      </c>
      <c r="AP84" s="160"/>
    </row>
    <row r="85" spans="1:42" s="158" customFormat="1" x14ac:dyDescent="0.2">
      <c r="A85" s="163"/>
      <c r="B85" s="47" t="str">
        <f>线路!B82</f>
        <v>6#倒出</v>
      </c>
      <c r="C85" s="48">
        <f>线路!E82</f>
        <v>454626.4522</v>
      </c>
      <c r="D85" s="48">
        <f>线路!F82</f>
        <v>3043049.1929000001</v>
      </c>
      <c r="E85" s="173">
        <f>线路!G82</f>
        <v>10</v>
      </c>
      <c r="F85" s="6">
        <f>线路!H82</f>
        <v>0</v>
      </c>
      <c r="G85" s="146">
        <f>线路!L82</f>
        <v>5392.6155031260814</v>
      </c>
      <c r="H85" s="146">
        <f>线路!M82</f>
        <v>5392.6155031260814</v>
      </c>
      <c r="I85" s="146">
        <f>线路!N82</f>
        <v>5392.6155031260814</v>
      </c>
      <c r="J85" s="62">
        <f t="shared" si="94"/>
        <v>0</v>
      </c>
      <c r="K85" s="62">
        <f t="shared" si="95"/>
        <v>108.68946005522321</v>
      </c>
      <c r="L85" s="58">
        <f>IF(AO85=0,断面设计!$C$8,IF(AO85=1,断面设计!$C$33,IF(AO85=2,断面设计!$C$44*2,0)))</f>
        <v>1.5524731620415944</v>
      </c>
      <c r="M85" s="7">
        <f>IF(AO85=0,断面设计!$D$8,0)</f>
        <v>0.24932800284318068</v>
      </c>
      <c r="N85" s="63">
        <f t="shared" si="75"/>
        <v>1.4999999999999999E-2</v>
      </c>
      <c r="O85" s="60">
        <f>IF(AO85=0,断面设计!$I$8,IF(AO85=1,断面设计!$N$33,IF(AO85=2,断面设计!$G$44,断面设计!$I$8)))</f>
        <v>3000</v>
      </c>
      <c r="P85" s="61">
        <f>IF(AO85=0,断面设计!$L$8,IF(AO85=1,断面设计!$S$33,IF(AO85=2,断面设计!$N$44,0)))</f>
        <v>0.41</v>
      </c>
      <c r="Q85" s="59">
        <f>IF(AO85=0,断面设计!$B$8,IF(AO85=1,断面设计!$B$33,IF(AO85=2,断面设计!$B$44,0)))</f>
        <v>0.61035771418674445</v>
      </c>
      <c r="R85" s="58">
        <f>IF(AO85=0,断面设计!$E$8,IF(AO85=1,断面设计!$J$33,IF(AO85=2,断面设计!$D$44,0)))</f>
        <v>0.70474827215761959</v>
      </c>
      <c r="S85" s="58">
        <f>IF(AO85=0,断面设计!$F$8,IF(AO85=1,断面设计!$K$33,IF(AO85=2,断面设计!$D$44/断面设计!$E$44,0)))</f>
        <v>2.130349326053774</v>
      </c>
      <c r="T85" s="62">
        <f t="shared" si="54"/>
        <v>0.33081347905654718</v>
      </c>
      <c r="U85" s="62">
        <f t="shared" si="55"/>
        <v>0.58176801022124669</v>
      </c>
      <c r="V85" s="63"/>
      <c r="W85" s="63"/>
      <c r="X85" s="63"/>
      <c r="Y85" s="63">
        <v>1.73</v>
      </c>
      <c r="Z85" s="62">
        <f t="shared" si="56"/>
        <v>0</v>
      </c>
      <c r="AA85" s="70"/>
      <c r="AB85" s="71">
        <f t="shared" ref="AB85" si="159">Q85</f>
        <v>0.61035771418674445</v>
      </c>
      <c r="AC85" s="71">
        <f t="shared" ref="AC85" si="160">IF(AE85&lt;1,Y85+AA85+V85+X85,Y85+AA85+V85+X85+W85)</f>
        <v>1.73</v>
      </c>
      <c r="AD85" s="71">
        <f>AD80-AC85</f>
        <v>2418.317116265926</v>
      </c>
      <c r="AE85" s="64">
        <f t="shared" ref="AE85" si="161">IF(AO85=0,0,IF(AO85=2,IF(AN85=1,20,IF(AN85=0,0,25)),IF(AN85=1,15,IF(AN85=0,0,IF(AO85=3,20,20)))))</f>
        <v>0</v>
      </c>
      <c r="AF85" s="71"/>
      <c r="AG85" s="71"/>
      <c r="AH85" s="71" t="str">
        <f t="shared" ref="AH85" si="162">IF(J85&lt;0.01," ",AD85+V85+J85/2/O85+J85/2/1000*Z85)</f>
        <v xml:space="preserve"> </v>
      </c>
      <c r="AI85" s="71" t="str">
        <f t="shared" ref="AI85" si="163">IF(J85&lt;0.01," ",AH85-AB85)</f>
        <v xml:space="preserve"> </v>
      </c>
      <c r="AJ85" s="71" t="str">
        <f t="shared" ref="AJ85" si="164">IF(J85&lt;0.01," ",AD85-J85/2/O85-J85/2/1000*Z85)</f>
        <v xml:space="preserve"> </v>
      </c>
      <c r="AK85" s="71" t="str">
        <f t="shared" ref="AK85" si="165">IF(J85&lt;0.01," ",AJ85-AB85)</f>
        <v xml:space="preserve"> </v>
      </c>
      <c r="AL85" s="71">
        <f t="shared" ref="AL85" si="166">AM85+AB85</f>
        <v>2418.317116265926</v>
      </c>
      <c r="AM85" s="71">
        <f t="shared" ref="AM85" si="167">IF(AN85=2,IF(AE85=0,AD85-AB85,AD85+W85-AB85),AD85-AB85+V85/2)</f>
        <v>2417.7067585517393</v>
      </c>
      <c r="AN85" s="74">
        <v>2</v>
      </c>
      <c r="AO85" s="74">
        <v>0</v>
      </c>
      <c r="AP85" s="160">
        <v>2418.31</v>
      </c>
    </row>
    <row r="86" spans="1:42" s="20" customFormat="1" x14ac:dyDescent="0.2">
      <c r="A86" s="21"/>
      <c r="B86" s="43" t="str">
        <f>线路!B83</f>
        <v>IP62</v>
      </c>
      <c r="C86" s="44">
        <f>线路!E83</f>
        <v>454625.34379999997</v>
      </c>
      <c r="D86" s="44">
        <f>线路!F83</f>
        <v>3043044.9139</v>
      </c>
      <c r="E86" s="172">
        <f>线路!G83</f>
        <v>10</v>
      </c>
      <c r="F86" s="6">
        <f>线路!H83</f>
        <v>47.694000000000003</v>
      </c>
      <c r="G86" s="145">
        <f>线路!L83</f>
        <v>5392.6154005782</v>
      </c>
      <c r="H86" s="145">
        <f>线路!M83</f>
        <v>5396.7774872454311</v>
      </c>
      <c r="I86" s="145">
        <f>线路!N83</f>
        <v>5400.9395739126621</v>
      </c>
      <c r="J86" s="58">
        <f t="shared" si="94"/>
        <v>8.3241733344621025</v>
      </c>
      <c r="K86" s="58">
        <f t="shared" si="95"/>
        <v>4.1619841193496541</v>
      </c>
      <c r="L86" s="58">
        <f>IF(AO86=0,断面设计!$C$8,IF(AO86=1,断面设计!$C$33,IF(AO86=2,断面设计!$C$44*2,0)))</f>
        <v>1.5524731620415944</v>
      </c>
      <c r="M86" s="7">
        <f>IF(AO86=0,断面设计!$D$8,0)</f>
        <v>0.24932800284318068</v>
      </c>
      <c r="N86" s="59">
        <f t="shared" si="75"/>
        <v>1.4999999999999999E-2</v>
      </c>
      <c r="O86" s="60">
        <f>IF(AO86=0,断面设计!$I$8,IF(AO86=1,断面设计!$N$33,IF(AO86=2,断面设计!$G$44,断面设计!$I$8)))</f>
        <v>3000</v>
      </c>
      <c r="P86" s="61">
        <f>IF(AO86=0,断面设计!$L$8,IF(AO86=1,断面设计!$S$33,IF(AO86=2,断面设计!$N$44,0)))</f>
        <v>0.41</v>
      </c>
      <c r="Q86" s="59">
        <f>IF(AO86=0,断面设计!$B$8,IF(AO86=1,断面设计!$B$33,IF(AO86=2,断面设计!$B$44,0)))</f>
        <v>0.61035771418674445</v>
      </c>
      <c r="R86" s="58">
        <f>IF(AO86=0,断面设计!$E$8,IF(AO86=1,断面设计!$J$33,IF(AO86=2,断面设计!$D$44,0)))</f>
        <v>0.70474827215761959</v>
      </c>
      <c r="S86" s="58">
        <f>IF(AO86=0,断面设计!$F$8,IF(AO86=1,断面设计!$K$33,IF(AO86=2,断面设计!$D$44/断面设计!$E$44,0)))</f>
        <v>2.130349326053774</v>
      </c>
      <c r="T86" s="58">
        <f t="shared" si="54"/>
        <v>0.33081347905654718</v>
      </c>
      <c r="U86" s="58">
        <f t="shared" si="55"/>
        <v>0.58176801022124669</v>
      </c>
      <c r="V86" s="59">
        <f t="shared" si="57"/>
        <v>9.1717098632482002E-4</v>
      </c>
      <c r="W86" s="59"/>
      <c r="X86" s="59">
        <f>IF(AN86=0,IF(AN85=2,(H86-H85-AE85)/O86,(H86-H85)/O86),IF(AN86=1,IF(AN85=2,IF(AE86&lt;9,(H86-H85-AE86-AE85)/断面设计!$I$8,(H86-H85-AE86-AE85)/断面设计!$I$8),(H86-H85-AE86)/O85),(H86-H85)/O86))</f>
        <v>1.3873280397832181E-3</v>
      </c>
      <c r="Y86" s="59">
        <f t="shared" ref="Y86:Y89" si="168">$Y$5</f>
        <v>0</v>
      </c>
      <c r="Z86" s="58">
        <f t="shared" si="56"/>
        <v>0</v>
      </c>
      <c r="AA86" s="69"/>
      <c r="AB86" s="56">
        <f t="shared" ref="AB86:AB90" si="169">Q86</f>
        <v>0.61035771418674445</v>
      </c>
      <c r="AC86" s="56">
        <f t="shared" si="134"/>
        <v>2.3044990261080383E-3</v>
      </c>
      <c r="AD86" s="56">
        <f t="shared" ref="AD86:AD87" si="170">AD85-AC86</f>
        <v>2418.3148117668998</v>
      </c>
      <c r="AE86" s="60">
        <f t="shared" ref="AE86:AE87" si="171">IF(AO86=0,0,IF(AO86=2,IF(AN86=1,20,IF(AN86=0,0,25)),IF(AN86=1,15,IF(AN86=0,0,IF(AO86=3,20,20)))))</f>
        <v>0</v>
      </c>
      <c r="AF86" s="56" t="str">
        <f t="shared" ref="AF86:AF90" si="172">IF(AE86=0," ",IF(AN86=1,AD86+W86,AD86))</f>
        <v xml:space="preserve"> </v>
      </c>
      <c r="AG86" s="56" t="str">
        <f>IF(AE86=0," ",AF86-断面设计!$B$8)</f>
        <v xml:space="preserve"> </v>
      </c>
      <c r="AH86" s="56">
        <f t="shared" si="135"/>
        <v>2418.3171163001084</v>
      </c>
      <c r="AI86" s="56">
        <f t="shared" si="136"/>
        <v>2417.7067585859218</v>
      </c>
      <c r="AJ86" s="56">
        <f t="shared" si="137"/>
        <v>2418.3134244046773</v>
      </c>
      <c r="AK86" s="56">
        <f t="shared" si="138"/>
        <v>2417.7030666904907</v>
      </c>
      <c r="AL86" s="56">
        <f t="shared" si="139"/>
        <v>2418.3152703523929</v>
      </c>
      <c r="AM86" s="56">
        <f t="shared" si="140"/>
        <v>2417.7049126382062</v>
      </c>
      <c r="AN86" s="45"/>
      <c r="AO86" s="45">
        <v>0</v>
      </c>
      <c r="AP86" s="24"/>
    </row>
    <row r="87" spans="1:42" s="20" customFormat="1" x14ac:dyDescent="0.2">
      <c r="A87" s="21"/>
      <c r="B87" s="43" t="str">
        <f>线路!B84</f>
        <v>IP63</v>
      </c>
      <c r="C87" s="44">
        <f>线路!E84</f>
        <v>454658.9804</v>
      </c>
      <c r="D87" s="44">
        <f>线路!F84</f>
        <v>3042993.4564999999</v>
      </c>
      <c r="E87" s="172">
        <f>线路!G84</f>
        <v>10</v>
      </c>
      <c r="F87" s="6">
        <f>线路!H84</f>
        <v>8.1449999999999996</v>
      </c>
      <c r="G87" s="145">
        <f>线路!L84</f>
        <v>5457.2831498798996</v>
      </c>
      <c r="H87" s="145">
        <f>线路!M84</f>
        <v>5457.9939352177744</v>
      </c>
      <c r="I87" s="145">
        <f>线路!N84</f>
        <v>5458.7047205556491</v>
      </c>
      <c r="J87" s="58">
        <f t="shared" si="94"/>
        <v>1.4215706757495354</v>
      </c>
      <c r="K87" s="58">
        <f t="shared" si="95"/>
        <v>61.216447972343303</v>
      </c>
      <c r="L87" s="58">
        <f>IF(AO87=0,断面设计!$C$8,IF(AO87=1,断面设计!$C$33,IF(AO87=2,断面设计!$C$44*2,0)))</f>
        <v>1.5524731620415944</v>
      </c>
      <c r="M87" s="7">
        <f>IF(AO87=0,断面设计!$D$8,0)</f>
        <v>0.24932800284318068</v>
      </c>
      <c r="N87" s="59">
        <f t="shared" si="75"/>
        <v>1.4999999999999999E-2</v>
      </c>
      <c r="O87" s="60">
        <f>IF(AO87=0,断面设计!$I$8,IF(AO87=1,断面设计!$N$33,IF(AO87=2,断面设计!$G$44,断面设计!$I$8)))</f>
        <v>3000</v>
      </c>
      <c r="P87" s="61">
        <f>IF(AO87=0,断面设计!$L$8,IF(AO87=1,断面设计!$S$33,IF(AO87=2,断面设计!$N$44,0)))</f>
        <v>0.41</v>
      </c>
      <c r="Q87" s="59">
        <f>IF(AO87=0,断面设计!$B$8,IF(AO87=1,断面设计!$B$33,IF(AO87=2,断面设计!$B$44,0)))</f>
        <v>0.61035771418674445</v>
      </c>
      <c r="R87" s="58">
        <f>IF(AO87=0,断面设计!$E$8,IF(AO87=1,断面设计!$J$33,IF(AO87=2,断面设计!$D$44,0)))</f>
        <v>0.70474827215761959</v>
      </c>
      <c r="S87" s="58">
        <f>IF(AO87=0,断面设计!$F$8,IF(AO87=1,断面设计!$K$33,IF(AO87=2,断面设计!$D$44/断面设计!$E$44,0)))</f>
        <v>2.130349326053774</v>
      </c>
      <c r="T87" s="58">
        <f t="shared" si="54"/>
        <v>0.33081347905654718</v>
      </c>
      <c r="U87" s="58">
        <f t="shared" si="55"/>
        <v>0.58176801022124669</v>
      </c>
      <c r="V87" s="59">
        <f t="shared" si="57"/>
        <v>1.566309742025445E-4</v>
      </c>
      <c r="W87" s="59"/>
      <c r="X87" s="59">
        <f>IF(AN87=0,IF(AN86=2,(H87-H86-AE86)/O87,(H87-H86)/O87),IF(AN87=1,IF(AN86=2,IF(AE87&lt;9,(H87-H86-AE87-AE86)/断面设计!$I$8,(H87-H86-AE87-AE86)/断面设计!$I$8),(H87-H86-AE87)/O86),(H87-H86)/O87))</f>
        <v>2.0405482657447769E-2</v>
      </c>
      <c r="Y87" s="59">
        <f t="shared" si="168"/>
        <v>0</v>
      </c>
      <c r="Z87" s="58">
        <f t="shared" si="56"/>
        <v>0</v>
      </c>
      <c r="AA87" s="69"/>
      <c r="AB87" s="56">
        <f t="shared" si="169"/>
        <v>0.61035771418674445</v>
      </c>
      <c r="AC87" s="56">
        <f t="shared" si="134"/>
        <v>2.0562113631650312E-2</v>
      </c>
      <c r="AD87" s="56">
        <f t="shared" si="170"/>
        <v>2418.2942496532683</v>
      </c>
      <c r="AE87" s="60">
        <f t="shared" si="171"/>
        <v>0</v>
      </c>
      <c r="AF87" s="56" t="str">
        <f t="shared" si="172"/>
        <v xml:space="preserve"> </v>
      </c>
      <c r="AG87" s="56" t="str">
        <f>IF(AE87=0," ",AF87-断面设计!$B$8)</f>
        <v xml:space="preserve"> </v>
      </c>
      <c r="AH87" s="56">
        <f t="shared" si="135"/>
        <v>2418.2946432126887</v>
      </c>
      <c r="AI87" s="56">
        <f t="shared" si="136"/>
        <v>2417.684285498502</v>
      </c>
      <c r="AJ87" s="56">
        <f t="shared" si="137"/>
        <v>2418.2940127248221</v>
      </c>
      <c r="AK87" s="56">
        <f t="shared" si="138"/>
        <v>2417.6836550106354</v>
      </c>
      <c r="AL87" s="56">
        <f t="shared" si="139"/>
        <v>2418.2943279687552</v>
      </c>
      <c r="AM87" s="56">
        <f t="shared" si="140"/>
        <v>2417.6839702545685</v>
      </c>
      <c r="AN87" s="45"/>
      <c r="AO87" s="45">
        <v>0</v>
      </c>
      <c r="AP87" s="24"/>
    </row>
    <row r="88" spans="1:42" s="20" customFormat="1" x14ac:dyDescent="0.2">
      <c r="A88" s="21"/>
      <c r="B88" s="43" t="str">
        <f>线路!B85</f>
        <v>IP64</v>
      </c>
      <c r="C88" s="44">
        <f>线路!E85</f>
        <v>454701.39870000002</v>
      </c>
      <c r="D88" s="44">
        <f>线路!F85</f>
        <v>3042902.6028</v>
      </c>
      <c r="E88" s="172">
        <f>线路!G85</f>
        <v>10</v>
      </c>
      <c r="F88" s="6">
        <f>线路!H85</f>
        <v>53.948999999999998</v>
      </c>
      <c r="G88" s="145">
        <f>线路!L85</f>
        <v>5553.1712613658447</v>
      </c>
      <c r="H88" s="145">
        <f>线路!M85</f>
        <v>5557.8791997566368</v>
      </c>
      <c r="I88" s="145">
        <f>线路!N85</f>
        <v>5562.587138147429</v>
      </c>
      <c r="J88" s="58">
        <f t="shared" ref="J88:J89" si="173">I88-G88</f>
        <v>9.4158767815843021</v>
      </c>
      <c r="K88" s="58">
        <f t="shared" ref="K88:K89" si="174">H88-H87</f>
        <v>99.88526453886243</v>
      </c>
      <c r="L88" s="58">
        <f>IF(AO88=0,断面设计!$C$8,IF(AO88=1,断面设计!$C$33,IF(AO88=2,断面设计!$C$44*2,0)))</f>
        <v>1.5524731620415944</v>
      </c>
      <c r="M88" s="7">
        <f>IF(AO88=0,断面设计!$D$8,0)</f>
        <v>0.24932800284318068</v>
      </c>
      <c r="N88" s="59">
        <f t="shared" ref="N88:N89" si="175">IF(AO88=0,0.015,0.014)</f>
        <v>1.4999999999999999E-2</v>
      </c>
      <c r="O88" s="60">
        <f>IF(AO88=0,断面设计!$I$8,IF(AO88=1,断面设计!$N$33,IF(AO88=2,断面设计!$G$44,断面设计!$I$8)))</f>
        <v>3000</v>
      </c>
      <c r="P88" s="61">
        <f>IF(AO88=0,断面设计!$L$8,IF(AO88=1,断面设计!$S$33,IF(AO88=2,断面设计!$N$44,0)))</f>
        <v>0.41</v>
      </c>
      <c r="Q88" s="59">
        <f>IF(AO88=0,断面设计!$B$8,IF(AO88=1,断面设计!$B$33,IF(AO88=2,断面设计!$B$44,0)))</f>
        <v>0.61035771418674445</v>
      </c>
      <c r="R88" s="58">
        <f>IF(AO88=0,断面设计!$E$8,IF(AO88=1,断面设计!$J$33,IF(AO88=2,断面设计!$D$44,0)))</f>
        <v>0.70474827215761959</v>
      </c>
      <c r="S88" s="58">
        <f>IF(AO88=0,断面设计!$F$8,IF(AO88=1,断面设计!$K$33,IF(AO88=2,断面设计!$D$44/断面设计!$E$44,0)))</f>
        <v>2.130349326053774</v>
      </c>
      <c r="T88" s="58">
        <f t="shared" ref="T88:T89" si="176">R88/S88</f>
        <v>0.33081347905654718</v>
      </c>
      <c r="U88" s="58">
        <f t="shared" ref="U88:U89" si="177">P88/R88</f>
        <v>0.58176801022124669</v>
      </c>
      <c r="V88" s="59">
        <f t="shared" ref="V88:V89" si="178">(I88-G88)*N88^2/T88^(4/3)*U88^2*3/4*((L88+Q88*M88*2*1.3)/E88)^0.5</f>
        <v>1.0374566515963465E-3</v>
      </c>
      <c r="W88" s="59"/>
      <c r="X88" s="59">
        <f>IF(AN88=0,IF(AN87=2,(H88-H87-AE87)/O88,(H88-H87)/O88),IF(AN88=1,IF(AN87=2,IF(AE88&lt;9,(H88-H87-AE88-AE87)/断面设计!$I$8,(H88-H87-AE88-AE87)/断面设计!$I$8),(H88-H87-AE88)/O87),(H88-H87)/O88))</f>
        <v>3.3295088179620812E-2</v>
      </c>
      <c r="Y88" s="59">
        <f t="shared" si="168"/>
        <v>0</v>
      </c>
      <c r="Z88" s="58">
        <f t="shared" si="56"/>
        <v>0</v>
      </c>
      <c r="AA88" s="69"/>
      <c r="AB88" s="56">
        <f t="shared" ref="AB88:AB89" si="179">Q88</f>
        <v>0.61035771418674445</v>
      </c>
      <c r="AC88" s="56">
        <f t="shared" ref="AC88:AC89" si="180">IF(AE88&lt;1,Y88+AA88+V88+X88,Y88+AA88+V88+X88+W88)</f>
        <v>3.4332544831217157E-2</v>
      </c>
      <c r="AD88" s="56">
        <f t="shared" ref="AD88:AD89" si="181">AD87-AC88</f>
        <v>2418.2599171084371</v>
      </c>
      <c r="AE88" s="60">
        <f t="shared" ref="AE88:AE89" si="182">IF(AO88=0,0,IF(AO88=2,IF(AN88=1,20,IF(AN88=0,0,25)),IF(AN88=1,15,IF(AN88=0,0,IF(AO88=3,20,20)))))</f>
        <v>0</v>
      </c>
      <c r="AF88" s="56" t="str">
        <f t="shared" ref="AF88:AF89" si="183">IF(AE88=0," ",IF(AN88=1,AD88+W88,AD88))</f>
        <v xml:space="preserve"> </v>
      </c>
      <c r="AG88" s="56" t="str">
        <f>IF(AE88=0," ",AF88-断面设计!$B$8)</f>
        <v xml:space="preserve"> </v>
      </c>
      <c r="AH88" s="56">
        <f t="shared" ref="AH88:AH89" si="184">IF(J88&lt;0.01," ",AD88+V88+J88/2/O88+J88/2/1000*Z88)</f>
        <v>2418.2625238778855</v>
      </c>
      <c r="AI88" s="56">
        <f t="shared" ref="AI88:AI89" si="185">IF(J88&lt;0.01," ",AH88-AB88)</f>
        <v>2417.6521661636989</v>
      </c>
      <c r="AJ88" s="56">
        <f t="shared" ref="AJ88:AJ89" si="186">IF(J88&lt;0.01," ",AD88-J88/2/O88-J88/2/1000*Z88)</f>
        <v>2418.25834779564</v>
      </c>
      <c r="AK88" s="56">
        <f t="shared" ref="AK88:AK89" si="187">IF(J88&lt;0.01," ",AJ88-AB88)</f>
        <v>2417.6479900814534</v>
      </c>
      <c r="AL88" s="56">
        <f t="shared" ref="AL88:AL89" si="188">AM88+AB88</f>
        <v>2418.260435836763</v>
      </c>
      <c r="AM88" s="56">
        <f t="shared" ref="AM88:AM89" si="189">IF(AN88=2,IF(AE88=0,AD88-AB88,AD88+W88-AB88),AD88-AB88+V88/2)</f>
        <v>2417.6500781225764</v>
      </c>
      <c r="AN88" s="45"/>
      <c r="AO88" s="45">
        <v>0</v>
      </c>
      <c r="AP88" s="24">
        <v>2418.25</v>
      </c>
    </row>
    <row r="89" spans="1:42" s="213" customFormat="1" x14ac:dyDescent="0.2">
      <c r="A89" s="217"/>
      <c r="B89" s="218" t="str">
        <f>线路!B86</f>
        <v>5#斗门</v>
      </c>
      <c r="C89" s="208">
        <f>线路!E86</f>
        <v>454693.6153</v>
      </c>
      <c r="D89" s="208">
        <f>线路!F86</f>
        <v>3042888.5156999999</v>
      </c>
      <c r="E89" s="219">
        <f>线路!G86</f>
        <v>10</v>
      </c>
      <c r="F89" s="6">
        <f>线路!H86</f>
        <v>0</v>
      </c>
      <c r="G89" s="220">
        <f>线路!L86</f>
        <v>5573.5918259914097</v>
      </c>
      <c r="H89" s="220">
        <f>线路!M86</f>
        <v>5573.5918259914097</v>
      </c>
      <c r="I89" s="220">
        <f>线路!N86</f>
        <v>5573.5918259914097</v>
      </c>
      <c r="J89" s="221">
        <f t="shared" si="173"/>
        <v>0</v>
      </c>
      <c r="K89" s="221">
        <f t="shared" si="174"/>
        <v>15.71262623477287</v>
      </c>
      <c r="L89" s="58">
        <f>IF(AO89=0,断面设计!$C$8,IF(AO89=1,断面设计!$C$33,IF(AO89=2,断面设计!$C$44*2,0)))</f>
        <v>1.5524731620415944</v>
      </c>
      <c r="M89" s="7">
        <f>IF(AO89=0,断面设计!$D$8,0)</f>
        <v>0.24932800284318068</v>
      </c>
      <c r="N89" s="222">
        <f t="shared" si="175"/>
        <v>1.4999999999999999E-2</v>
      </c>
      <c r="O89" s="60">
        <f>IF(AO89=0,断面设计!$I$8,IF(AO89=1,断面设计!$N$33,IF(AO89=2,断面设计!$G$44,断面设计!$I$8)))</f>
        <v>3000</v>
      </c>
      <c r="P89" s="61">
        <f>IF(AO89=0,断面设计!$L$8,IF(AO89=1,断面设计!$S$33,IF(AO89=2,断面设计!$N$44,0)))</f>
        <v>0.41</v>
      </c>
      <c r="Q89" s="59">
        <f>IF(AO89=0,断面设计!$B$8,IF(AO89=1,断面设计!$B$33,IF(AO89=2,断面设计!$B$44,0)))</f>
        <v>0.61035771418674445</v>
      </c>
      <c r="R89" s="58">
        <f>IF(AO89=0,断面设计!$E$8,IF(AO89=1,断面设计!$J$33,IF(AO89=2,断面设计!$D$44,0)))</f>
        <v>0.70474827215761959</v>
      </c>
      <c r="S89" s="58">
        <f>IF(AO89=0,断面设计!$F$8,IF(AO89=1,断面设计!$K$33,IF(AO89=2,断面设计!$D$44/断面设计!$E$44,0)))</f>
        <v>2.130349326053774</v>
      </c>
      <c r="T89" s="221">
        <f t="shared" si="176"/>
        <v>0.33081347905654718</v>
      </c>
      <c r="U89" s="221">
        <f t="shared" si="177"/>
        <v>0.58176801022124669</v>
      </c>
      <c r="V89" s="222">
        <f t="shared" si="178"/>
        <v>0</v>
      </c>
      <c r="W89" s="222"/>
      <c r="X89" s="222">
        <f>IF(AN89=0,IF(AN88=2,(H89-H88-AE88)/O89,(H89-H88)/O89),IF(AN89=1,IF(AN88=2,IF(AE89&lt;9,(H89-H88-AE89-AE88)/断面设计!$I$8,(H89-H88-AE89-AE88)/断面设计!$I$8),(H89-H88-AE89)/O88),(H89-H88)/O89))</f>
        <v>5.237542078257623E-3</v>
      </c>
      <c r="Y89" s="222">
        <f t="shared" si="168"/>
        <v>0</v>
      </c>
      <c r="Z89" s="221">
        <f t="shared" si="56"/>
        <v>0</v>
      </c>
      <c r="AA89" s="224"/>
      <c r="AB89" s="225">
        <f t="shared" si="179"/>
        <v>0.61035771418674445</v>
      </c>
      <c r="AC89" s="225">
        <f t="shared" si="180"/>
        <v>5.237542078257623E-3</v>
      </c>
      <c r="AD89" s="225">
        <f t="shared" si="181"/>
        <v>2418.2546795663588</v>
      </c>
      <c r="AE89" s="223">
        <f t="shared" si="182"/>
        <v>0</v>
      </c>
      <c r="AF89" s="225" t="str">
        <f t="shared" si="183"/>
        <v xml:space="preserve"> </v>
      </c>
      <c r="AG89" s="225" t="str">
        <f>IF(AE89=0," ",AF89-断面设计!$B$8)</f>
        <v xml:space="preserve"> </v>
      </c>
      <c r="AH89" s="225" t="str">
        <f t="shared" si="184"/>
        <v xml:space="preserve"> </v>
      </c>
      <c r="AI89" s="225" t="str">
        <f t="shared" si="185"/>
        <v xml:space="preserve"> </v>
      </c>
      <c r="AJ89" s="225" t="str">
        <f t="shared" si="186"/>
        <v xml:space="preserve"> </v>
      </c>
      <c r="AK89" s="225" t="str">
        <f t="shared" si="187"/>
        <v xml:space="preserve"> </v>
      </c>
      <c r="AL89" s="225">
        <f t="shared" si="188"/>
        <v>2418.2546795663588</v>
      </c>
      <c r="AM89" s="225">
        <f t="shared" si="189"/>
        <v>2417.6443218521722</v>
      </c>
      <c r="AN89" s="226"/>
      <c r="AO89" s="226">
        <v>0</v>
      </c>
      <c r="AP89" s="227"/>
    </row>
    <row r="90" spans="1:42" s="166" customFormat="1" x14ac:dyDescent="0.2">
      <c r="A90" s="164"/>
      <c r="B90" s="147" t="str">
        <f>线路!B87</f>
        <v>2#隧进</v>
      </c>
      <c r="C90" s="148">
        <f>线路!E87</f>
        <v>454679.83159999998</v>
      </c>
      <c r="D90" s="148">
        <f>线路!F87</f>
        <v>3042863.5690000001</v>
      </c>
      <c r="E90" s="174">
        <f>线路!G87</f>
        <v>10</v>
      </c>
      <c r="F90" s="6">
        <f>线路!H87</f>
        <v>0</v>
      </c>
      <c r="G90" s="149">
        <f>线路!L87</f>
        <v>5602.0931983542932</v>
      </c>
      <c r="H90" s="149">
        <f>线路!M87</f>
        <v>5602.0931983542932</v>
      </c>
      <c r="I90" s="149">
        <f>线路!N87</f>
        <v>5602.0931983542932</v>
      </c>
      <c r="J90" s="150">
        <f t="shared" si="94"/>
        <v>0</v>
      </c>
      <c r="K90" s="150">
        <f>H90-H88</f>
        <v>44.213998597656428</v>
      </c>
      <c r="L90" s="58">
        <f>IF(AO90=0,断面设计!$C$8,IF(AO90=1,断面设计!$C$33,IF(AO90=2,断面设计!$C$44*2,0)))</f>
        <v>1.8</v>
      </c>
      <c r="M90" s="7">
        <f>IF(AO90=0,断面设计!$D$8,0)</f>
        <v>0</v>
      </c>
      <c r="N90" s="151">
        <f t="shared" si="75"/>
        <v>1.4E-2</v>
      </c>
      <c r="O90" s="60">
        <f>IF(AO90=0,断面设计!$I$8,IF(AO90=1,断面设计!$N$33,IF(AO90=2,断面设计!$G$44,断面设计!$I$8)))</f>
        <v>7000</v>
      </c>
      <c r="P90" s="61">
        <f>IF(AO90=0,断面设计!$L$8,IF(AO90=1,断面设计!$S$33,IF(AO90=2,断面设计!$N$44,0)))</f>
        <v>0.41</v>
      </c>
      <c r="Q90" s="59">
        <f>IF(AO90=0,断面设计!$B$8,IF(AO90=1,断面设计!$B$33,IF(AO90=2,断面设计!$B$44,0)))</f>
        <v>0.54746804082763056</v>
      </c>
      <c r="R90" s="58">
        <f>IF(AO90=0,断面设计!$E$8,IF(AO90=1,断面设计!$J$33,IF(AO90=2,断面设计!$D$44,0)))</f>
        <v>0.98544247348973502</v>
      </c>
      <c r="S90" s="58">
        <f>IF(AO90=0,断面设计!$F$8,IF(AO90=1,断面设计!$K$33,IF(AO90=2,断面设计!$D$44/断面设计!$E$44,0)))</f>
        <v>2.8949360816552612</v>
      </c>
      <c r="T90" s="150">
        <f t="shared" si="54"/>
        <v>0.34040215248078309</v>
      </c>
      <c r="U90" s="150">
        <f t="shared" si="55"/>
        <v>0.41605675727378805</v>
      </c>
      <c r="V90" s="151">
        <f t="shared" si="57"/>
        <v>0</v>
      </c>
      <c r="W90" s="151">
        <f>1.15*(U90^2/2-U88^2/2)/9.81</f>
        <v>-9.6918150514857335E-3</v>
      </c>
      <c r="X90" s="151">
        <f>IF(AN90=0,IF(AN88=2,(H90-H88-AE88)/O90,(H90-H88)/O90),IF(AN90=1,IF(AN88=2,IF(AE90&lt;9,(H90-H88-AE90-AE88)/断面设计!$I$8,(H90-H88-AE90-AE88)/断面设计!$I$8),(H90-H88-AE90)/O88),(H90-H88)/O90))</f>
        <v>1.3071332865885476E-2</v>
      </c>
      <c r="Y90" s="151">
        <v>0</v>
      </c>
      <c r="Z90" s="150">
        <f>Z88</f>
        <v>0</v>
      </c>
      <c r="AA90" s="153"/>
      <c r="AB90" s="154">
        <f t="shared" si="169"/>
        <v>0.54746804082763056</v>
      </c>
      <c r="AC90" s="56">
        <f t="shared" si="134"/>
        <v>3.3795178143997424E-3</v>
      </c>
      <c r="AD90" s="154">
        <f>AD88-AC90</f>
        <v>2418.2565375906229</v>
      </c>
      <c r="AE90" s="152">
        <v>5</v>
      </c>
      <c r="AF90" s="154">
        <f t="shared" si="172"/>
        <v>2418.2468457755713</v>
      </c>
      <c r="AG90" s="154">
        <f>IF(AE90=0," ",AF90-断面设计!$B$8)</f>
        <v>2417.6364880613846</v>
      </c>
      <c r="AH90" s="56" t="str">
        <f t="shared" si="135"/>
        <v xml:space="preserve"> </v>
      </c>
      <c r="AI90" s="56" t="str">
        <f t="shared" si="136"/>
        <v xml:space="preserve"> </v>
      </c>
      <c r="AJ90" s="56" t="str">
        <f t="shared" si="137"/>
        <v xml:space="preserve"> </v>
      </c>
      <c r="AK90" s="56" t="str">
        <f t="shared" si="138"/>
        <v xml:space="preserve"> </v>
      </c>
      <c r="AL90" s="56">
        <f t="shared" si="139"/>
        <v>2418.2565375906229</v>
      </c>
      <c r="AM90" s="56">
        <f t="shared" si="140"/>
        <v>2417.7090695497955</v>
      </c>
      <c r="AN90" s="155">
        <v>1</v>
      </c>
      <c r="AO90" s="155">
        <v>1</v>
      </c>
      <c r="AP90" s="165"/>
    </row>
    <row r="91" spans="1:42" s="166" customFormat="1" x14ac:dyDescent="0.2">
      <c r="B91" s="147" t="str">
        <f>线路!B88</f>
        <v>2#隧出</v>
      </c>
      <c r="C91" s="148">
        <f>线路!E88</f>
        <v>454549.72279999999</v>
      </c>
      <c r="D91" s="148">
        <f>线路!F88</f>
        <v>3042628.0880999998</v>
      </c>
      <c r="E91" s="174">
        <f>线路!G88</f>
        <v>10</v>
      </c>
      <c r="F91" s="6">
        <f>线路!H88</f>
        <v>0</v>
      </c>
      <c r="G91" s="149">
        <f>线路!L88</f>
        <v>5871.1276833230331</v>
      </c>
      <c r="H91" s="149">
        <f>线路!M88</f>
        <v>5871.1276833230331</v>
      </c>
      <c r="I91" s="149">
        <f>线路!N88</f>
        <v>5871.1276833230331</v>
      </c>
      <c r="J91" s="150">
        <f t="shared" ref="J91:J113" si="190">I91-G91</f>
        <v>0</v>
      </c>
      <c r="K91" s="150">
        <f t="shared" ref="K91:K113" si="191">H91-H90</f>
        <v>269.03448496873989</v>
      </c>
      <c r="L91" s="58">
        <f>IF(AO91=0,断面设计!$C$8,IF(AO91=1,断面设计!$C$33,IF(AO91=2,断面设计!$C$44*2,0)))</f>
        <v>1.8</v>
      </c>
      <c r="M91" s="7">
        <f>IF(AO91=0,断面设计!$D$8,0)</f>
        <v>0</v>
      </c>
      <c r="N91" s="151">
        <f t="shared" ref="N91:N113" si="192">IF(AO91=0,0.015,0.014)</f>
        <v>1.4E-2</v>
      </c>
      <c r="O91" s="60">
        <f>IF(AO91=0,断面设计!$I$8,IF(AO91=1,断面设计!$N$33,IF(AO91=2,断面设计!$G$44,断面设计!$I$8)))</f>
        <v>7000</v>
      </c>
      <c r="P91" s="61">
        <f>IF(AO91=0,断面设计!$L$8,IF(AO91=1,断面设计!$S$33,IF(AO91=2,断面设计!$N$44,0)))</f>
        <v>0.41</v>
      </c>
      <c r="Q91" s="59">
        <f>IF(AO91=0,断面设计!$B$8,IF(AO91=1,断面设计!$B$33,IF(AO91=2,断面设计!$B$44,0)))</f>
        <v>0.54746804082763056</v>
      </c>
      <c r="R91" s="58">
        <f>IF(AO91=0,断面设计!$E$8,IF(AO91=1,断面设计!$J$33,IF(AO91=2,断面设计!$D$44,0)))</f>
        <v>0.98544247348973502</v>
      </c>
      <c r="S91" s="58">
        <f>IF(AO91=0,断面设计!$F$8,IF(AO91=1,断面设计!$K$33,IF(AO91=2,断面设计!$D$44/断面设计!$E$44,0)))</f>
        <v>2.8949360816552612</v>
      </c>
      <c r="T91" s="150">
        <f t="shared" ref="T91:T113" si="193">R91/S91</f>
        <v>0.34040215248078309</v>
      </c>
      <c r="U91" s="150">
        <f t="shared" ref="U91:U113" si="194">P91/R91</f>
        <v>0.41605675727378805</v>
      </c>
      <c r="V91" s="151">
        <f t="shared" ref="V91:V113" si="195">(I91-G91)*N91^2/T91^(4/3)*U91^2*3/4*((L91+Q91*M91*2*1.3)/E91)^0.5</f>
        <v>0</v>
      </c>
      <c r="W91" s="151">
        <f>-0.6*(U91^2/2-U92^2/2)/9.81</f>
        <v>5.056599157296904E-3</v>
      </c>
      <c r="X91" s="151">
        <f>IF(AN91=0,IF(AN90=2,(H91-H90-AE90)/O91,(H91-H90)/O91),IF(AN91=1,IF(AN90=2,IF(AE91&lt;9,(H91-H90-AE91-AE90)/断面设计!$I$8,(H91-H90-AE91-AE90)/断面设计!$I$8),(H91-H90-AE91)/O90),(H91-H90)/O91))</f>
        <v>3.8433497852677127E-2</v>
      </c>
      <c r="Y91" s="151">
        <v>0</v>
      </c>
      <c r="Z91" s="150">
        <f t="shared" si="56"/>
        <v>0</v>
      </c>
      <c r="AA91" s="153"/>
      <c r="AB91" s="154">
        <f t="shared" ref="AB91:AB113" si="196">Q91</f>
        <v>0.54746804082763056</v>
      </c>
      <c r="AC91" s="56">
        <f t="shared" si="134"/>
        <v>4.3490097009974034E-2</v>
      </c>
      <c r="AD91" s="154">
        <f t="shared" ref="AD91:AD113" si="197">AD90-AC91</f>
        <v>2418.213047493613</v>
      </c>
      <c r="AE91" s="152">
        <v>5</v>
      </c>
      <c r="AF91" s="154">
        <f t="shared" ref="AF91:AF113" si="198">IF(AE91=0," ",IF(AN91=1,AD91+W91,AD91))</f>
        <v>2418.213047493613</v>
      </c>
      <c r="AG91" s="154">
        <f>IF(AE91=0," ",AF91-断面设计!$B$8)</f>
        <v>2417.6026897794263</v>
      </c>
      <c r="AH91" s="56" t="str">
        <f t="shared" si="135"/>
        <v xml:space="preserve"> </v>
      </c>
      <c r="AI91" s="56" t="str">
        <f t="shared" si="136"/>
        <v xml:space="preserve"> </v>
      </c>
      <c r="AJ91" s="56" t="str">
        <f t="shared" si="137"/>
        <v xml:space="preserve"> </v>
      </c>
      <c r="AK91" s="56" t="str">
        <f t="shared" si="138"/>
        <v xml:space="preserve"> </v>
      </c>
      <c r="AL91" s="56">
        <f t="shared" si="139"/>
        <v>2418.2181040927703</v>
      </c>
      <c r="AM91" s="56">
        <f t="shared" si="140"/>
        <v>2417.6706360519429</v>
      </c>
      <c r="AN91" s="155">
        <v>2</v>
      </c>
      <c r="AO91" s="155">
        <v>1</v>
      </c>
      <c r="AP91" s="166">
        <v>2418.11</v>
      </c>
    </row>
    <row r="92" spans="1:42" s="20" customFormat="1" x14ac:dyDescent="0.2">
      <c r="A92" s="21"/>
      <c r="B92" s="43" t="str">
        <f>线路!B89</f>
        <v>IP65</v>
      </c>
      <c r="C92" s="44">
        <f>线路!E89</f>
        <v>454532.5968</v>
      </c>
      <c r="D92" s="44">
        <f>线路!F89</f>
        <v>3042597.0921</v>
      </c>
      <c r="E92" s="172">
        <f>线路!G89</f>
        <v>10</v>
      </c>
      <c r="F92" s="6">
        <f>线路!H89</f>
        <v>23.591000000000001</v>
      </c>
      <c r="G92" s="145">
        <f>线路!L89</f>
        <v>5904.4519892458657</v>
      </c>
      <c r="H92" s="145">
        <f>线路!M89</f>
        <v>5906.5106923650555</v>
      </c>
      <c r="I92" s="145">
        <f>线路!N89</f>
        <v>5908.5693954842454</v>
      </c>
      <c r="J92" s="58">
        <f t="shared" si="190"/>
        <v>4.1174062383797718</v>
      </c>
      <c r="K92" s="58">
        <f t="shared" si="191"/>
        <v>35.383009042022422</v>
      </c>
      <c r="L92" s="58">
        <f>IF(AO92=0,断面设计!$C$8,IF(AO92=1,断面设计!$C$33,IF(AO92=2,断面设计!$C$44*2,0)))</f>
        <v>1.5524731620415944</v>
      </c>
      <c r="M92" s="7">
        <f>IF(AO92=0,断面设计!$D$8,0)</f>
        <v>0.24932800284318068</v>
      </c>
      <c r="N92" s="59">
        <f t="shared" si="192"/>
        <v>1.4999999999999999E-2</v>
      </c>
      <c r="O92" s="60">
        <f>IF(AO92=0,断面设计!$I$8,IF(AO92=1,断面设计!$N$33,IF(AO92=2,断面设计!$G$44,断面设计!$I$8)))</f>
        <v>3000</v>
      </c>
      <c r="P92" s="61">
        <f>IF(AO92=0,断面设计!$L$8,IF(AO92=1,断面设计!$S$33,IF(AO92=2,断面设计!$N$44,0)))</f>
        <v>0.41</v>
      </c>
      <c r="Q92" s="59">
        <f>IF(AO92=0,断面设计!$B$8,IF(AO92=1,断面设计!$B$33,IF(AO92=2,断面设计!$B$44,0)))</f>
        <v>0.61035771418674445</v>
      </c>
      <c r="R92" s="58">
        <f>IF(AO92=0,断面设计!$E$8,IF(AO92=1,断面设计!$J$33,IF(AO92=2,断面设计!$D$44,0)))</f>
        <v>0.70474827215761959</v>
      </c>
      <c r="S92" s="58">
        <f>IF(AO92=0,断面设计!$F$8,IF(AO92=1,断面设计!$K$33,IF(AO92=2,断面设计!$D$44/断面设计!$E$44,0)))</f>
        <v>2.130349326053774</v>
      </c>
      <c r="T92" s="58">
        <f t="shared" si="193"/>
        <v>0.33081347905654718</v>
      </c>
      <c r="U92" s="58">
        <f t="shared" si="194"/>
        <v>0.58176801022124669</v>
      </c>
      <c r="V92" s="59">
        <f t="shared" si="195"/>
        <v>4.5366253068284605E-4</v>
      </c>
      <c r="W92" s="59"/>
      <c r="X92" s="59">
        <f>IF(AN92=0,IF(AN91=2,(H92-H91-AE91)/O92,(H92-H91)/O92),IF(AN92=1,IF(AN91=2,IF(AE92&lt;9,(H92-H91-AE92-AE91)/断面设计!$I$8,(H92-H91-AE92-AE91)/断面设计!$I$8),(H92-H91-AE92)/O91),(H92-H91)/O92))</f>
        <v>1.0127669680674141E-2</v>
      </c>
      <c r="Y92" s="59">
        <f t="shared" ref="Y92:Y106" si="199">$Y$5</f>
        <v>0</v>
      </c>
      <c r="Z92" s="58">
        <f t="shared" si="56"/>
        <v>0</v>
      </c>
      <c r="AA92" s="69"/>
      <c r="AB92" s="56">
        <f t="shared" si="196"/>
        <v>0.61035771418674445</v>
      </c>
      <c r="AC92" s="56">
        <f t="shared" si="134"/>
        <v>1.0581332211356986E-2</v>
      </c>
      <c r="AD92" s="56">
        <f t="shared" si="197"/>
        <v>2418.2024661614018</v>
      </c>
      <c r="AE92" s="60">
        <f t="shared" ref="AE92:AE113" si="200">IF(AO92=0,0,IF(AO92=2,IF(AN92=1,20,IF(AN92=0,0,25)),IF(AN92=1,15,IF(AN92=0,0,IF(AO92=3,20,20)))))</f>
        <v>0</v>
      </c>
      <c r="AF92" s="56" t="str">
        <f t="shared" si="198"/>
        <v xml:space="preserve"> </v>
      </c>
      <c r="AG92" s="56" t="str">
        <f>IF(AE92=0," ",AF92-断面设计!$B$8)</f>
        <v xml:space="preserve"> </v>
      </c>
      <c r="AH92" s="56">
        <f t="shared" si="135"/>
        <v>2418.2036060583055</v>
      </c>
      <c r="AI92" s="56">
        <f t="shared" si="136"/>
        <v>2417.5932483441188</v>
      </c>
      <c r="AJ92" s="56">
        <f t="shared" si="137"/>
        <v>2418.2017799270288</v>
      </c>
      <c r="AK92" s="56">
        <f t="shared" si="138"/>
        <v>2417.5914222128422</v>
      </c>
      <c r="AL92" s="56">
        <f t="shared" si="139"/>
        <v>2418.2026929926674</v>
      </c>
      <c r="AM92" s="56">
        <f t="shared" si="140"/>
        <v>2417.5923352784807</v>
      </c>
      <c r="AN92" s="45"/>
      <c r="AO92" s="45">
        <v>0</v>
      </c>
      <c r="AP92" s="24"/>
    </row>
    <row r="93" spans="1:42" s="20" customFormat="1" x14ac:dyDescent="0.2">
      <c r="A93" s="21"/>
      <c r="B93" s="43" t="str">
        <f>线路!B90</f>
        <v>IP66</v>
      </c>
      <c r="C93" s="44">
        <f>线路!E90</f>
        <v>454493.46149999998</v>
      </c>
      <c r="D93" s="44">
        <f>线路!F90</f>
        <v>3042567.0759999999</v>
      </c>
      <c r="E93" s="172">
        <f>线路!G90</f>
        <v>10</v>
      </c>
      <c r="F93" s="6">
        <f>线路!H90</f>
        <v>7.327</v>
      </c>
      <c r="G93" s="145">
        <f>线路!L90</f>
        <v>5955.1615982065196</v>
      </c>
      <c r="H93" s="145">
        <f>线路!M90</f>
        <v>5955.8009995779876</v>
      </c>
      <c r="I93" s="145">
        <f>线路!N90</f>
        <v>5956.4404009494556</v>
      </c>
      <c r="J93" s="58">
        <f t="shared" ref="J93:J106" si="201">I93-G93</f>
        <v>1.2788027429360227</v>
      </c>
      <c r="K93" s="58">
        <f t="shared" ref="K93:K106" si="202">H93-H92</f>
        <v>49.290307212932021</v>
      </c>
      <c r="L93" s="58">
        <f>IF(AO93=0,断面设计!$C$8,IF(AO93=1,断面设计!$C$33,IF(AO93=2,断面设计!$C$44*2,0)))</f>
        <v>1.5524731620415944</v>
      </c>
      <c r="M93" s="7">
        <f>IF(AO93=0,断面设计!$D$8,0)</f>
        <v>0.24932800284318068</v>
      </c>
      <c r="N93" s="59">
        <f t="shared" ref="N93:N106" si="203">IF(AO93=0,0.015,0.014)</f>
        <v>1.4999999999999999E-2</v>
      </c>
      <c r="O93" s="60">
        <f>IF(AO93=0,断面设计!$I$8,IF(AO93=1,断面设计!$N$33,IF(AO93=2,断面设计!$G$44,断面设计!$I$8)))</f>
        <v>3000</v>
      </c>
      <c r="P93" s="61">
        <f>IF(AO93=0,断面设计!$L$8,IF(AO93=1,断面设计!$S$33,IF(AO93=2,断面设计!$N$44,0)))</f>
        <v>0.41</v>
      </c>
      <c r="Q93" s="59">
        <f>IF(AO93=0,断面设计!$B$8,IF(AO93=1,断面设计!$B$33,IF(AO93=2,断面设计!$B$44,0)))</f>
        <v>0.61035771418674445</v>
      </c>
      <c r="R93" s="58">
        <f>IF(AO93=0,断面设计!$E$8,IF(AO93=1,断面设计!$J$33,IF(AO93=2,断面设计!$D$44,0)))</f>
        <v>0.70474827215761959</v>
      </c>
      <c r="S93" s="58">
        <f>IF(AO93=0,断面设计!$F$8,IF(AO93=1,断面设计!$K$33,IF(AO93=2,断面设计!$D$44/断面设计!$E$44,0)))</f>
        <v>2.130349326053774</v>
      </c>
      <c r="T93" s="58">
        <f t="shared" ref="T93:T106" si="204">R93/S93</f>
        <v>0.33081347905654718</v>
      </c>
      <c r="U93" s="58">
        <f t="shared" ref="U93:U106" si="205">P93/R93</f>
        <v>0.58176801022124669</v>
      </c>
      <c r="V93" s="59">
        <f t="shared" ref="V93:V106" si="206">(I93-G93)*N93^2/T93^(4/3)*U93^2*3/4*((L93+Q93*M93*2*1.3)/E93)^0.5</f>
        <v>1.409005706546003E-4</v>
      </c>
      <c r="W93" s="59"/>
      <c r="X93" s="59">
        <f>IF(AN93=0,IF(AN92=2,(H93-H92-AE92)/O93,(H93-H92)/O93),IF(AN93=1,IF(AN92=2,IF(AE93&lt;9,(H93-H92-AE93-AE92)/断面设计!$I$8,(H93-H92-AE93-AE92)/断面设计!$I$8),(H93-H92-AE93)/O92),(H93-H92)/O93))</f>
        <v>1.6430102404310674E-2</v>
      </c>
      <c r="Y93" s="59">
        <f t="shared" si="199"/>
        <v>0</v>
      </c>
      <c r="Z93" s="58">
        <f t="shared" si="56"/>
        <v>0</v>
      </c>
      <c r="AA93" s="69"/>
      <c r="AB93" s="56">
        <f t="shared" ref="AB93:AB106" si="207">Q93</f>
        <v>0.61035771418674445</v>
      </c>
      <c r="AC93" s="56">
        <f t="shared" ref="AC93:AC106" si="208">IF(AE93&lt;1,Y93+AA93+V93+X93,Y93+AA93+V93+X93+W93)</f>
        <v>1.6571002974965273E-2</v>
      </c>
      <c r="AD93" s="56">
        <f t="shared" ref="AD93:AD106" si="209">AD92-AC93</f>
        <v>2418.1858951584268</v>
      </c>
      <c r="AE93" s="60">
        <f t="shared" ref="AE93:AE106" si="210">IF(AO93=0,0,IF(AO93=2,IF(AN93=1,20,IF(AN93=0,0,25)),IF(AN93=1,15,IF(AN93=0,0,IF(AO93=3,20,20)))))</f>
        <v>0</v>
      </c>
      <c r="AF93" s="56" t="str">
        <f t="shared" ref="AF93:AF106" si="211">IF(AE93=0," ",IF(AN93=1,AD93+W93,AD93))</f>
        <v xml:space="preserve"> </v>
      </c>
      <c r="AG93" s="56" t="str">
        <f>IF(AE93=0," ",AF93-断面设计!$B$8)</f>
        <v xml:space="preserve"> </v>
      </c>
      <c r="AH93" s="56">
        <f t="shared" ref="AH93:AH106" si="212">IF(J93&lt;0.01," ",AD93+V93+J93/2/O93+J93/2/1000*Z93)</f>
        <v>2418.1862491927882</v>
      </c>
      <c r="AI93" s="56">
        <f t="shared" ref="AI93:AI106" si="213">IF(J93&lt;0.01," ",AH93-AB93)</f>
        <v>2417.5758914786015</v>
      </c>
      <c r="AJ93" s="56">
        <f t="shared" ref="AJ93:AJ106" si="214">IF(J93&lt;0.01," ",AD93-J93/2/O93-J93/2/1000*Z93)</f>
        <v>2418.1856820246362</v>
      </c>
      <c r="AK93" s="56">
        <f t="shared" ref="AK93:AK106" si="215">IF(J93&lt;0.01," ",AJ93-AB93)</f>
        <v>2417.5753243104496</v>
      </c>
      <c r="AL93" s="56">
        <f t="shared" ref="AL93:AL106" si="216">AM93+AB93</f>
        <v>2418.1859656087122</v>
      </c>
      <c r="AM93" s="56">
        <f t="shared" ref="AM93:AM106" si="217">IF(AN93=2,IF(AE93=0,AD93-AB93,AD93+W93-AB93),AD93-AB93+V93/2)</f>
        <v>2417.5756078945255</v>
      </c>
      <c r="AN93" s="45"/>
      <c r="AO93" s="45">
        <v>0</v>
      </c>
      <c r="AP93" s="24"/>
    </row>
    <row r="94" spans="1:42" s="20" customFormat="1" x14ac:dyDescent="0.2">
      <c r="A94" s="21"/>
      <c r="B94" s="43" t="str">
        <f>线路!B91</f>
        <v>IP67</v>
      </c>
      <c r="C94" s="44">
        <f>线路!E91</f>
        <v>454464.0393</v>
      </c>
      <c r="D94" s="44">
        <f>线路!F91</f>
        <v>3042537.8435</v>
      </c>
      <c r="E94" s="172">
        <f>线路!G91</f>
        <v>10</v>
      </c>
      <c r="F94" s="6">
        <f>线路!H91</f>
        <v>3.371</v>
      </c>
      <c r="G94" s="145">
        <f>线路!L91</f>
        <v>5996.9812196848125</v>
      </c>
      <c r="H94" s="145">
        <f>线路!M91</f>
        <v>5997.275394930236</v>
      </c>
      <c r="I94" s="145">
        <f>线路!N91</f>
        <v>5997.5695701756595</v>
      </c>
      <c r="J94" s="58">
        <f t="shared" si="201"/>
        <v>0.58835049084700586</v>
      </c>
      <c r="K94" s="58">
        <f t="shared" si="202"/>
        <v>41.474395352248393</v>
      </c>
      <c r="L94" s="58">
        <f>IF(AO94=0,断面设计!$C$8,IF(AO94=1,断面设计!$C$33,IF(AO94=2,断面设计!$C$44*2,0)))</f>
        <v>1.5524731620415944</v>
      </c>
      <c r="M94" s="7">
        <f>IF(AO94=0,断面设计!$D$8,0)</f>
        <v>0.24932800284318068</v>
      </c>
      <c r="N94" s="59">
        <f t="shared" si="203"/>
        <v>1.4999999999999999E-2</v>
      </c>
      <c r="O94" s="60">
        <f>IF(AO94=0,断面设计!$I$8,IF(AO94=1,断面设计!$N$33,IF(AO94=2,断面设计!$G$44,断面设计!$I$8)))</f>
        <v>3000</v>
      </c>
      <c r="P94" s="61">
        <f>IF(AO94=0,断面设计!$L$8,IF(AO94=1,断面设计!$S$33,IF(AO94=2,断面设计!$N$44,0)))</f>
        <v>0.41</v>
      </c>
      <c r="Q94" s="59">
        <f>IF(AO94=0,断面设计!$B$8,IF(AO94=1,断面设计!$B$33,IF(AO94=2,断面设计!$B$44,0)))</f>
        <v>0.61035771418674445</v>
      </c>
      <c r="R94" s="58">
        <f>IF(AO94=0,断面设计!$E$8,IF(AO94=1,断面设计!$J$33,IF(AO94=2,断面设计!$D$44,0)))</f>
        <v>0.70474827215761959</v>
      </c>
      <c r="S94" s="58">
        <f>IF(AO94=0,断面设计!$F$8,IF(AO94=1,断面设计!$K$33,IF(AO94=2,断面设计!$D$44/断面设计!$E$44,0)))</f>
        <v>2.130349326053774</v>
      </c>
      <c r="T94" s="58">
        <f t="shared" si="204"/>
        <v>0.33081347905654718</v>
      </c>
      <c r="U94" s="58">
        <f t="shared" si="205"/>
        <v>0.58176801022124669</v>
      </c>
      <c r="V94" s="59">
        <f t="shared" si="206"/>
        <v>6.4825416087963987E-5</v>
      </c>
      <c r="W94" s="59"/>
      <c r="X94" s="59">
        <f>IF(AN94=0,IF(AN93=2,(H94-H93-AE93)/O94,(H94-H93)/O94),IF(AN94=1,IF(AN93=2,IF(AE94&lt;9,(H94-H93-AE94-AE93)/断面设计!$I$8,(H94-H93-AE94-AE93)/断面设计!$I$8),(H94-H93-AE94)/O93),(H94-H93)/O94))</f>
        <v>1.3824798450749465E-2</v>
      </c>
      <c r="Y94" s="59">
        <f t="shared" si="199"/>
        <v>0</v>
      </c>
      <c r="Z94" s="58">
        <f t="shared" ref="Z94:Z106" si="218">Z93</f>
        <v>0</v>
      </c>
      <c r="AA94" s="69"/>
      <c r="AB94" s="56">
        <f t="shared" si="207"/>
        <v>0.61035771418674445</v>
      </c>
      <c r="AC94" s="56">
        <f t="shared" si="208"/>
        <v>1.3889623866837428E-2</v>
      </c>
      <c r="AD94" s="56">
        <f t="shared" si="209"/>
        <v>2418.17200553456</v>
      </c>
      <c r="AE94" s="60">
        <f t="shared" si="210"/>
        <v>0</v>
      </c>
      <c r="AF94" s="56" t="str">
        <f t="shared" si="211"/>
        <v xml:space="preserve"> </v>
      </c>
      <c r="AG94" s="56" t="str">
        <f>IF(AE94=0," ",AF94-断面设计!$B$8)</f>
        <v xml:space="preserve"> </v>
      </c>
      <c r="AH94" s="56">
        <f t="shared" si="212"/>
        <v>2418.1721684183913</v>
      </c>
      <c r="AI94" s="56">
        <f t="shared" si="213"/>
        <v>2417.5618107042046</v>
      </c>
      <c r="AJ94" s="56">
        <f t="shared" si="214"/>
        <v>2418.171907476145</v>
      </c>
      <c r="AK94" s="56">
        <f t="shared" si="215"/>
        <v>2417.5615497619583</v>
      </c>
      <c r="AL94" s="56">
        <f t="shared" si="216"/>
        <v>2418.1720379472681</v>
      </c>
      <c r="AM94" s="56">
        <f t="shared" si="217"/>
        <v>2417.5616802330815</v>
      </c>
      <c r="AN94" s="45"/>
      <c r="AO94" s="45">
        <v>0</v>
      </c>
      <c r="AP94" s="24"/>
    </row>
    <row r="95" spans="1:42" s="20" customFormat="1" x14ac:dyDescent="0.2">
      <c r="A95" s="21"/>
      <c r="B95" s="43" t="str">
        <f>线路!B92</f>
        <v>IP68</v>
      </c>
      <c r="C95" s="44">
        <f>线路!E92</f>
        <v>454405.02970000001</v>
      </c>
      <c r="D95" s="44">
        <f>线路!F92</f>
        <v>3042485.7398000001</v>
      </c>
      <c r="E95" s="172">
        <f>线路!G92</f>
        <v>10</v>
      </c>
      <c r="F95" s="6">
        <f>线路!H92</f>
        <v>19.864999999999998</v>
      </c>
      <c r="G95" s="145">
        <f>线路!L92</f>
        <v>6074.244756910166</v>
      </c>
      <c r="H95" s="145">
        <f>线路!M92</f>
        <v>6075.9783051897093</v>
      </c>
      <c r="I95" s="145">
        <f>线路!N92</f>
        <v>6077.7118534692527</v>
      </c>
      <c r="J95" s="58">
        <f t="shared" si="201"/>
        <v>3.4670965590867127</v>
      </c>
      <c r="K95" s="58">
        <f t="shared" si="202"/>
        <v>78.702910259473356</v>
      </c>
      <c r="L95" s="58">
        <f>IF(AO95=0,断面设计!$C$8,IF(AO95=1,断面设计!$C$33,IF(AO95=2,断面设计!$C$44*2,0)))</f>
        <v>1.5524731620415944</v>
      </c>
      <c r="M95" s="7">
        <f>IF(AO95=0,断面设计!$D$8,0)</f>
        <v>0.24932800284318068</v>
      </c>
      <c r="N95" s="59">
        <f t="shared" si="203"/>
        <v>1.4999999999999999E-2</v>
      </c>
      <c r="O95" s="60">
        <f>IF(AO95=0,断面设计!$I$8,IF(AO95=1,断面设计!$N$33,IF(AO95=2,断面设计!$G$44,断面设计!$I$8)))</f>
        <v>3000</v>
      </c>
      <c r="P95" s="61">
        <f>IF(AO95=0,断面设计!$L$8,IF(AO95=1,断面设计!$S$33,IF(AO95=2,断面设计!$N$44,0)))</f>
        <v>0.41</v>
      </c>
      <c r="Q95" s="59">
        <f>IF(AO95=0,断面设计!$B$8,IF(AO95=1,断面设计!$B$33,IF(AO95=2,断面设计!$B$44,0)))</f>
        <v>0.61035771418674445</v>
      </c>
      <c r="R95" s="58">
        <f>IF(AO95=0,断面设计!$E$8,IF(AO95=1,断面设计!$J$33,IF(AO95=2,断面设计!$D$44,0)))</f>
        <v>0.70474827215761959</v>
      </c>
      <c r="S95" s="58">
        <f>IF(AO95=0,断面设计!$F$8,IF(AO95=1,断面设计!$K$33,IF(AO95=2,断面设计!$D$44/断面设计!$E$44,0)))</f>
        <v>2.130349326053774</v>
      </c>
      <c r="T95" s="58">
        <f t="shared" si="204"/>
        <v>0.33081347905654718</v>
      </c>
      <c r="U95" s="58">
        <f t="shared" si="205"/>
        <v>0.58176801022124669</v>
      </c>
      <c r="V95" s="59">
        <f t="shared" si="206"/>
        <v>3.8201035021893053E-4</v>
      </c>
      <c r="W95" s="59"/>
      <c r="X95" s="59">
        <f>IF(AN95=0,IF(AN94=2,(H95-H94-AE94)/O95,(H95-H94)/O95),IF(AN95=1,IF(AN94=2,IF(AE95&lt;9,(H95-H94-AE95-AE94)/断面设计!$I$8,(H95-H94-AE95-AE94)/断面设计!$I$8),(H95-H94-AE95)/O94),(H95-H94)/O95))</f>
        <v>2.6234303419824453E-2</v>
      </c>
      <c r="Y95" s="59">
        <f t="shared" si="199"/>
        <v>0</v>
      </c>
      <c r="Z95" s="58">
        <f t="shared" si="218"/>
        <v>0</v>
      </c>
      <c r="AA95" s="69"/>
      <c r="AB95" s="56">
        <f t="shared" si="207"/>
        <v>0.61035771418674445</v>
      </c>
      <c r="AC95" s="56">
        <f t="shared" si="208"/>
        <v>2.6616313770043382E-2</v>
      </c>
      <c r="AD95" s="56">
        <f t="shared" si="209"/>
        <v>2418.1453892207901</v>
      </c>
      <c r="AE95" s="60">
        <f t="shared" si="210"/>
        <v>0</v>
      </c>
      <c r="AF95" s="56" t="str">
        <f t="shared" si="211"/>
        <v xml:space="preserve"> </v>
      </c>
      <c r="AG95" s="56" t="str">
        <f>IF(AE95=0," ",AF95-断面设计!$B$8)</f>
        <v xml:space="preserve"> </v>
      </c>
      <c r="AH95" s="56">
        <f t="shared" si="212"/>
        <v>2418.1463490805668</v>
      </c>
      <c r="AI95" s="56">
        <f t="shared" si="213"/>
        <v>2417.5359913663801</v>
      </c>
      <c r="AJ95" s="56">
        <f t="shared" si="214"/>
        <v>2418.1448113713636</v>
      </c>
      <c r="AK95" s="56">
        <f t="shared" si="215"/>
        <v>2417.534453657177</v>
      </c>
      <c r="AL95" s="56">
        <f t="shared" si="216"/>
        <v>2418.1455802259652</v>
      </c>
      <c r="AM95" s="56">
        <f t="shared" si="217"/>
        <v>2417.5352225117786</v>
      </c>
      <c r="AN95" s="45"/>
      <c r="AO95" s="45">
        <v>0</v>
      </c>
      <c r="AP95" s="24"/>
    </row>
    <row r="96" spans="1:42" s="20" customFormat="1" x14ac:dyDescent="0.2">
      <c r="A96" s="21"/>
      <c r="B96" s="43" t="str">
        <f>线路!B93</f>
        <v>IP69</v>
      </c>
      <c r="C96" s="44">
        <f>线路!E93</f>
        <v>454390.23599999998</v>
      </c>
      <c r="D96" s="44">
        <f>线路!F93</f>
        <v>3042479.8890999998</v>
      </c>
      <c r="E96" s="172">
        <f>线路!G93</f>
        <v>10</v>
      </c>
      <c r="F96" s="6">
        <f>线路!H93</f>
        <v>24.672000000000001</v>
      </c>
      <c r="G96" s="145">
        <f>线路!L93</f>
        <v>6089.6824148930345</v>
      </c>
      <c r="H96" s="145">
        <f>线路!M93</f>
        <v>6091.8354530582947</v>
      </c>
      <c r="I96" s="145">
        <f>线路!N93</f>
        <v>6093.9884912235548</v>
      </c>
      <c r="J96" s="58">
        <f t="shared" si="201"/>
        <v>4.3060763305202272</v>
      </c>
      <c r="K96" s="58">
        <f t="shared" si="202"/>
        <v>15.857147868585344</v>
      </c>
      <c r="L96" s="58">
        <f>IF(AO96=0,断面设计!$C$8,IF(AO96=1,断面设计!$C$33,IF(AO96=2,断面设计!$C$44*2,0)))</f>
        <v>1.5524731620415944</v>
      </c>
      <c r="M96" s="7">
        <f>IF(AO96=0,断面设计!$D$8,0)</f>
        <v>0.24932800284318068</v>
      </c>
      <c r="N96" s="59">
        <f t="shared" si="203"/>
        <v>1.4999999999999999E-2</v>
      </c>
      <c r="O96" s="60">
        <f>IF(AO96=0,断面设计!$I$8,IF(AO96=1,断面设计!$N$33,IF(AO96=2,断面设计!$G$44,断面设计!$I$8)))</f>
        <v>3000</v>
      </c>
      <c r="P96" s="61">
        <f>IF(AO96=0,断面设计!$L$8,IF(AO96=1,断面设计!$S$33,IF(AO96=2,断面设计!$N$44,0)))</f>
        <v>0.41</v>
      </c>
      <c r="Q96" s="59">
        <f>IF(AO96=0,断面设计!$B$8,IF(AO96=1,断面设计!$B$33,IF(AO96=2,断面设计!$B$44,0)))</f>
        <v>0.61035771418674445</v>
      </c>
      <c r="R96" s="58">
        <f>IF(AO96=0,断面设计!$E$8,IF(AO96=1,断面设计!$J$33,IF(AO96=2,断面设计!$D$44,0)))</f>
        <v>0.70474827215761959</v>
      </c>
      <c r="S96" s="58">
        <f>IF(AO96=0,断面设计!$F$8,IF(AO96=1,断面设计!$K$33,IF(AO96=2,断面设计!$D$44/断面设计!$E$44,0)))</f>
        <v>2.130349326053774</v>
      </c>
      <c r="T96" s="58">
        <f t="shared" si="204"/>
        <v>0.33081347905654718</v>
      </c>
      <c r="U96" s="58">
        <f t="shared" si="205"/>
        <v>0.58176801022124669</v>
      </c>
      <c r="V96" s="59">
        <f t="shared" si="206"/>
        <v>4.7445050896557342E-4</v>
      </c>
      <c r="W96" s="59"/>
      <c r="X96" s="59">
        <f>IF(AN96=0,IF(AN95=2,(H96-H95-AE95)/O96,(H96-H95)/O96),IF(AN96=1,IF(AN95=2,IF(AE96&lt;9,(H96-H95-AE96-AE95)/断面设计!$I$8,(H96-H95-AE96-AE95)/断面设计!$I$8),(H96-H95-AE96)/O95),(H96-H95)/O96))</f>
        <v>5.2857159561951143E-3</v>
      </c>
      <c r="Y96" s="59">
        <f t="shared" si="199"/>
        <v>0</v>
      </c>
      <c r="Z96" s="58">
        <f t="shared" si="218"/>
        <v>0</v>
      </c>
      <c r="AA96" s="69"/>
      <c r="AB96" s="56">
        <f t="shared" si="207"/>
        <v>0.61035771418674445</v>
      </c>
      <c r="AC96" s="56">
        <f t="shared" si="208"/>
        <v>5.7601664651606875E-3</v>
      </c>
      <c r="AD96" s="56">
        <f t="shared" si="209"/>
        <v>2418.1396290543248</v>
      </c>
      <c r="AE96" s="60">
        <f t="shared" si="210"/>
        <v>0</v>
      </c>
      <c r="AF96" s="56" t="str">
        <f t="shared" si="211"/>
        <v xml:space="preserve"> </v>
      </c>
      <c r="AG96" s="56" t="str">
        <f>IF(AE96=0," ",AF96-断面设计!$B$8)</f>
        <v xml:space="preserve"> </v>
      </c>
      <c r="AH96" s="56">
        <f t="shared" si="212"/>
        <v>2418.1408211842222</v>
      </c>
      <c r="AI96" s="56">
        <f t="shared" si="213"/>
        <v>2417.5304634700356</v>
      </c>
      <c r="AJ96" s="56">
        <f t="shared" si="214"/>
        <v>2418.1389113749365</v>
      </c>
      <c r="AK96" s="56">
        <f t="shared" si="215"/>
        <v>2417.5285536607498</v>
      </c>
      <c r="AL96" s="56">
        <f t="shared" si="216"/>
        <v>2418.1398662795791</v>
      </c>
      <c r="AM96" s="56">
        <f t="shared" si="217"/>
        <v>2417.5295085653925</v>
      </c>
      <c r="AN96" s="45"/>
      <c r="AO96" s="45">
        <v>0</v>
      </c>
      <c r="AP96" s="24"/>
    </row>
    <row r="97" spans="1:42" s="20" customFormat="1" x14ac:dyDescent="0.2">
      <c r="A97" s="21"/>
      <c r="B97" s="43" t="str">
        <f>线路!B94</f>
        <v>IP70</v>
      </c>
      <c r="C97" s="44">
        <f>线路!E94</f>
        <v>454377.69469999999</v>
      </c>
      <c r="D97" s="44">
        <f>线路!F94</f>
        <v>3042480.5669</v>
      </c>
      <c r="E97" s="172">
        <f>线路!G94</f>
        <v>10</v>
      </c>
      <c r="F97" s="6">
        <f>线路!H94</f>
        <v>58.84</v>
      </c>
      <c r="G97" s="145">
        <f>线路!L94</f>
        <v>6098.7218482125127</v>
      </c>
      <c r="H97" s="145">
        <f>线路!M94</f>
        <v>6103.8566068718801</v>
      </c>
      <c r="I97" s="145">
        <f>线路!N94</f>
        <v>6108.9913655312475</v>
      </c>
      <c r="J97" s="58">
        <f t="shared" si="201"/>
        <v>10.26951731873487</v>
      </c>
      <c r="K97" s="58">
        <f t="shared" si="202"/>
        <v>12.021153813585443</v>
      </c>
      <c r="L97" s="58">
        <f>IF(AO97=0,断面设计!$C$8,IF(AO97=1,断面设计!$C$33,IF(AO97=2,断面设计!$C$44*2,0)))</f>
        <v>1.5524731620415944</v>
      </c>
      <c r="M97" s="7">
        <f>IF(AO97=0,断面设计!$D$8,0)</f>
        <v>0.24932800284318068</v>
      </c>
      <c r="N97" s="59">
        <f t="shared" si="203"/>
        <v>1.4999999999999999E-2</v>
      </c>
      <c r="O97" s="60">
        <f>IF(AO97=0,断面设计!$I$8,IF(AO97=1,断面设计!$N$33,IF(AO97=2,断面设计!$G$44,断面设计!$I$8)))</f>
        <v>3000</v>
      </c>
      <c r="P97" s="61">
        <f>IF(AO97=0,断面设计!$L$8,IF(AO97=1,断面设计!$S$33,IF(AO97=2,断面设计!$N$44,0)))</f>
        <v>0.41</v>
      </c>
      <c r="Q97" s="59">
        <f>IF(AO97=0,断面设计!$B$8,IF(AO97=1,断面设计!$B$33,IF(AO97=2,断面设计!$B$44,0)))</f>
        <v>0.61035771418674445</v>
      </c>
      <c r="R97" s="58">
        <f>IF(AO97=0,断面设计!$E$8,IF(AO97=1,断面设计!$J$33,IF(AO97=2,断面设计!$D$44,0)))</f>
        <v>0.70474827215761959</v>
      </c>
      <c r="S97" s="58">
        <f>IF(AO97=0,断面设计!$F$8,IF(AO97=1,断面设计!$K$33,IF(AO97=2,断面设计!$D$44/断面设计!$E$44,0)))</f>
        <v>2.130349326053774</v>
      </c>
      <c r="T97" s="58">
        <f t="shared" si="204"/>
        <v>0.33081347905654718</v>
      </c>
      <c r="U97" s="58">
        <f t="shared" si="205"/>
        <v>0.58176801022124669</v>
      </c>
      <c r="V97" s="59">
        <f t="shared" si="206"/>
        <v>1.1315121574066215E-3</v>
      </c>
      <c r="W97" s="59"/>
      <c r="X97" s="59">
        <f>IF(AN97=0,IF(AN96=2,(H97-H96-AE96)/O97,(H97-H96)/O97),IF(AN97=1,IF(AN96=2,IF(AE97&lt;9,(H97-H96-AE97-AE96)/断面设计!$I$8,(H97-H96-AE97-AE96)/断面设计!$I$8),(H97-H96-AE97)/O96),(H97-H96)/O97))</f>
        <v>4.0070512711951473E-3</v>
      </c>
      <c r="Y97" s="59">
        <f t="shared" si="199"/>
        <v>0</v>
      </c>
      <c r="Z97" s="58">
        <f t="shared" si="218"/>
        <v>0</v>
      </c>
      <c r="AA97" s="69"/>
      <c r="AB97" s="56">
        <f t="shared" si="207"/>
        <v>0.61035771418674445</v>
      </c>
      <c r="AC97" s="56">
        <f t="shared" si="208"/>
        <v>5.1385634286017692E-3</v>
      </c>
      <c r="AD97" s="56">
        <f t="shared" si="209"/>
        <v>2418.134490490896</v>
      </c>
      <c r="AE97" s="60">
        <f t="shared" si="210"/>
        <v>0</v>
      </c>
      <c r="AF97" s="56" t="str">
        <f t="shared" si="211"/>
        <v xml:space="preserve"> </v>
      </c>
      <c r="AG97" s="56" t="str">
        <f>IF(AE97=0," ",AF97-断面设计!$B$8)</f>
        <v xml:space="preserve"> </v>
      </c>
      <c r="AH97" s="56">
        <f t="shared" si="212"/>
        <v>2418.1373335892731</v>
      </c>
      <c r="AI97" s="56">
        <f t="shared" si="213"/>
        <v>2417.5269758750865</v>
      </c>
      <c r="AJ97" s="56">
        <f t="shared" si="214"/>
        <v>2418.1327789046763</v>
      </c>
      <c r="AK97" s="56">
        <f t="shared" si="215"/>
        <v>2417.5224211904897</v>
      </c>
      <c r="AL97" s="56">
        <f t="shared" si="216"/>
        <v>2418.1350562469747</v>
      </c>
      <c r="AM97" s="56">
        <f t="shared" si="217"/>
        <v>2417.5246985327881</v>
      </c>
      <c r="AN97" s="45"/>
      <c r="AO97" s="45">
        <v>0</v>
      </c>
      <c r="AP97" s="24"/>
    </row>
    <row r="98" spans="1:42" s="20" customFormat="1" x14ac:dyDescent="0.2">
      <c r="A98" s="21"/>
      <c r="B98" s="43" t="str">
        <f>线路!B95</f>
        <v>IP71</v>
      </c>
      <c r="C98" s="44">
        <f>线路!E95</f>
        <v>454349.0932</v>
      </c>
      <c r="D98" s="44">
        <f>线路!F95</f>
        <v>3042438.5649999999</v>
      </c>
      <c r="E98" s="172">
        <f>线路!G95</f>
        <v>10</v>
      </c>
      <c r="F98" s="6">
        <f>线路!H95</f>
        <v>103.065</v>
      </c>
      <c r="G98" s="145">
        <f>线路!L95</f>
        <v>6141.5810897140782</v>
      </c>
      <c r="H98" s="145">
        <f>线路!M95</f>
        <v>6150.5752076819181</v>
      </c>
      <c r="I98" s="145">
        <f>线路!N95</f>
        <v>6159.569325649758</v>
      </c>
      <c r="J98" s="58">
        <f t="shared" si="201"/>
        <v>17.988235935679768</v>
      </c>
      <c r="K98" s="58">
        <f t="shared" si="202"/>
        <v>46.718600810037969</v>
      </c>
      <c r="L98" s="58">
        <f>IF(AO98=0,断面设计!$C$8,IF(AO98=1,断面设计!$C$33,IF(AO98=2,断面设计!$C$44*2,0)))</f>
        <v>1.5524731620415944</v>
      </c>
      <c r="M98" s="7">
        <f>IF(AO98=0,断面设计!$D$8,0)</f>
        <v>0.24932800284318068</v>
      </c>
      <c r="N98" s="59">
        <f t="shared" si="203"/>
        <v>1.4999999999999999E-2</v>
      </c>
      <c r="O98" s="60">
        <f>IF(AO98=0,断面设计!$I$8,IF(AO98=1,断面设计!$N$33,IF(AO98=2,断面设计!$G$44,断面设计!$I$8)))</f>
        <v>3000</v>
      </c>
      <c r="P98" s="61">
        <f>IF(AO98=0,断面设计!$L$8,IF(AO98=1,断面设计!$S$33,IF(AO98=2,断面设计!$N$44,0)))</f>
        <v>0.41</v>
      </c>
      <c r="Q98" s="59">
        <f>IF(AO98=0,断面设计!$B$8,IF(AO98=1,断面设计!$B$33,IF(AO98=2,断面设计!$B$44,0)))</f>
        <v>0.61035771418674445</v>
      </c>
      <c r="R98" s="58">
        <f>IF(AO98=0,断面设计!$E$8,IF(AO98=1,断面设计!$J$33,IF(AO98=2,断面设计!$D$44,0)))</f>
        <v>0.70474827215761959</v>
      </c>
      <c r="S98" s="58">
        <f>IF(AO98=0,断面设计!$F$8,IF(AO98=1,断面设计!$K$33,IF(AO98=2,断面设计!$D$44/断面设计!$E$44,0)))</f>
        <v>2.130349326053774</v>
      </c>
      <c r="T98" s="58">
        <f t="shared" si="204"/>
        <v>0.33081347905654718</v>
      </c>
      <c r="U98" s="58">
        <f t="shared" si="205"/>
        <v>0.58176801022124669</v>
      </c>
      <c r="V98" s="59">
        <f t="shared" si="206"/>
        <v>1.9819731560692063E-3</v>
      </c>
      <c r="W98" s="59"/>
      <c r="X98" s="59">
        <f>IF(AN98=0,IF(AN97=2,(H98-H97-AE97)/O98,(H98-H97)/O98),IF(AN98=1,IF(AN97=2,IF(AE98&lt;9,(H98-H97-AE98-AE97)/断面设计!$I$8,(H98-H97-AE98-AE97)/断面设计!$I$8),(H98-H97-AE98)/O97),(H98-H97)/O98))</f>
        <v>1.5572866936679324E-2</v>
      </c>
      <c r="Y98" s="59">
        <f t="shared" si="199"/>
        <v>0</v>
      </c>
      <c r="Z98" s="58">
        <f t="shared" si="218"/>
        <v>0</v>
      </c>
      <c r="AA98" s="69"/>
      <c r="AB98" s="56">
        <f t="shared" si="207"/>
        <v>0.61035771418674445</v>
      </c>
      <c r="AC98" s="56">
        <f t="shared" si="208"/>
        <v>1.755484009274853E-2</v>
      </c>
      <c r="AD98" s="56">
        <f t="shared" si="209"/>
        <v>2418.1169356508035</v>
      </c>
      <c r="AE98" s="60">
        <f t="shared" si="210"/>
        <v>0</v>
      </c>
      <c r="AF98" s="56" t="str">
        <f t="shared" si="211"/>
        <v xml:space="preserve"> </v>
      </c>
      <c r="AG98" s="56" t="str">
        <f>IF(AE98=0," ",AF98-断面设计!$B$8)</f>
        <v xml:space="preserve"> </v>
      </c>
      <c r="AH98" s="56">
        <f t="shared" si="212"/>
        <v>2418.1219156632819</v>
      </c>
      <c r="AI98" s="56">
        <f t="shared" si="213"/>
        <v>2417.5115579490953</v>
      </c>
      <c r="AJ98" s="56">
        <f t="shared" si="214"/>
        <v>2418.1139376114811</v>
      </c>
      <c r="AK98" s="56">
        <f t="shared" si="215"/>
        <v>2417.5035798972945</v>
      </c>
      <c r="AL98" s="56">
        <f t="shared" si="216"/>
        <v>2418.1179266373815</v>
      </c>
      <c r="AM98" s="56">
        <f t="shared" si="217"/>
        <v>2417.5075689231949</v>
      </c>
      <c r="AN98" s="45"/>
      <c r="AO98" s="45">
        <v>0</v>
      </c>
      <c r="AP98" s="24"/>
    </row>
    <row r="99" spans="1:42" s="20" customFormat="1" x14ac:dyDescent="0.2">
      <c r="A99" s="21"/>
      <c r="B99" s="43" t="str">
        <f>线路!B96</f>
        <v>IP72</v>
      </c>
      <c r="C99" s="44">
        <f>线路!E96</f>
        <v>454395.0796</v>
      </c>
      <c r="D99" s="44">
        <f>线路!F96</f>
        <v>3042420.7385</v>
      </c>
      <c r="E99" s="172">
        <f>线路!G96</f>
        <v>10</v>
      </c>
      <c r="F99" s="6">
        <f>线路!H96</f>
        <v>13.429</v>
      </c>
      <c r="G99" s="145">
        <f>线路!L96</f>
        <v>6195.1263757640208</v>
      </c>
      <c r="H99" s="145">
        <f>线路!M96</f>
        <v>6196.2982770902727</v>
      </c>
      <c r="I99" s="145">
        <f>线路!N96</f>
        <v>6197.4701784165236</v>
      </c>
      <c r="J99" s="58">
        <f t="shared" si="201"/>
        <v>2.3438026525027453</v>
      </c>
      <c r="K99" s="58">
        <f t="shared" si="202"/>
        <v>45.723069408354604</v>
      </c>
      <c r="L99" s="58">
        <f>IF(AO99=0,断面设计!$C$8,IF(AO99=1,断面设计!$C$33,IF(AO99=2,断面设计!$C$44*2,0)))</f>
        <v>1.5524731620415944</v>
      </c>
      <c r="M99" s="7">
        <f>IF(AO99=0,断面设计!$D$8,0)</f>
        <v>0.24932800284318068</v>
      </c>
      <c r="N99" s="59">
        <f t="shared" si="203"/>
        <v>1.4999999999999999E-2</v>
      </c>
      <c r="O99" s="60">
        <f>IF(AO99=0,断面设计!$I$8,IF(AO99=1,断面设计!$N$33,IF(AO99=2,断面设计!$G$44,断面设计!$I$8)))</f>
        <v>3000</v>
      </c>
      <c r="P99" s="61">
        <f>IF(AO99=0,断面设计!$L$8,IF(AO99=1,断面设计!$S$33,IF(AO99=2,断面设计!$N$44,0)))</f>
        <v>0.41</v>
      </c>
      <c r="Q99" s="59">
        <f>IF(AO99=0,断面设计!$B$8,IF(AO99=1,断面设计!$B$33,IF(AO99=2,断面设计!$B$44,0)))</f>
        <v>0.61035771418674445</v>
      </c>
      <c r="R99" s="58">
        <f>IF(AO99=0,断面设计!$E$8,IF(AO99=1,断面设计!$J$33,IF(AO99=2,断面设计!$D$44,0)))</f>
        <v>0.70474827215761959</v>
      </c>
      <c r="S99" s="58">
        <f>IF(AO99=0,断面设计!$F$8,IF(AO99=1,断面设计!$K$33,IF(AO99=2,断面设计!$D$44/断面设计!$E$44,0)))</f>
        <v>2.130349326053774</v>
      </c>
      <c r="T99" s="58">
        <f t="shared" si="204"/>
        <v>0.33081347905654718</v>
      </c>
      <c r="U99" s="58">
        <f t="shared" si="205"/>
        <v>0.58176801022124669</v>
      </c>
      <c r="V99" s="59">
        <f t="shared" si="206"/>
        <v>2.5824399663171852E-4</v>
      </c>
      <c r="W99" s="59"/>
      <c r="X99" s="59">
        <f>IF(AN99=0,IF(AN98=2,(H99-H98-AE98)/O99,(H99-H98)/O99),IF(AN99=1,IF(AN98=2,IF(AE99&lt;9,(H99-H98-AE99-AE98)/断面设计!$I$8,(H99-H98-AE99-AE98)/断面设计!$I$8),(H99-H98-AE99)/O98),(H99-H98)/O99))</f>
        <v>1.5241023136118201E-2</v>
      </c>
      <c r="Y99" s="59">
        <f t="shared" si="199"/>
        <v>0</v>
      </c>
      <c r="Z99" s="58">
        <f t="shared" si="218"/>
        <v>0</v>
      </c>
      <c r="AA99" s="69"/>
      <c r="AB99" s="56">
        <f t="shared" si="207"/>
        <v>0.61035771418674445</v>
      </c>
      <c r="AC99" s="56">
        <f t="shared" si="208"/>
        <v>1.5499267132749919E-2</v>
      </c>
      <c r="AD99" s="56">
        <f t="shared" si="209"/>
        <v>2418.1014363836707</v>
      </c>
      <c r="AE99" s="60">
        <f t="shared" si="210"/>
        <v>0</v>
      </c>
      <c r="AF99" s="56" t="str">
        <f t="shared" si="211"/>
        <v xml:space="preserve"> </v>
      </c>
      <c r="AG99" s="56" t="str">
        <f>IF(AE99=0," ",AF99-断面设计!$B$8)</f>
        <v xml:space="preserve"> </v>
      </c>
      <c r="AH99" s="56">
        <f t="shared" si="212"/>
        <v>2418.1020852614429</v>
      </c>
      <c r="AI99" s="56">
        <f t="shared" si="213"/>
        <v>2417.4917275472562</v>
      </c>
      <c r="AJ99" s="56">
        <f t="shared" si="214"/>
        <v>2418.1010457498951</v>
      </c>
      <c r="AK99" s="56">
        <f t="shared" si="215"/>
        <v>2417.4906880357084</v>
      </c>
      <c r="AL99" s="56">
        <f t="shared" si="216"/>
        <v>2418.101565505669</v>
      </c>
      <c r="AM99" s="56">
        <f t="shared" si="217"/>
        <v>2417.4912077914823</v>
      </c>
      <c r="AN99" s="45"/>
      <c r="AO99" s="45">
        <v>0</v>
      </c>
      <c r="AP99" s="24"/>
    </row>
    <row r="100" spans="1:42" s="20" customFormat="1" x14ac:dyDescent="0.2">
      <c r="A100" s="21"/>
      <c r="B100" s="43" t="str">
        <f>线路!B97</f>
        <v>IP73</v>
      </c>
      <c r="C100" s="44">
        <f>线路!E97</f>
        <v>454448.51079999999</v>
      </c>
      <c r="D100" s="44">
        <f>线路!F97</f>
        <v>3042383.8547</v>
      </c>
      <c r="E100" s="172">
        <f>线路!G97</f>
        <v>10</v>
      </c>
      <c r="F100" s="6">
        <f>线路!H97</f>
        <v>15.891</v>
      </c>
      <c r="G100" s="145">
        <f>线路!L97</f>
        <v>6259.8225750429201</v>
      </c>
      <c r="H100" s="145">
        <f>线路!M97</f>
        <v>6261.2093264000923</v>
      </c>
      <c r="I100" s="145">
        <f>线路!N97</f>
        <v>6262.5960777572645</v>
      </c>
      <c r="J100" s="58">
        <f t="shared" si="201"/>
        <v>2.7735027143444313</v>
      </c>
      <c r="K100" s="58">
        <f t="shared" si="202"/>
        <v>64.911049309819646</v>
      </c>
      <c r="L100" s="58">
        <f>IF(AO100=0,断面设计!$C$8,IF(AO100=1,断面设计!$C$33,IF(AO100=2,断面设计!$C$44*2,0)))</f>
        <v>1.5524731620415944</v>
      </c>
      <c r="M100" s="7">
        <f>IF(AO100=0,断面设计!$D$8,0)</f>
        <v>0.24932800284318068</v>
      </c>
      <c r="N100" s="59">
        <f t="shared" si="203"/>
        <v>1.4999999999999999E-2</v>
      </c>
      <c r="O100" s="60">
        <f>IF(AO100=0,断面设计!$I$8,IF(AO100=1,断面设计!$N$33,IF(AO100=2,断面设计!$G$44,断面设计!$I$8)))</f>
        <v>3000</v>
      </c>
      <c r="P100" s="61">
        <f>IF(AO100=0,断面设计!$L$8,IF(AO100=1,断面设计!$S$33,IF(AO100=2,断面设计!$N$44,0)))</f>
        <v>0.41</v>
      </c>
      <c r="Q100" s="59">
        <f>IF(AO100=0,断面设计!$B$8,IF(AO100=1,断面设计!$B$33,IF(AO100=2,断面设计!$B$44,0)))</f>
        <v>0.61035771418674445</v>
      </c>
      <c r="R100" s="58">
        <f>IF(AO100=0,断面设计!$E$8,IF(AO100=1,断面设计!$J$33,IF(AO100=2,断面设计!$D$44,0)))</f>
        <v>0.70474827215761959</v>
      </c>
      <c r="S100" s="58">
        <f>IF(AO100=0,断面设计!$F$8,IF(AO100=1,断面设计!$K$33,IF(AO100=2,断面设计!$D$44/断面设计!$E$44,0)))</f>
        <v>2.130349326053774</v>
      </c>
      <c r="T100" s="58">
        <f t="shared" si="204"/>
        <v>0.33081347905654718</v>
      </c>
      <c r="U100" s="58">
        <f t="shared" si="205"/>
        <v>0.58176801022124669</v>
      </c>
      <c r="V100" s="59">
        <f t="shared" si="206"/>
        <v>3.0558904985298734E-4</v>
      </c>
      <c r="W100" s="59"/>
      <c r="X100" s="59">
        <f>IF(AN100=0,IF(AN99=2,(H100-H99-AE99)/O100,(H100-H99)/O100),IF(AN100=1,IF(AN99=2,IF(AE100&lt;9,(H100-H99-AE100-AE99)/断面设计!$I$8,(H100-H99-AE100-AE99)/断面设计!$I$8),(H100-H99-AE100)/O99),(H100-H99)/O100))</f>
        <v>2.1637016436606548E-2</v>
      </c>
      <c r="Y100" s="59">
        <f t="shared" si="199"/>
        <v>0</v>
      </c>
      <c r="Z100" s="58">
        <f t="shared" si="218"/>
        <v>0</v>
      </c>
      <c r="AA100" s="69"/>
      <c r="AB100" s="56">
        <f t="shared" si="207"/>
        <v>0.61035771418674445</v>
      </c>
      <c r="AC100" s="56">
        <f t="shared" si="208"/>
        <v>2.1942605486459536E-2</v>
      </c>
      <c r="AD100" s="56">
        <f t="shared" si="209"/>
        <v>2418.0794937781843</v>
      </c>
      <c r="AE100" s="60">
        <f t="shared" si="210"/>
        <v>0</v>
      </c>
      <c r="AF100" s="56" t="str">
        <f t="shared" si="211"/>
        <v xml:space="preserve"> </v>
      </c>
      <c r="AG100" s="56" t="str">
        <f>IF(AE100=0," ",AF100-断面设计!$B$8)</f>
        <v xml:space="preserve"> </v>
      </c>
      <c r="AH100" s="56">
        <f t="shared" si="212"/>
        <v>2418.0802616176866</v>
      </c>
      <c r="AI100" s="56">
        <f t="shared" si="213"/>
        <v>2417.4699039034999</v>
      </c>
      <c r="AJ100" s="56">
        <f t="shared" si="214"/>
        <v>2418.0790315277318</v>
      </c>
      <c r="AK100" s="56">
        <f t="shared" si="215"/>
        <v>2417.4686738135451</v>
      </c>
      <c r="AL100" s="56">
        <f t="shared" si="216"/>
        <v>2418.0796465727094</v>
      </c>
      <c r="AM100" s="56">
        <f t="shared" si="217"/>
        <v>2417.4692888585228</v>
      </c>
      <c r="AN100" s="45"/>
      <c r="AO100" s="45">
        <v>0</v>
      </c>
      <c r="AP100" s="24"/>
    </row>
    <row r="101" spans="1:42" s="20" customFormat="1" x14ac:dyDescent="0.2">
      <c r="A101" s="21"/>
      <c r="B101" s="43" t="str">
        <f>线路!B98</f>
        <v>IP74</v>
      </c>
      <c r="C101" s="44">
        <f>线路!E98</f>
        <v>454517.2009</v>
      </c>
      <c r="D101" s="44">
        <f>线路!F98</f>
        <v>3042360.5693000001</v>
      </c>
      <c r="E101" s="172">
        <f>线路!G98</f>
        <v>10</v>
      </c>
      <c r="F101" s="6">
        <f>线路!H98</f>
        <v>148.124</v>
      </c>
      <c r="G101" s="145">
        <f>线路!L98</f>
        <v>6298.7128348791302</v>
      </c>
      <c r="H101" s="145">
        <f>线路!M98</f>
        <v>6311.6390923852505</v>
      </c>
      <c r="I101" s="145">
        <f>线路!N98</f>
        <v>6324.5653498913707</v>
      </c>
      <c r="J101" s="58">
        <f t="shared" si="201"/>
        <v>25.852515012240474</v>
      </c>
      <c r="K101" s="58">
        <f t="shared" si="202"/>
        <v>50.429765985158156</v>
      </c>
      <c r="L101" s="58">
        <f>IF(AO101=0,断面设计!$C$8,IF(AO101=1,断面设计!$C$33,IF(AO101=2,断面设计!$C$44*2,0)))</f>
        <v>1.5524731620415944</v>
      </c>
      <c r="M101" s="7">
        <f>IF(AO101=0,断面设计!$D$8,0)</f>
        <v>0.24932800284318068</v>
      </c>
      <c r="N101" s="59">
        <f t="shared" si="203"/>
        <v>1.4999999999999999E-2</v>
      </c>
      <c r="O101" s="60">
        <f>IF(AO101=0,断面设计!$I$8,IF(AO101=1,断面设计!$N$33,IF(AO101=2,断面设计!$G$44,断面设计!$I$8)))</f>
        <v>3000</v>
      </c>
      <c r="P101" s="61">
        <f>IF(AO101=0,断面设计!$L$8,IF(AO101=1,断面设计!$S$33,IF(AO101=2,断面设计!$N$44,0)))</f>
        <v>0.41</v>
      </c>
      <c r="Q101" s="59">
        <f>IF(AO101=0,断面设计!$B$8,IF(AO101=1,断面设计!$B$33,IF(AO101=2,断面设计!$B$44,0)))</f>
        <v>0.61035771418674445</v>
      </c>
      <c r="R101" s="58">
        <f>IF(AO101=0,断面设计!$E$8,IF(AO101=1,断面设计!$J$33,IF(AO101=2,断面设计!$D$44,0)))</f>
        <v>0.70474827215761959</v>
      </c>
      <c r="S101" s="58">
        <f>IF(AO101=0,断面设计!$F$8,IF(AO101=1,断面设计!$K$33,IF(AO101=2,断面设计!$D$44/断面设计!$E$44,0)))</f>
        <v>2.130349326053774</v>
      </c>
      <c r="T101" s="58">
        <f t="shared" si="204"/>
        <v>0.33081347905654718</v>
      </c>
      <c r="U101" s="58">
        <f t="shared" si="205"/>
        <v>0.58176801022124669</v>
      </c>
      <c r="V101" s="59">
        <f t="shared" si="206"/>
        <v>2.8484722434346087E-3</v>
      </c>
      <c r="W101" s="59"/>
      <c r="X101" s="59">
        <f>IF(AN101=0,IF(AN100=2,(H101-H100-AE100)/O101,(H101-H100)/O101),IF(AN101=1,IF(AN100=2,IF(AE101&lt;9,(H101-H100-AE101-AE100)/断面设计!$I$8,(H101-H100-AE101-AE100)/断面设计!$I$8),(H101-H100-AE101)/O100),(H101-H100)/O101))</f>
        <v>1.6809921995052719E-2</v>
      </c>
      <c r="Y101" s="59">
        <f t="shared" si="199"/>
        <v>0</v>
      </c>
      <c r="Z101" s="58">
        <f t="shared" si="218"/>
        <v>0</v>
      </c>
      <c r="AA101" s="69"/>
      <c r="AB101" s="56">
        <f t="shared" si="207"/>
        <v>0.61035771418674445</v>
      </c>
      <c r="AC101" s="56">
        <f t="shared" si="208"/>
        <v>1.965839423848733E-2</v>
      </c>
      <c r="AD101" s="56">
        <f t="shared" si="209"/>
        <v>2418.0598353839459</v>
      </c>
      <c r="AE101" s="60">
        <f t="shared" si="210"/>
        <v>0</v>
      </c>
      <c r="AF101" s="56" t="str">
        <f t="shared" si="211"/>
        <v xml:space="preserve"> </v>
      </c>
      <c r="AG101" s="56" t="str">
        <f>IF(AE101=0," ",AF101-断面设计!$B$8)</f>
        <v xml:space="preserve"> </v>
      </c>
      <c r="AH101" s="56">
        <f t="shared" si="212"/>
        <v>2418.0669926086912</v>
      </c>
      <c r="AI101" s="56">
        <f t="shared" si="213"/>
        <v>2417.4566348945045</v>
      </c>
      <c r="AJ101" s="56">
        <f t="shared" si="214"/>
        <v>2418.0555266314441</v>
      </c>
      <c r="AK101" s="56">
        <f t="shared" si="215"/>
        <v>2417.4451689172574</v>
      </c>
      <c r="AL101" s="56">
        <f t="shared" si="216"/>
        <v>2418.0612596200676</v>
      </c>
      <c r="AM101" s="56">
        <f t="shared" si="217"/>
        <v>2417.450901905881</v>
      </c>
      <c r="AN101" s="45"/>
      <c r="AO101" s="45">
        <v>0</v>
      </c>
      <c r="AP101" s="24"/>
    </row>
    <row r="102" spans="1:42" s="213" customFormat="1" x14ac:dyDescent="0.2">
      <c r="A102" s="217"/>
      <c r="B102" s="218" t="str">
        <f>线路!B99</f>
        <v>6#斗门</v>
      </c>
      <c r="C102" s="208">
        <f>线路!E99</f>
        <v>454465.14559999999</v>
      </c>
      <c r="D102" s="208">
        <f>线路!F99</f>
        <v>3042348.4082999998</v>
      </c>
      <c r="E102" s="219">
        <f>线路!G99</f>
        <v>10</v>
      </c>
      <c r="F102" s="6">
        <f>线路!H99</f>
        <v>0</v>
      </c>
      <c r="G102" s="220">
        <f>线路!L99</f>
        <v>6343.0051763009506</v>
      </c>
      <c r="H102" s="220">
        <f>线路!M99</f>
        <v>6343.0051763009506</v>
      </c>
      <c r="I102" s="220">
        <f>线路!N99</f>
        <v>6343.0051763009506</v>
      </c>
      <c r="J102" s="221">
        <f t="shared" si="201"/>
        <v>0</v>
      </c>
      <c r="K102" s="221">
        <f t="shared" si="202"/>
        <v>31.366083915700074</v>
      </c>
      <c r="L102" s="58">
        <f>IF(AO102=0,断面设计!$C$8,IF(AO102=1,断面设计!$C$33,IF(AO102=2,断面设计!$C$44*2,0)))</f>
        <v>1.5524731620415944</v>
      </c>
      <c r="M102" s="7">
        <f>IF(AO102=0,断面设计!$D$8,0)</f>
        <v>0.24932800284318068</v>
      </c>
      <c r="N102" s="222">
        <f t="shared" si="203"/>
        <v>1.4999999999999999E-2</v>
      </c>
      <c r="O102" s="60">
        <f>IF(AO102=0,断面设计!$I$8,IF(AO102=1,断面设计!$N$33,IF(AO102=2,断面设计!$G$44,断面设计!$I$8)))</f>
        <v>3000</v>
      </c>
      <c r="P102" s="61">
        <f>IF(AO102=0,断面设计!$L$8,IF(AO102=1,断面设计!$S$33,IF(AO102=2,断面设计!$N$44,0)))</f>
        <v>0.41</v>
      </c>
      <c r="Q102" s="59">
        <f>IF(AO102=0,断面设计!$B$8,IF(AO102=1,断面设计!$B$33,IF(AO102=2,断面设计!$B$44,0)))</f>
        <v>0.61035771418674445</v>
      </c>
      <c r="R102" s="58">
        <f>IF(AO102=0,断面设计!$E$8,IF(AO102=1,断面设计!$J$33,IF(AO102=2,断面设计!$D$44,0)))</f>
        <v>0.70474827215761959</v>
      </c>
      <c r="S102" s="58">
        <f>IF(AO102=0,断面设计!$F$8,IF(AO102=1,断面设计!$K$33,IF(AO102=2,断面设计!$D$44/断面设计!$E$44,0)))</f>
        <v>2.130349326053774</v>
      </c>
      <c r="T102" s="221">
        <f t="shared" si="204"/>
        <v>0.33081347905654718</v>
      </c>
      <c r="U102" s="221">
        <f t="shared" si="205"/>
        <v>0.58176801022124669</v>
      </c>
      <c r="V102" s="222">
        <f t="shared" si="206"/>
        <v>0</v>
      </c>
      <c r="W102" s="222"/>
      <c r="X102" s="222">
        <f>IF(AN102=0,IF(AN101=2,(H102-H101-AE101)/O102,(H102-H101)/O102),IF(AN102=1,IF(AN101=2,IF(AE102&lt;9,(H102-H101-AE102-AE101)/断面设计!$I$8,(H102-H101-AE102-AE101)/断面设计!$I$8),(H102-H101-AE102)/O101),(H102-H101)/O102))</f>
        <v>1.0455361305233358E-2</v>
      </c>
      <c r="Y102" s="222">
        <f t="shared" si="199"/>
        <v>0</v>
      </c>
      <c r="Z102" s="221">
        <f t="shared" si="218"/>
        <v>0</v>
      </c>
      <c r="AA102" s="224"/>
      <c r="AB102" s="225">
        <f t="shared" si="207"/>
        <v>0.61035771418674445</v>
      </c>
      <c r="AC102" s="225">
        <f t="shared" si="208"/>
        <v>1.0455361305233358E-2</v>
      </c>
      <c r="AD102" s="225">
        <f t="shared" si="209"/>
        <v>2418.0493800226409</v>
      </c>
      <c r="AE102" s="223">
        <f t="shared" si="210"/>
        <v>0</v>
      </c>
      <c r="AF102" s="225" t="str">
        <f t="shared" si="211"/>
        <v xml:space="preserve"> </v>
      </c>
      <c r="AG102" s="225" t="str">
        <f>IF(AE102=0," ",AF102-断面设计!$B$8)</f>
        <v xml:space="preserve"> </v>
      </c>
      <c r="AH102" s="225" t="str">
        <f t="shared" si="212"/>
        <v xml:space="preserve"> </v>
      </c>
      <c r="AI102" s="225" t="str">
        <f t="shared" si="213"/>
        <v xml:space="preserve"> </v>
      </c>
      <c r="AJ102" s="225" t="str">
        <f t="shared" si="214"/>
        <v xml:space="preserve"> </v>
      </c>
      <c r="AK102" s="225" t="str">
        <f t="shared" si="215"/>
        <v xml:space="preserve"> </v>
      </c>
      <c r="AL102" s="225">
        <f t="shared" si="216"/>
        <v>2418.0493800226409</v>
      </c>
      <c r="AM102" s="225">
        <f t="shared" si="217"/>
        <v>2417.4390223084542</v>
      </c>
      <c r="AN102" s="226"/>
      <c r="AO102" s="226">
        <v>0</v>
      </c>
      <c r="AP102" s="227"/>
    </row>
    <row r="103" spans="1:42" s="20" customFormat="1" x14ac:dyDescent="0.2">
      <c r="A103" s="21"/>
      <c r="B103" s="43" t="str">
        <f>线路!B100</f>
        <v>IP75</v>
      </c>
      <c r="C103" s="44">
        <f>线路!E100</f>
        <v>454431.34240000002</v>
      </c>
      <c r="D103" s="44">
        <f>线路!F100</f>
        <v>3042340.5112999999</v>
      </c>
      <c r="E103" s="172">
        <f>线路!G100</f>
        <v>10</v>
      </c>
      <c r="F103" s="6">
        <f>线路!H100</f>
        <v>116.86</v>
      </c>
      <c r="G103" s="145">
        <f>线路!L100</f>
        <v>6361.4447043739283</v>
      </c>
      <c r="H103" s="145">
        <f>线路!M100</f>
        <v>6371.6426631933309</v>
      </c>
      <c r="I103" s="145">
        <f>线路!N100</f>
        <v>6381.8406220127345</v>
      </c>
      <c r="J103" s="58">
        <f t="shared" si="201"/>
        <v>20.395917638806168</v>
      </c>
      <c r="K103" s="58">
        <f t="shared" si="202"/>
        <v>28.637486892380366</v>
      </c>
      <c r="L103" s="58">
        <f>IF(AO103=0,断面设计!$C$8,IF(AO103=1,断面设计!$C$33,IF(AO103=2,断面设计!$C$44*2,0)))</f>
        <v>1.5524731620415944</v>
      </c>
      <c r="M103" s="7">
        <f>IF(AO103=0,断面设计!$D$8,0)</f>
        <v>0.24932800284318068</v>
      </c>
      <c r="N103" s="59">
        <f t="shared" si="203"/>
        <v>1.4999999999999999E-2</v>
      </c>
      <c r="O103" s="60">
        <f>IF(AO103=0,断面设计!$I$8,IF(AO103=1,断面设计!$N$33,IF(AO103=2,断面设计!$G$44,断面设计!$I$8)))</f>
        <v>3000</v>
      </c>
      <c r="P103" s="61">
        <f>IF(AO103=0,断面设计!$L$8,IF(AO103=1,断面设计!$S$33,IF(AO103=2,断面设计!$N$44,0)))</f>
        <v>0.41</v>
      </c>
      <c r="Q103" s="59">
        <f>IF(AO103=0,断面设计!$B$8,IF(AO103=1,断面设计!$B$33,IF(AO103=2,断面设计!$B$44,0)))</f>
        <v>0.61035771418674445</v>
      </c>
      <c r="R103" s="58">
        <f>IF(AO103=0,断面设计!$E$8,IF(AO103=1,断面设计!$J$33,IF(AO103=2,断面设计!$D$44,0)))</f>
        <v>0.70474827215761959</v>
      </c>
      <c r="S103" s="58">
        <f>IF(AO103=0,断面设计!$F$8,IF(AO103=1,断面设计!$K$33,IF(AO103=2,断面设计!$D$44/断面设计!$E$44,0)))</f>
        <v>2.130349326053774</v>
      </c>
      <c r="T103" s="58">
        <f t="shared" si="204"/>
        <v>0.33081347905654718</v>
      </c>
      <c r="U103" s="58">
        <f t="shared" si="205"/>
        <v>0.58176801022124669</v>
      </c>
      <c r="V103" s="59">
        <f t="shared" si="206"/>
        <v>2.2472554506209647E-3</v>
      </c>
      <c r="W103" s="59"/>
      <c r="X103" s="59">
        <f>IF(AN103=0,IF(AN102=2,(H103-H102-AE102)/O103,(H103-H102)/O103),IF(AN103=1,IF(AN102=2,IF(AE103&lt;9,(H103-H102-AE103-AE102)/断面设计!$I$8,(H103-H102-AE103-AE102)/断面设计!$I$8),(H103-H102-AE103)/O102),(H103-H102)/O103))</f>
        <v>9.5458289641267881E-3</v>
      </c>
      <c r="Y103" s="59">
        <f t="shared" si="199"/>
        <v>0</v>
      </c>
      <c r="Z103" s="58">
        <f t="shared" si="218"/>
        <v>0</v>
      </c>
      <c r="AA103" s="69"/>
      <c r="AB103" s="56">
        <f t="shared" si="207"/>
        <v>0.61035771418674445</v>
      </c>
      <c r="AC103" s="56">
        <f t="shared" si="208"/>
        <v>1.1793084414747752E-2</v>
      </c>
      <c r="AD103" s="56">
        <f t="shared" si="209"/>
        <v>2418.037586938226</v>
      </c>
      <c r="AE103" s="60">
        <f t="shared" si="210"/>
        <v>0</v>
      </c>
      <c r="AF103" s="56" t="str">
        <f t="shared" si="211"/>
        <v xml:space="preserve"> </v>
      </c>
      <c r="AG103" s="56" t="str">
        <f>IF(AE103=0," ",AF103-断面设计!$B$8)</f>
        <v xml:space="preserve"> </v>
      </c>
      <c r="AH103" s="56">
        <f t="shared" si="212"/>
        <v>2418.0432335132832</v>
      </c>
      <c r="AI103" s="56">
        <f t="shared" si="213"/>
        <v>2417.4328757990966</v>
      </c>
      <c r="AJ103" s="56">
        <f t="shared" si="214"/>
        <v>2418.0341876186194</v>
      </c>
      <c r="AK103" s="56">
        <f t="shared" si="215"/>
        <v>2417.4238299044328</v>
      </c>
      <c r="AL103" s="56">
        <f t="shared" si="216"/>
        <v>2418.0387105659515</v>
      </c>
      <c r="AM103" s="56">
        <f t="shared" si="217"/>
        <v>2417.4283528517649</v>
      </c>
      <c r="AN103" s="45"/>
      <c r="AO103" s="45">
        <v>0</v>
      </c>
      <c r="AP103" s="24"/>
    </row>
    <row r="104" spans="1:42" s="20" customFormat="1" x14ac:dyDescent="0.2">
      <c r="A104" s="21"/>
      <c r="B104" s="43" t="str">
        <f>线路!B101</f>
        <v>IP76</v>
      </c>
      <c r="C104" s="44">
        <f>线路!E101</f>
        <v>454466.08380000002</v>
      </c>
      <c r="D104" s="44">
        <f>线路!F101</f>
        <v>3042299.1217999998</v>
      </c>
      <c r="E104" s="172">
        <f>线路!G101</f>
        <v>10</v>
      </c>
      <c r="F104" s="6">
        <f>线路!H101</f>
        <v>12.614000000000001</v>
      </c>
      <c r="G104" s="145">
        <f>线路!L101</f>
        <v>6418.4990591165242</v>
      </c>
      <c r="H104" s="145">
        <f>线路!M101</f>
        <v>6419.5998382757571</v>
      </c>
      <c r="I104" s="145">
        <f>线路!N101</f>
        <v>6420.7006174349899</v>
      </c>
      <c r="J104" s="58">
        <f t="shared" si="201"/>
        <v>2.2015583184656862</v>
      </c>
      <c r="K104" s="58">
        <f t="shared" si="202"/>
        <v>47.957175082426147</v>
      </c>
      <c r="L104" s="58">
        <f>IF(AO104=0,断面设计!$C$8,IF(AO104=1,断面设计!$C$33,IF(AO104=2,断面设计!$C$44*2,0)))</f>
        <v>1.5524731620415944</v>
      </c>
      <c r="M104" s="7">
        <f>IF(AO104=0,断面设计!$D$8,0)</f>
        <v>0.24932800284318068</v>
      </c>
      <c r="N104" s="59">
        <f t="shared" si="203"/>
        <v>1.4999999999999999E-2</v>
      </c>
      <c r="O104" s="60">
        <f>IF(AO104=0,断面设计!$I$8,IF(AO104=1,断面设计!$N$33,IF(AO104=2,断面设计!$G$44,断面设计!$I$8)))</f>
        <v>3000</v>
      </c>
      <c r="P104" s="61">
        <f>IF(AO104=0,断面设计!$L$8,IF(AO104=1,断面设计!$S$33,IF(AO104=2,断面设计!$N$44,0)))</f>
        <v>0.41</v>
      </c>
      <c r="Q104" s="59">
        <f>IF(AO104=0,断面设计!$B$8,IF(AO104=1,断面设计!$B$33,IF(AO104=2,断面设计!$B$44,0)))</f>
        <v>0.61035771418674445</v>
      </c>
      <c r="R104" s="58">
        <f>IF(AO104=0,断面设计!$E$8,IF(AO104=1,断面设计!$J$33,IF(AO104=2,断面设计!$D$44,0)))</f>
        <v>0.70474827215761959</v>
      </c>
      <c r="S104" s="58">
        <f>IF(AO104=0,断面设计!$F$8,IF(AO104=1,断面设计!$K$33,IF(AO104=2,断面设计!$D$44/断面设计!$E$44,0)))</f>
        <v>2.130349326053774</v>
      </c>
      <c r="T104" s="58">
        <f t="shared" si="204"/>
        <v>0.33081347905654718</v>
      </c>
      <c r="U104" s="58">
        <f t="shared" si="205"/>
        <v>0.58176801022124669</v>
      </c>
      <c r="V104" s="59">
        <f t="shared" si="206"/>
        <v>2.425712840504257E-4</v>
      </c>
      <c r="W104" s="59"/>
      <c r="X104" s="59">
        <f>IF(AN104=0,IF(AN103=2,(H104-H103-AE103)/O104,(H104-H103)/O104),IF(AN104=1,IF(AN103=2,IF(AE104&lt;9,(H104-H103-AE104-AE103)/断面设计!$I$8,(H104-H103-AE104-AE103)/断面设计!$I$8),(H104-H103-AE104)/O103),(H104-H103)/O104))</f>
        <v>1.5985725027475382E-2</v>
      </c>
      <c r="Y104" s="59">
        <f t="shared" si="199"/>
        <v>0</v>
      </c>
      <c r="Z104" s="58">
        <f t="shared" si="218"/>
        <v>0</v>
      </c>
      <c r="AA104" s="69"/>
      <c r="AB104" s="56">
        <f t="shared" si="207"/>
        <v>0.61035771418674445</v>
      </c>
      <c r="AC104" s="56">
        <f t="shared" si="208"/>
        <v>1.6228296311525808E-2</v>
      </c>
      <c r="AD104" s="56">
        <f t="shared" si="209"/>
        <v>2418.0213586419145</v>
      </c>
      <c r="AE104" s="60">
        <f t="shared" si="210"/>
        <v>0</v>
      </c>
      <c r="AF104" s="56" t="str">
        <f t="shared" si="211"/>
        <v xml:space="preserve"> </v>
      </c>
      <c r="AG104" s="56" t="str">
        <f>IF(AE104=0," ",AF104-断面设计!$B$8)</f>
        <v xml:space="preserve"> </v>
      </c>
      <c r="AH104" s="56">
        <f t="shared" si="212"/>
        <v>2418.0219681395852</v>
      </c>
      <c r="AI104" s="56">
        <f t="shared" si="213"/>
        <v>2417.4116104253985</v>
      </c>
      <c r="AJ104" s="56">
        <f t="shared" si="214"/>
        <v>2418.020991715528</v>
      </c>
      <c r="AK104" s="56">
        <f t="shared" si="215"/>
        <v>2417.4106340013414</v>
      </c>
      <c r="AL104" s="56">
        <f t="shared" si="216"/>
        <v>2418.0214799275564</v>
      </c>
      <c r="AM104" s="56">
        <f t="shared" si="217"/>
        <v>2417.4111222133697</v>
      </c>
      <c r="AN104" s="45"/>
      <c r="AO104" s="45">
        <v>0</v>
      </c>
      <c r="AP104" s="24"/>
    </row>
    <row r="105" spans="1:42" s="20" customFormat="1" x14ac:dyDescent="0.2">
      <c r="A105" s="21"/>
      <c r="B105" s="43" t="str">
        <f>线路!B102</f>
        <v>IP77</v>
      </c>
      <c r="C105" s="44">
        <f>线路!E102</f>
        <v>454503.11869999999</v>
      </c>
      <c r="D105" s="44">
        <f>线路!F102</f>
        <v>3042270.8300999999</v>
      </c>
      <c r="E105" s="172">
        <f>线路!G102</f>
        <v>10</v>
      </c>
      <c r="F105" s="6">
        <f>线路!H102</f>
        <v>128.548</v>
      </c>
      <c r="G105" s="145">
        <f>线路!L102</f>
        <v>6445.4457772114329</v>
      </c>
      <c r="H105" s="145">
        <f>线路!M102</f>
        <v>6456.6637064457009</v>
      </c>
      <c r="I105" s="145">
        <f>线路!N102</f>
        <v>6467.8816356799698</v>
      </c>
      <c r="J105" s="58">
        <f t="shared" si="201"/>
        <v>22.435858468536935</v>
      </c>
      <c r="K105" s="58">
        <f t="shared" si="202"/>
        <v>37.063868169943817</v>
      </c>
      <c r="L105" s="58">
        <f>IF(AO105=0,断面设计!$C$8,IF(AO105=1,断面设计!$C$33,IF(AO105=2,断面设计!$C$44*2,0)))</f>
        <v>1.5524731620415944</v>
      </c>
      <c r="M105" s="7">
        <f>IF(AO105=0,断面设计!$D$8,0)</f>
        <v>0.24932800284318068</v>
      </c>
      <c r="N105" s="59">
        <f t="shared" si="203"/>
        <v>1.4999999999999999E-2</v>
      </c>
      <c r="O105" s="60">
        <f>IF(AO105=0,断面设计!$I$8,IF(AO105=1,断面设计!$N$33,IF(AO105=2,断面设计!$G$44,断面设计!$I$8)))</f>
        <v>3000</v>
      </c>
      <c r="P105" s="61">
        <f>IF(AO105=0,断面设计!$L$8,IF(AO105=1,断面设计!$S$33,IF(AO105=2,断面设计!$N$44,0)))</f>
        <v>0.41</v>
      </c>
      <c r="Q105" s="59">
        <f>IF(AO105=0,断面设计!$B$8,IF(AO105=1,断面设计!$B$33,IF(AO105=2,断面设计!$B$44,0)))</f>
        <v>0.61035771418674445</v>
      </c>
      <c r="R105" s="58">
        <f>IF(AO105=0,断面设计!$E$8,IF(AO105=1,断面设计!$J$33,IF(AO105=2,断面设计!$D$44,0)))</f>
        <v>0.70474827215761959</v>
      </c>
      <c r="S105" s="58">
        <f>IF(AO105=0,断面设计!$F$8,IF(AO105=1,断面设计!$K$33,IF(AO105=2,断面设计!$D$44/断面设计!$E$44,0)))</f>
        <v>2.130349326053774</v>
      </c>
      <c r="T105" s="58">
        <f t="shared" si="204"/>
        <v>0.33081347905654718</v>
      </c>
      <c r="U105" s="58">
        <f t="shared" si="205"/>
        <v>0.58176801022124669</v>
      </c>
      <c r="V105" s="59">
        <f t="shared" si="206"/>
        <v>2.4720194563274053E-3</v>
      </c>
      <c r="W105" s="59"/>
      <c r="X105" s="59">
        <f>IF(AN105=0,IF(AN104=2,(H105-H104-AE104)/O105,(H105-H104)/O105),IF(AN105=1,IF(AN104=2,IF(AE105&lt;9,(H105-H104-AE105-AE104)/断面设计!$I$8,(H105-H104-AE105-AE104)/断面设计!$I$8),(H105-H104-AE105)/O104),(H105-H104)/O105))</f>
        <v>1.2354622723314605E-2</v>
      </c>
      <c r="Y105" s="59">
        <f t="shared" si="199"/>
        <v>0</v>
      </c>
      <c r="Z105" s="58">
        <f t="shared" si="218"/>
        <v>0</v>
      </c>
      <c r="AA105" s="69"/>
      <c r="AB105" s="56">
        <f t="shared" si="207"/>
        <v>0.61035771418674445</v>
      </c>
      <c r="AC105" s="56">
        <f t="shared" si="208"/>
        <v>1.4826642179642011E-2</v>
      </c>
      <c r="AD105" s="56">
        <f t="shared" si="209"/>
        <v>2418.0065319997348</v>
      </c>
      <c r="AE105" s="60">
        <f t="shared" si="210"/>
        <v>0</v>
      </c>
      <c r="AF105" s="56" t="str">
        <f t="shared" si="211"/>
        <v xml:space="preserve"> </v>
      </c>
      <c r="AG105" s="56" t="str">
        <f>IF(AE105=0," ",AF105-断面设计!$B$8)</f>
        <v xml:space="preserve"> </v>
      </c>
      <c r="AH105" s="56">
        <f t="shared" si="212"/>
        <v>2418.0127433289358</v>
      </c>
      <c r="AI105" s="56">
        <f t="shared" si="213"/>
        <v>2417.4023856147492</v>
      </c>
      <c r="AJ105" s="56">
        <f t="shared" si="214"/>
        <v>2418.0027926899902</v>
      </c>
      <c r="AK105" s="56">
        <f t="shared" si="215"/>
        <v>2417.3924349758036</v>
      </c>
      <c r="AL105" s="56">
        <f t="shared" si="216"/>
        <v>2418.0077680094628</v>
      </c>
      <c r="AM105" s="56">
        <f t="shared" si="217"/>
        <v>2417.3974102952761</v>
      </c>
      <c r="AN105" s="45"/>
      <c r="AO105" s="45">
        <v>0</v>
      </c>
      <c r="AP105" s="24"/>
    </row>
    <row r="106" spans="1:42" s="20" customFormat="1" x14ac:dyDescent="0.2">
      <c r="A106" s="21"/>
      <c r="B106" s="43" t="str">
        <f>线路!B103</f>
        <v>IP78</v>
      </c>
      <c r="C106" s="44">
        <f>线路!E103</f>
        <v>454464.56329999998</v>
      </c>
      <c r="D106" s="44">
        <f>线路!F103</f>
        <v>3042261.1634</v>
      </c>
      <c r="E106" s="172">
        <f>线路!G103</f>
        <v>10</v>
      </c>
      <c r="F106" s="6">
        <f>线路!H103</f>
        <v>51.872</v>
      </c>
      <c r="G106" s="145">
        <f>线路!L103</f>
        <v>6482.0125318578566</v>
      </c>
      <c r="H106" s="145">
        <f>线路!M103</f>
        <v>6486.5392178058291</v>
      </c>
      <c r="I106" s="145">
        <f>线路!N103</f>
        <v>6491.0659037538016</v>
      </c>
      <c r="J106" s="58">
        <f t="shared" si="201"/>
        <v>9.0533718959450198</v>
      </c>
      <c r="K106" s="58">
        <f t="shared" si="202"/>
        <v>29.875511360128257</v>
      </c>
      <c r="L106" s="58">
        <f>IF(AO106=0,断面设计!$C$8,IF(AO106=1,断面设计!$C$33,IF(AO106=2,断面设计!$C$44*2,0)))</f>
        <v>1.5524731620415944</v>
      </c>
      <c r="M106" s="7">
        <f>IF(AO106=0,断面设计!$D$8,0)</f>
        <v>0.24932800284318068</v>
      </c>
      <c r="N106" s="59">
        <f t="shared" si="203"/>
        <v>1.4999999999999999E-2</v>
      </c>
      <c r="O106" s="60">
        <f>IF(AO106=0,断面设计!$I$8,IF(AO106=1,断面设计!$N$33,IF(AO106=2,断面设计!$G$44,断面设计!$I$8)))</f>
        <v>3000</v>
      </c>
      <c r="P106" s="61">
        <f>IF(AO106=0,断面设计!$L$8,IF(AO106=1,断面设计!$S$33,IF(AO106=2,断面设计!$N$44,0)))</f>
        <v>0.41</v>
      </c>
      <c r="Q106" s="59">
        <f>IF(AO106=0,断面设计!$B$8,IF(AO106=1,断面设计!$B$33,IF(AO106=2,断面设计!$B$44,0)))</f>
        <v>0.61035771418674445</v>
      </c>
      <c r="R106" s="58">
        <f>IF(AO106=0,断面设计!$E$8,IF(AO106=1,断面设计!$J$33,IF(AO106=2,断面设计!$D$44,0)))</f>
        <v>0.70474827215761959</v>
      </c>
      <c r="S106" s="58">
        <f>IF(AO106=0,断面设计!$F$8,IF(AO106=1,断面设计!$K$33,IF(AO106=2,断面设计!$D$44/断面设计!$E$44,0)))</f>
        <v>2.130349326053774</v>
      </c>
      <c r="T106" s="58">
        <f t="shared" si="204"/>
        <v>0.33081347905654718</v>
      </c>
      <c r="U106" s="58">
        <f t="shared" si="205"/>
        <v>0.58176801022124669</v>
      </c>
      <c r="V106" s="59">
        <f t="shared" si="206"/>
        <v>9.9751527241664093E-4</v>
      </c>
      <c r="W106" s="59"/>
      <c r="X106" s="59">
        <f>IF(AN106=0,IF(AN105=2,(H106-H105-AE105)/O106,(H106-H105)/O106),IF(AN106=1,IF(AN105=2,IF(AE106&lt;9,(H106-H105-AE106-AE105)/断面设计!$I$8,(H106-H105-AE106-AE105)/断面设计!$I$8),(H106-H105-AE106)/O105),(H106-H105)/O106))</f>
        <v>9.9585037867094186E-3</v>
      </c>
      <c r="Y106" s="59">
        <f t="shared" si="199"/>
        <v>0</v>
      </c>
      <c r="Z106" s="58">
        <f t="shared" si="218"/>
        <v>0</v>
      </c>
      <c r="AA106" s="69"/>
      <c r="AB106" s="56">
        <f t="shared" si="207"/>
        <v>0.61035771418674445</v>
      </c>
      <c r="AC106" s="56">
        <f t="shared" si="208"/>
        <v>1.0956019059126059E-2</v>
      </c>
      <c r="AD106" s="56">
        <f t="shared" si="209"/>
        <v>2417.9955759806758</v>
      </c>
      <c r="AE106" s="60">
        <f t="shared" si="210"/>
        <v>0</v>
      </c>
      <c r="AF106" s="56" t="str">
        <f t="shared" si="211"/>
        <v xml:space="preserve"> </v>
      </c>
      <c r="AG106" s="56" t="str">
        <f>IF(AE106=0," ",AF106-断面设计!$B$8)</f>
        <v xml:space="preserve"> </v>
      </c>
      <c r="AH106" s="56">
        <f t="shared" si="212"/>
        <v>2417.9980823912642</v>
      </c>
      <c r="AI106" s="56">
        <f t="shared" si="213"/>
        <v>2417.3877246770776</v>
      </c>
      <c r="AJ106" s="56">
        <f t="shared" si="214"/>
        <v>2417.9940670853598</v>
      </c>
      <c r="AK106" s="56">
        <f t="shared" si="215"/>
        <v>2417.3837093711732</v>
      </c>
      <c r="AL106" s="56">
        <f t="shared" si="216"/>
        <v>2417.996074738312</v>
      </c>
      <c r="AM106" s="56">
        <f t="shared" si="217"/>
        <v>2417.3857170241254</v>
      </c>
      <c r="AN106" s="45"/>
      <c r="AO106" s="45">
        <v>0</v>
      </c>
      <c r="AP106" s="24">
        <v>2417.89</v>
      </c>
    </row>
    <row r="107" spans="1:42" s="166" customFormat="1" x14ac:dyDescent="0.2">
      <c r="A107" s="164"/>
      <c r="B107" s="147" t="str">
        <f>线路!B104</f>
        <v>3#隧进</v>
      </c>
      <c r="C107" s="148">
        <f>线路!E104</f>
        <v>454454.91739999998</v>
      </c>
      <c r="D107" s="148">
        <f>线路!F104</f>
        <v>3042239.5521999998</v>
      </c>
      <c r="E107" s="174">
        <f>线路!G104</f>
        <v>10</v>
      </c>
      <c r="F107" s="6">
        <f>线路!H104</f>
        <v>0</v>
      </c>
      <c r="G107" s="149">
        <f>线路!L104</f>
        <v>6509.8685623452666</v>
      </c>
      <c r="H107" s="149">
        <f>线路!M104</f>
        <v>6509.8685623452666</v>
      </c>
      <c r="I107" s="149">
        <f>线路!N104</f>
        <v>6509.8685623452666</v>
      </c>
      <c r="J107" s="150">
        <f t="shared" si="190"/>
        <v>0</v>
      </c>
      <c r="K107" s="150">
        <f t="shared" si="191"/>
        <v>23.329344539437443</v>
      </c>
      <c r="L107" s="58">
        <f>IF(AO107=0,断面设计!$C$8,IF(AO107=1,断面设计!$C$33,IF(AO107=2,断面设计!$C$44*2,0)))</f>
        <v>1.8</v>
      </c>
      <c r="M107" s="7">
        <f>IF(AO107=0,断面设计!$D$8,0)</f>
        <v>0</v>
      </c>
      <c r="N107" s="151">
        <f t="shared" si="192"/>
        <v>1.4E-2</v>
      </c>
      <c r="O107" s="60">
        <f>IF(AO107=0,断面设计!$I$8,IF(AO107=1,断面设计!$N$33,IF(AO107=2,断面设计!$G$44,断面设计!$I$8)))</f>
        <v>7000</v>
      </c>
      <c r="P107" s="61">
        <f>IF(AO107=0,断面设计!$L$8,IF(AO107=1,断面设计!$S$33,IF(AO107=2,断面设计!$N$44,0)))</f>
        <v>0.41</v>
      </c>
      <c r="Q107" s="59">
        <f>IF(AO107=0,断面设计!$B$8,IF(AO107=1,断面设计!$B$33,IF(AO107=2,断面设计!$B$44,0)))</f>
        <v>0.54746804082763056</v>
      </c>
      <c r="R107" s="58">
        <f>IF(AO107=0,断面设计!$E$8,IF(AO107=1,断面设计!$J$33,IF(AO107=2,断面设计!$D$44,0)))</f>
        <v>0.98544247348973502</v>
      </c>
      <c r="S107" s="58">
        <f>IF(AO107=0,断面设计!$F$8,IF(AO107=1,断面设计!$K$33,IF(AO107=2,断面设计!$D$44/断面设计!$E$44,0)))</f>
        <v>2.8949360816552612</v>
      </c>
      <c r="T107" s="150">
        <f t="shared" si="193"/>
        <v>0.34040215248078309</v>
      </c>
      <c r="U107" s="150">
        <f t="shared" si="194"/>
        <v>0.41605675727378805</v>
      </c>
      <c r="V107" s="151">
        <f t="shared" si="195"/>
        <v>0</v>
      </c>
      <c r="W107" s="151">
        <f>1.15*(U107^2/2-U106^2/2)/9.81</f>
        <v>-9.6918150514857335E-3</v>
      </c>
      <c r="X107" s="151">
        <f>IF(AN107=0,IF(AN106=2,(H107-H106-AE106)/O107,(H107-H106)/O107),IF(AN107=1,IF(AN106=2,IF(AE107&lt;9,(H107-H106-AE107-AE106)/断面设计!$I$8,(H107-H106-AE107-AE106)/断面设计!$I$8),(H107-H106-AE107)/O106),(H107-H106)/O107))</f>
        <v>6.1097815131458139E-3</v>
      </c>
      <c r="Y107" s="151">
        <v>0</v>
      </c>
      <c r="Z107" s="150">
        <f t="shared" ref="Z107:Z122" si="219">Z106</f>
        <v>0</v>
      </c>
      <c r="AA107" s="153"/>
      <c r="AB107" s="154">
        <f t="shared" si="196"/>
        <v>0.54746804082763056</v>
      </c>
      <c r="AC107" s="56">
        <f t="shared" si="134"/>
        <v>-3.5820335383399196E-3</v>
      </c>
      <c r="AD107" s="154">
        <f t="shared" si="197"/>
        <v>2417.9991580142141</v>
      </c>
      <c r="AE107" s="152">
        <v>5</v>
      </c>
      <c r="AF107" s="154">
        <f t="shared" si="198"/>
        <v>2417.9894661991625</v>
      </c>
      <c r="AG107" s="154">
        <f>IF(AE107=0," ",AF107-断面设计!$B$8)</f>
        <v>2417.3791084849759</v>
      </c>
      <c r="AH107" s="56" t="str">
        <f t="shared" si="135"/>
        <v xml:space="preserve"> </v>
      </c>
      <c r="AI107" s="56" t="str">
        <f t="shared" si="136"/>
        <v xml:space="preserve"> </v>
      </c>
      <c r="AJ107" s="56" t="str">
        <f t="shared" si="137"/>
        <v xml:space="preserve"> </v>
      </c>
      <c r="AK107" s="56" t="str">
        <f t="shared" si="138"/>
        <v xml:space="preserve"> </v>
      </c>
      <c r="AL107" s="56">
        <f t="shared" si="139"/>
        <v>2417.9991580142141</v>
      </c>
      <c r="AM107" s="56">
        <f t="shared" si="140"/>
        <v>2417.4516899733867</v>
      </c>
      <c r="AN107" s="155">
        <v>1</v>
      </c>
      <c r="AO107" s="155">
        <v>1</v>
      </c>
      <c r="AP107" s="165"/>
    </row>
    <row r="108" spans="1:42" s="166" customFormat="1" x14ac:dyDescent="0.2">
      <c r="A108" s="164"/>
      <c r="B108" s="147" t="str">
        <f>线路!B105</f>
        <v>3#隧出</v>
      </c>
      <c r="C108" s="148">
        <f>线路!E105</f>
        <v>454392.84159999999</v>
      </c>
      <c r="D108" s="148">
        <f>线路!F105</f>
        <v>3042100.4750000001</v>
      </c>
      <c r="E108" s="174">
        <f>线路!G105</f>
        <v>10</v>
      </c>
      <c r="F108" s="6">
        <f>线路!H105</f>
        <v>0</v>
      </c>
      <c r="G108" s="149">
        <f>线路!L105</f>
        <v>6662.170474695039</v>
      </c>
      <c r="H108" s="149">
        <f>线路!M105</f>
        <v>6662.170474695039</v>
      </c>
      <c r="I108" s="149">
        <f>线路!N105</f>
        <v>6662.170474695039</v>
      </c>
      <c r="J108" s="150">
        <f t="shared" si="190"/>
        <v>0</v>
      </c>
      <c r="K108" s="150">
        <f t="shared" si="191"/>
        <v>152.30191234977246</v>
      </c>
      <c r="L108" s="58">
        <f>IF(AO108=0,断面设计!$C$8,IF(AO108=1,断面设计!$C$33,IF(AO108=2,断面设计!$C$44*2,0)))</f>
        <v>1.8</v>
      </c>
      <c r="M108" s="7">
        <f>IF(AO108=0,断面设计!$D$8,0)</f>
        <v>0</v>
      </c>
      <c r="N108" s="151">
        <f t="shared" si="192"/>
        <v>1.4E-2</v>
      </c>
      <c r="O108" s="60">
        <f>IF(AO108=0,断面设计!$I$8,IF(AO108=1,断面设计!$N$33,IF(AO108=2,断面设计!$G$44,断面设计!$I$8)))</f>
        <v>7000</v>
      </c>
      <c r="P108" s="61">
        <f>IF(AO108=0,断面设计!$L$8,IF(AO108=1,断面设计!$S$33,IF(AO108=2,断面设计!$N$44,0)))</f>
        <v>0.41</v>
      </c>
      <c r="Q108" s="59">
        <f>IF(AO108=0,断面设计!$B$8,IF(AO108=1,断面设计!$B$33,IF(AO108=2,断面设计!$B$44,0)))</f>
        <v>0.54746804082763056</v>
      </c>
      <c r="R108" s="58">
        <f>IF(AO108=0,断面设计!$E$8,IF(AO108=1,断面设计!$J$33,IF(AO108=2,断面设计!$D$44,0)))</f>
        <v>0.98544247348973502</v>
      </c>
      <c r="S108" s="58">
        <f>IF(AO108=0,断面设计!$F$8,IF(AO108=1,断面设计!$K$33,IF(AO108=2,断面设计!$D$44/断面设计!$E$44,0)))</f>
        <v>2.8949360816552612</v>
      </c>
      <c r="T108" s="150">
        <f t="shared" si="193"/>
        <v>0.34040215248078309</v>
      </c>
      <c r="U108" s="150">
        <f t="shared" si="194"/>
        <v>0.41605675727378805</v>
      </c>
      <c r="V108" s="151">
        <f t="shared" si="195"/>
        <v>0</v>
      </c>
      <c r="W108" s="151">
        <f>-0.6*(U108^2/2-U109^2/2)/9.81</f>
        <v>5.056599157296904E-3</v>
      </c>
      <c r="X108" s="151">
        <f>IF(AN108=0,IF(AN107=2,(H108-H107-AE107)/O108,(H108-H107)/O108),IF(AN108=1,IF(AN107=2,IF(AE108&lt;9,(H108-H107-AE108-AE107)/断面设计!$I$8,(H108-H107-AE108-AE107)/断面设计!$I$8),(H108-H107-AE108)/O107),(H108-H107)/O108))</f>
        <v>2.1757416049967494E-2</v>
      </c>
      <c r="Y108" s="151">
        <v>0</v>
      </c>
      <c r="Z108" s="150">
        <f t="shared" si="219"/>
        <v>0</v>
      </c>
      <c r="AA108" s="153"/>
      <c r="AB108" s="154">
        <f t="shared" si="196"/>
        <v>0.54746804082763056</v>
      </c>
      <c r="AC108" s="56">
        <f t="shared" si="134"/>
        <v>2.6814015207264397E-2</v>
      </c>
      <c r="AD108" s="154">
        <f t="shared" si="197"/>
        <v>2417.9723439990071</v>
      </c>
      <c r="AE108" s="152">
        <v>5</v>
      </c>
      <c r="AF108" s="154">
        <f t="shared" si="198"/>
        <v>2417.9723439990071</v>
      </c>
      <c r="AG108" s="154">
        <f>IF(AE108=0," ",AF108-断面设计!$B$8)</f>
        <v>2417.3619862848204</v>
      </c>
      <c r="AH108" s="56" t="str">
        <f t="shared" si="135"/>
        <v xml:space="preserve"> </v>
      </c>
      <c r="AI108" s="56" t="str">
        <f t="shared" si="136"/>
        <v xml:space="preserve"> </v>
      </c>
      <c r="AJ108" s="56" t="str">
        <f t="shared" si="137"/>
        <v xml:space="preserve"> </v>
      </c>
      <c r="AK108" s="56" t="str">
        <f t="shared" si="138"/>
        <v xml:space="preserve"> </v>
      </c>
      <c r="AL108" s="56">
        <f t="shared" si="139"/>
        <v>2417.9774005981644</v>
      </c>
      <c r="AM108" s="56">
        <f t="shared" si="140"/>
        <v>2417.429932557337</v>
      </c>
      <c r="AN108" s="155">
        <v>2</v>
      </c>
      <c r="AO108" s="155">
        <v>1</v>
      </c>
      <c r="AP108" s="165">
        <v>2417.81</v>
      </c>
    </row>
    <row r="109" spans="1:42" s="158" customFormat="1" x14ac:dyDescent="0.2">
      <c r="A109" s="163"/>
      <c r="B109" s="47" t="str">
        <f>线路!B106</f>
        <v>7#倒进</v>
      </c>
      <c r="C109" s="48">
        <f>线路!E106</f>
        <v>454372.9595</v>
      </c>
      <c r="D109" s="48">
        <f>线路!F106</f>
        <v>3042055.9301</v>
      </c>
      <c r="E109" s="173">
        <f>线路!G106</f>
        <v>10</v>
      </c>
      <c r="F109" s="6">
        <f>线路!H106</f>
        <v>0</v>
      </c>
      <c r="G109" s="146">
        <f>线路!L106</f>
        <v>6710.9510652657573</v>
      </c>
      <c r="H109" s="146">
        <f>线路!M106</f>
        <v>6710.9510652657573</v>
      </c>
      <c r="I109" s="146">
        <f>线路!N106</f>
        <v>6710.9510652657573</v>
      </c>
      <c r="J109" s="62">
        <f t="shared" si="190"/>
        <v>0</v>
      </c>
      <c r="K109" s="62">
        <f t="shared" si="191"/>
        <v>48.780590570718232</v>
      </c>
      <c r="L109" s="58">
        <f>IF(AO109=0,断面设计!$C$8,IF(AO109=1,断面设计!$C$33,IF(AO109=2,断面设计!$C$44*2,0)))</f>
        <v>1.5524731620415944</v>
      </c>
      <c r="M109" s="7">
        <f>IF(AO109=0,断面设计!$D$8,0)</f>
        <v>0.24932800284318068</v>
      </c>
      <c r="N109" s="63">
        <f t="shared" si="192"/>
        <v>1.4999999999999999E-2</v>
      </c>
      <c r="O109" s="60">
        <f>IF(AO109=0,断面设计!$I$8,IF(AO109=1,断面设计!$N$33,IF(AO109=2,断面设计!$G$44,断面设计!$I$8)))</f>
        <v>3000</v>
      </c>
      <c r="P109" s="61">
        <f>IF(AO109=0,断面设计!$L$8,IF(AO109=1,断面设计!$S$33,IF(AO109=2,断面设计!$N$44,0)))</f>
        <v>0.41</v>
      </c>
      <c r="Q109" s="59">
        <f>IF(AO109=0,断面设计!$B$8,IF(AO109=1,断面设计!$B$33,IF(AO109=2,断面设计!$B$44,0)))</f>
        <v>0.61035771418674445</v>
      </c>
      <c r="R109" s="58">
        <f>IF(AO109=0,断面设计!$E$8,IF(AO109=1,断面设计!$J$33,IF(AO109=2,断面设计!$D$44,0)))</f>
        <v>0.70474827215761959</v>
      </c>
      <c r="S109" s="58">
        <f>IF(AO109=0,断面设计!$F$8,IF(AO109=1,断面设计!$K$33,IF(AO109=2,断面设计!$D$44/断面设计!$E$44,0)))</f>
        <v>2.130349326053774</v>
      </c>
      <c r="T109" s="62">
        <f t="shared" si="193"/>
        <v>0.33081347905654718</v>
      </c>
      <c r="U109" s="62">
        <f t="shared" si="194"/>
        <v>0.58176801022124669</v>
      </c>
      <c r="V109" s="63">
        <f t="shared" ref="V109" si="220">(I109-G109)*N109^2/T109^(4/3)*U109^2*3/4*((L109+Q109*M109*2*1.3)/E109)^0.5</f>
        <v>0</v>
      </c>
      <c r="W109" s="63"/>
      <c r="X109" s="63">
        <f>IF(AN109=0,IF(AN108=2,(H109-H108-AE108)/O109,(H109-H108)/O109),IF(AN109=1,IF(AN108=2,IF(AE109&lt;9,(H109-H108-AE109-AE108)/断面设计!$I$8,(H109-H108-AE109-AE108)/断面设计!$I$8),(H109-H108-AE109)/O108),(H109-H108)/O109))</f>
        <v>1.4593530190239411E-2</v>
      </c>
      <c r="Y109" s="63">
        <v>0</v>
      </c>
      <c r="Z109" s="62">
        <f t="shared" si="219"/>
        <v>0</v>
      </c>
      <c r="AA109" s="70"/>
      <c r="AB109" s="71">
        <f t="shared" si="196"/>
        <v>0.61035771418674445</v>
      </c>
      <c r="AC109" s="71">
        <f t="shared" si="134"/>
        <v>1.4593530190239411E-2</v>
      </c>
      <c r="AD109" s="71">
        <f t="shared" si="197"/>
        <v>2417.9577504688168</v>
      </c>
      <c r="AE109" s="64">
        <f t="shared" si="200"/>
        <v>0</v>
      </c>
      <c r="AF109" s="71" t="str">
        <f t="shared" si="198"/>
        <v xml:space="preserve"> </v>
      </c>
      <c r="AG109" s="71" t="str">
        <f>IF(AE109=0," ",AF109-断面设计!$B$8)</f>
        <v xml:space="preserve"> </v>
      </c>
      <c r="AH109" s="71" t="str">
        <f t="shared" si="135"/>
        <v xml:space="preserve"> </v>
      </c>
      <c r="AI109" s="71" t="str">
        <f t="shared" si="136"/>
        <v xml:space="preserve"> </v>
      </c>
      <c r="AJ109" s="71" t="str">
        <f t="shared" si="137"/>
        <v xml:space="preserve"> </v>
      </c>
      <c r="AK109" s="71" t="str">
        <f t="shared" si="138"/>
        <v xml:space="preserve"> </v>
      </c>
      <c r="AL109" s="71">
        <f t="shared" si="139"/>
        <v>2417.9577504688168</v>
      </c>
      <c r="AM109" s="71">
        <f t="shared" si="140"/>
        <v>2417.3473927546302</v>
      </c>
      <c r="AN109" s="74">
        <v>1</v>
      </c>
      <c r="AO109" s="74">
        <v>0</v>
      </c>
      <c r="AP109" s="160"/>
    </row>
    <row r="110" spans="1:42" s="158" customFormat="1" x14ac:dyDescent="0.2">
      <c r="A110" s="163"/>
      <c r="B110" s="47" t="str">
        <f>线路!B107</f>
        <v>IP79</v>
      </c>
      <c r="C110" s="48">
        <f>线路!E107</f>
        <v>454361.87729999999</v>
      </c>
      <c r="D110" s="48">
        <f>线路!F107</f>
        <v>3042031.1011999999</v>
      </c>
      <c r="E110" s="173">
        <f>线路!G107</f>
        <v>2.4</v>
      </c>
      <c r="F110" s="6">
        <f>线路!H107</f>
        <v>24.399000000000001</v>
      </c>
      <c r="G110" s="146">
        <f>线路!L107</f>
        <v>6737.6220662037467</v>
      </c>
      <c r="H110" s="146">
        <f>线路!M107</f>
        <v>6738.1330776647792</v>
      </c>
      <c r="I110" s="146">
        <f>线路!N107</f>
        <v>6738.6440891258126</v>
      </c>
      <c r="J110" s="62">
        <f t="shared" si="190"/>
        <v>1.0220229220658439</v>
      </c>
      <c r="K110" s="62">
        <f t="shared" si="191"/>
        <v>27.182012399021914</v>
      </c>
      <c r="L110" s="58">
        <f>IF(AO110=0,断面设计!$C$8,IF(AO110=1,断面设计!$C$33,IF(AO110=2,断面设计!$C$44*2,0)))</f>
        <v>1.5524731620415944</v>
      </c>
      <c r="M110" s="7">
        <f>IF(AO110=0,断面设计!$D$8,0)</f>
        <v>0.24932800284318068</v>
      </c>
      <c r="N110" s="63">
        <f t="shared" si="192"/>
        <v>1.4999999999999999E-2</v>
      </c>
      <c r="O110" s="60">
        <f>IF(AO110=0,断面设计!$I$8,IF(AO110=1,断面设计!$N$33,IF(AO110=2,断面设计!$G$44,断面设计!$I$8)))</f>
        <v>3000</v>
      </c>
      <c r="P110" s="61">
        <f>IF(AO110=0,断面设计!$L$8,IF(AO110=1,断面设计!$S$33,IF(AO110=2,断面设计!$N$44,0)))</f>
        <v>0.41</v>
      </c>
      <c r="Q110" s="59">
        <f>IF(AO110=0,断面设计!$B$8,IF(AO110=1,断面设计!$B$33,IF(AO110=2,断面设计!$B$44,0)))</f>
        <v>0.61035771418674445</v>
      </c>
      <c r="R110" s="58">
        <f>IF(AO110=0,断面设计!$E$8,IF(AO110=1,断面设计!$J$33,IF(AO110=2,断面设计!$D$44,0)))</f>
        <v>0.70474827215761959</v>
      </c>
      <c r="S110" s="58">
        <f>IF(AO110=0,断面设计!$F$8,IF(AO110=1,断面设计!$K$33,IF(AO110=2,断面设计!$D$44/断面设计!$E$44,0)))</f>
        <v>2.130349326053774</v>
      </c>
      <c r="T110" s="62">
        <f t="shared" si="193"/>
        <v>0.33081347905654718</v>
      </c>
      <c r="U110" s="62">
        <f t="shared" si="194"/>
        <v>0.58176801022124669</v>
      </c>
      <c r="V110" s="63"/>
      <c r="W110" s="63"/>
      <c r="X110" s="63"/>
      <c r="Y110" s="63"/>
      <c r="Z110" s="62"/>
      <c r="AA110" s="70"/>
      <c r="AB110" s="71"/>
      <c r="AC110" s="71"/>
      <c r="AD110" s="71"/>
      <c r="AE110" s="64"/>
      <c r="AF110" s="71"/>
      <c r="AG110" s="71"/>
      <c r="AH110" s="71"/>
      <c r="AI110" s="71"/>
      <c r="AJ110" s="71"/>
      <c r="AK110" s="71"/>
      <c r="AL110" s="71"/>
      <c r="AM110" s="71"/>
      <c r="AN110" s="74"/>
      <c r="AO110" s="74">
        <v>0</v>
      </c>
      <c r="AP110" s="160"/>
    </row>
    <row r="111" spans="1:42" s="158" customFormat="1" x14ac:dyDescent="0.2">
      <c r="A111" s="163"/>
      <c r="B111" s="47" t="str">
        <f>线路!B108</f>
        <v>IP80</v>
      </c>
      <c r="C111" s="48">
        <f>线路!E108</f>
        <v>454236.12939999998</v>
      </c>
      <c r="D111" s="48">
        <f>线路!F108</f>
        <v>3041919.6622000001</v>
      </c>
      <c r="E111" s="173">
        <f>线路!G108</f>
        <v>2.4</v>
      </c>
      <c r="F111" s="6">
        <f>线路!H108</f>
        <v>7.8810000000000002</v>
      </c>
      <c r="G111" s="146">
        <f>线路!L108</f>
        <v>6905.9812754612249</v>
      </c>
      <c r="H111" s="146">
        <f>线路!M108</f>
        <v>6906.1463347392446</v>
      </c>
      <c r="I111" s="146">
        <f>线路!N108</f>
        <v>6906.3113940172643</v>
      </c>
      <c r="J111" s="62">
        <f t="shared" si="190"/>
        <v>0.33011855603945151</v>
      </c>
      <c r="K111" s="62">
        <f t="shared" si="191"/>
        <v>168.0132570744654</v>
      </c>
      <c r="L111" s="58">
        <f>IF(AO111=0,断面设计!$C$8,IF(AO111=1,断面设计!$C$33,IF(AO111=2,断面设计!$C$44*2,0)))</f>
        <v>1.5524731620415944</v>
      </c>
      <c r="M111" s="7">
        <f>IF(AO111=0,断面设计!$D$8,0)</f>
        <v>0.24932800284318068</v>
      </c>
      <c r="N111" s="63">
        <f t="shared" si="192"/>
        <v>1.4999999999999999E-2</v>
      </c>
      <c r="O111" s="60">
        <f>IF(AO111=0,断面设计!$I$8,IF(AO111=1,断面设计!$N$33,IF(AO111=2,断面设计!$G$44,断面设计!$I$8)))</f>
        <v>3000</v>
      </c>
      <c r="P111" s="61">
        <f>IF(AO111=0,断面设计!$L$8,IF(AO111=1,断面设计!$S$33,IF(AO111=2,断面设计!$N$44,0)))</f>
        <v>0.41</v>
      </c>
      <c r="Q111" s="59">
        <f>IF(AO111=0,断面设计!$B$8,IF(AO111=1,断面设计!$B$33,IF(AO111=2,断面设计!$B$44,0)))</f>
        <v>0.61035771418674445</v>
      </c>
      <c r="R111" s="58">
        <f>IF(AO111=0,断面设计!$E$8,IF(AO111=1,断面设计!$J$33,IF(AO111=2,断面设计!$D$44,0)))</f>
        <v>0.70474827215761959</v>
      </c>
      <c r="S111" s="58">
        <f>IF(AO111=0,断面设计!$F$8,IF(AO111=1,断面设计!$K$33,IF(AO111=2,断面设计!$D$44/断面设计!$E$44,0)))</f>
        <v>2.130349326053774</v>
      </c>
      <c r="T111" s="62">
        <f t="shared" si="193"/>
        <v>0.33081347905654718</v>
      </c>
      <c r="U111" s="62">
        <f t="shared" si="194"/>
        <v>0.58176801022124669</v>
      </c>
      <c r="V111" s="63"/>
      <c r="W111" s="63"/>
      <c r="X111" s="63"/>
      <c r="Y111" s="63"/>
      <c r="Z111" s="62"/>
      <c r="AA111" s="70"/>
      <c r="AB111" s="71"/>
      <c r="AC111" s="71"/>
      <c r="AD111" s="71"/>
      <c r="AE111" s="64"/>
      <c r="AF111" s="71"/>
      <c r="AG111" s="71"/>
      <c r="AH111" s="71"/>
      <c r="AI111" s="71"/>
      <c r="AJ111" s="71"/>
      <c r="AK111" s="71"/>
      <c r="AL111" s="71"/>
      <c r="AM111" s="71"/>
      <c r="AN111" s="74"/>
      <c r="AO111" s="74">
        <v>0</v>
      </c>
      <c r="AP111" s="160"/>
    </row>
    <row r="112" spans="1:42" s="158" customFormat="1" x14ac:dyDescent="0.2">
      <c r="A112" s="163"/>
      <c r="B112" s="47" t="str">
        <f>线路!B109</f>
        <v>7#倒出</v>
      </c>
      <c r="C112" s="48">
        <f>线路!E109</f>
        <v>454112.63789999997</v>
      </c>
      <c r="D112" s="48">
        <f>线路!F109</f>
        <v>3041775.4341000002</v>
      </c>
      <c r="E112" s="173">
        <f>线路!G109</f>
        <v>10</v>
      </c>
      <c r="F112" s="6">
        <f>线路!H109</f>
        <v>0</v>
      </c>
      <c r="G112" s="146">
        <f>线路!L109</f>
        <v>7096.0194407569898</v>
      </c>
      <c r="H112" s="146">
        <f>线路!M109</f>
        <v>7096.0194407569898</v>
      </c>
      <c r="I112" s="146">
        <f>线路!N109</f>
        <v>7096.0194407569898</v>
      </c>
      <c r="J112" s="62">
        <f t="shared" si="190"/>
        <v>0</v>
      </c>
      <c r="K112" s="62">
        <f t="shared" si="191"/>
        <v>189.87310601774516</v>
      </c>
      <c r="L112" s="58">
        <f>IF(AO112=0,断面设计!$C$8,IF(AO112=1,断面设计!$C$33,IF(AO112=2,断面设计!$C$44*2,0)))</f>
        <v>1.5524731620415944</v>
      </c>
      <c r="M112" s="7">
        <f>IF(AO112=0,断面设计!$D$8,0)</f>
        <v>0.24932800284318068</v>
      </c>
      <c r="N112" s="63">
        <f t="shared" si="192"/>
        <v>1.4999999999999999E-2</v>
      </c>
      <c r="O112" s="60">
        <f>IF(AO112=0,断面设计!$I$8,IF(AO112=1,断面设计!$N$33,IF(AO112=2,断面设计!$G$44,断面设计!$I$8)))</f>
        <v>3000</v>
      </c>
      <c r="P112" s="61">
        <f>IF(AO112=0,断面设计!$L$8,IF(AO112=1,断面设计!$S$33,IF(AO112=2,断面设计!$N$44,0)))</f>
        <v>0.41</v>
      </c>
      <c r="Q112" s="59">
        <f>IF(AO112=0,断面设计!$B$8,IF(AO112=1,断面设计!$B$33,IF(AO112=2,断面设计!$B$44,0)))</f>
        <v>0.61035771418674445</v>
      </c>
      <c r="R112" s="58">
        <f>IF(AO112=0,断面设计!$E$8,IF(AO112=1,断面设计!$J$33,IF(AO112=2,断面设计!$D$44,0)))</f>
        <v>0.70474827215761959</v>
      </c>
      <c r="S112" s="58">
        <f>IF(AO112=0,断面设计!$F$8,IF(AO112=1,断面设计!$K$33,IF(AO112=2,断面设计!$D$44/断面设计!$E$44,0)))</f>
        <v>2.130349326053774</v>
      </c>
      <c r="T112" s="62">
        <f t="shared" si="193"/>
        <v>0.33081347905654718</v>
      </c>
      <c r="U112" s="62">
        <f t="shared" si="194"/>
        <v>0.58176801022124669</v>
      </c>
      <c r="V112" s="63"/>
      <c r="W112" s="63"/>
      <c r="X112" s="63"/>
      <c r="Y112" s="63">
        <v>1.07</v>
      </c>
      <c r="Z112" s="62">
        <f t="shared" si="219"/>
        <v>0</v>
      </c>
      <c r="AA112" s="70"/>
      <c r="AB112" s="71">
        <f t="shared" si="196"/>
        <v>0.61035771418674445</v>
      </c>
      <c r="AC112" s="71">
        <f t="shared" si="134"/>
        <v>1.07</v>
      </c>
      <c r="AD112" s="71">
        <f>AD109-AC112</f>
        <v>2416.8877504688166</v>
      </c>
      <c r="AE112" s="64">
        <f t="shared" si="200"/>
        <v>0</v>
      </c>
      <c r="AF112" s="71" t="str">
        <f t="shared" si="198"/>
        <v xml:space="preserve"> </v>
      </c>
      <c r="AG112" s="71" t="str">
        <f>IF(AE112=0," ",AF112-断面设计!$B$8)</f>
        <v xml:space="preserve"> </v>
      </c>
      <c r="AH112" s="71" t="str">
        <f t="shared" si="135"/>
        <v xml:space="preserve"> </v>
      </c>
      <c r="AI112" s="71" t="str">
        <f t="shared" si="136"/>
        <v xml:space="preserve"> </v>
      </c>
      <c r="AJ112" s="71" t="str">
        <f t="shared" si="137"/>
        <v xml:space="preserve"> </v>
      </c>
      <c r="AK112" s="71" t="str">
        <f t="shared" si="138"/>
        <v xml:space="preserve"> </v>
      </c>
      <c r="AL112" s="71">
        <f t="shared" si="139"/>
        <v>2416.8877504688166</v>
      </c>
      <c r="AM112" s="71">
        <f t="shared" si="140"/>
        <v>2416.27739275463</v>
      </c>
      <c r="AN112" s="74">
        <v>2</v>
      </c>
      <c r="AO112" s="74">
        <v>0</v>
      </c>
      <c r="AP112" s="160">
        <v>2416.84</v>
      </c>
    </row>
    <row r="113" spans="1:42" s="20" customFormat="1" x14ac:dyDescent="0.2">
      <c r="A113" s="21"/>
      <c r="B113" s="43" t="str">
        <f>线路!B110</f>
        <v>IP81</v>
      </c>
      <c r="C113" s="44">
        <f>线路!E110</f>
        <v>454104.8333</v>
      </c>
      <c r="D113" s="44">
        <f>线路!F110</f>
        <v>3041766.3188999998</v>
      </c>
      <c r="E113" s="172">
        <f>线路!G110</f>
        <v>10</v>
      </c>
      <c r="F113" s="6">
        <f>线路!H110</f>
        <v>23.254000000000001</v>
      </c>
      <c r="G113" s="145">
        <f>线路!L110</f>
        <v>7105.9617679703069</v>
      </c>
      <c r="H113" s="145">
        <f>线路!M110</f>
        <v>7107.9910622916004</v>
      </c>
      <c r="I113" s="145">
        <f>线路!N110</f>
        <v>7110.0203566128948</v>
      </c>
      <c r="J113" s="58">
        <f t="shared" si="190"/>
        <v>4.0585886425878925</v>
      </c>
      <c r="K113" s="58">
        <f t="shared" si="191"/>
        <v>11.971621534610676</v>
      </c>
      <c r="L113" s="58">
        <f>IF(AO113=0,断面设计!$C$8,IF(AO113=1,断面设计!$C$33,IF(AO113=2,断面设计!$C$44*2,0)))</f>
        <v>1.5524731620415944</v>
      </c>
      <c r="M113" s="7">
        <f>IF(AO113=0,断面设计!$D$8,0)</f>
        <v>0.24932800284318068</v>
      </c>
      <c r="N113" s="59">
        <f t="shared" si="192"/>
        <v>1.4999999999999999E-2</v>
      </c>
      <c r="O113" s="60">
        <f>IF(AO113=0,断面设计!$I$8,IF(AO113=1,断面设计!$N$33,IF(AO113=2,断面设计!$G$44,断面设计!$I$8)))</f>
        <v>3000</v>
      </c>
      <c r="P113" s="61">
        <f>IF(AO113=0,断面设计!$L$8,IF(AO113=1,断面设计!$S$33,IF(AO113=2,断面设计!$N$44,0)))</f>
        <v>0.41</v>
      </c>
      <c r="Q113" s="59">
        <f>IF(AO113=0,断面设计!$B$8,IF(AO113=1,断面设计!$B$33,IF(AO113=2,断面设计!$B$44,0)))</f>
        <v>0.61035771418674445</v>
      </c>
      <c r="R113" s="58">
        <f>IF(AO113=0,断面设计!$E$8,IF(AO113=1,断面设计!$J$33,IF(AO113=2,断面设计!$D$44,0)))</f>
        <v>0.70474827215761959</v>
      </c>
      <c r="S113" s="58">
        <f>IF(AO113=0,断面设计!$F$8,IF(AO113=1,断面设计!$K$33,IF(AO113=2,断面设计!$D$44/断面设计!$E$44,0)))</f>
        <v>2.130349326053774</v>
      </c>
      <c r="T113" s="58">
        <f t="shared" si="193"/>
        <v>0.33081347905654718</v>
      </c>
      <c r="U113" s="58">
        <f t="shared" si="194"/>
        <v>0.58176801022124669</v>
      </c>
      <c r="V113" s="59">
        <f t="shared" si="195"/>
        <v>4.4718191210630146E-4</v>
      </c>
      <c r="W113" s="59"/>
      <c r="X113" s="59">
        <f>IF(AN113=0,IF(AN112=2,(H113-H112-AE112)/O113,(H113-H112)/O113),IF(AN113=1,IF(AN112=2,IF(AE113&lt;9,(H113-H112-AE113-AE112)/断面设计!$I$8,(H113-H112-AE113-AE112)/断面设计!$I$8),(H113-H112-AE113)/O112),(H113-H112)/O113))</f>
        <v>3.9905405115368917E-3</v>
      </c>
      <c r="Y113" s="59">
        <f t="shared" ref="Y113:Y118" si="221">$Y$5</f>
        <v>0</v>
      </c>
      <c r="Z113" s="58">
        <f t="shared" si="219"/>
        <v>0</v>
      </c>
      <c r="AA113" s="69"/>
      <c r="AB113" s="56">
        <f t="shared" si="196"/>
        <v>0.61035771418674445</v>
      </c>
      <c r="AC113" s="56">
        <f t="shared" si="134"/>
        <v>4.4377224236431933E-3</v>
      </c>
      <c r="AD113" s="56">
        <f t="shared" si="197"/>
        <v>2416.8833127463931</v>
      </c>
      <c r="AE113" s="60">
        <f t="shared" si="200"/>
        <v>0</v>
      </c>
      <c r="AF113" s="56" t="str">
        <f t="shared" si="198"/>
        <v xml:space="preserve"> </v>
      </c>
      <c r="AG113" s="56" t="str">
        <f>IF(AE113=0," ",AF113-断面设计!$B$8)</f>
        <v xml:space="preserve"> </v>
      </c>
      <c r="AH113" s="56">
        <f t="shared" si="135"/>
        <v>2416.8844363597455</v>
      </c>
      <c r="AI113" s="56">
        <f t="shared" si="136"/>
        <v>2416.2740786455588</v>
      </c>
      <c r="AJ113" s="56">
        <f t="shared" si="137"/>
        <v>2416.8826363149528</v>
      </c>
      <c r="AK113" s="56">
        <f t="shared" si="138"/>
        <v>2416.2722786007662</v>
      </c>
      <c r="AL113" s="56">
        <f t="shared" si="139"/>
        <v>2416.8835363373491</v>
      </c>
      <c r="AM113" s="56">
        <f t="shared" si="140"/>
        <v>2416.2731786231625</v>
      </c>
      <c r="AN113" s="45"/>
      <c r="AO113" s="45">
        <v>0</v>
      </c>
      <c r="AP113" s="24"/>
    </row>
    <row r="114" spans="1:42" s="20" customFormat="1" x14ac:dyDescent="0.2">
      <c r="A114" s="21"/>
      <c r="B114" s="43" t="str">
        <f>线路!B111</f>
        <v>IP82</v>
      </c>
      <c r="C114" s="44">
        <f>线路!E111</f>
        <v>454093.91950000002</v>
      </c>
      <c r="D114" s="44">
        <f>线路!F111</f>
        <v>3041731.3152999999</v>
      </c>
      <c r="E114" s="172">
        <f>线路!G111</f>
        <v>10</v>
      </c>
      <c r="F114" s="6">
        <f>线路!H111</f>
        <v>19.712</v>
      </c>
      <c r="G114" s="145">
        <f>线路!L111</f>
        <v>7142.8909295368539</v>
      </c>
      <c r="H114" s="145">
        <f>线路!M111</f>
        <v>7144.6111260476191</v>
      </c>
      <c r="I114" s="145">
        <f>线路!N111</f>
        <v>7146.3313225583852</v>
      </c>
      <c r="J114" s="58">
        <f t="shared" ref="J114:J118" si="222">I114-G114</f>
        <v>3.4403930215312357</v>
      </c>
      <c r="K114" s="58">
        <f t="shared" ref="K114:K118" si="223">H114-H113</f>
        <v>36.620063756018681</v>
      </c>
      <c r="L114" s="58">
        <f>IF(AO114=0,断面设计!$C$8,IF(AO114=1,断面设计!$C$33,IF(AO114=2,断面设计!$C$44*2,0)))</f>
        <v>1.5524731620415944</v>
      </c>
      <c r="M114" s="7">
        <f>IF(AO114=0,断面设计!$D$8,0)</f>
        <v>0.24932800284318068</v>
      </c>
      <c r="N114" s="59">
        <f t="shared" ref="N114:N118" si="224">IF(AO114=0,0.015,0.014)</f>
        <v>1.4999999999999999E-2</v>
      </c>
      <c r="O114" s="60">
        <f>IF(AO114=0,断面设计!$I$8,IF(AO114=1,断面设计!$N$33,IF(AO114=2,断面设计!$G$44,断面设计!$I$8)))</f>
        <v>3000</v>
      </c>
      <c r="P114" s="61">
        <f>IF(AO114=0,断面设计!$L$8,IF(AO114=1,断面设计!$S$33,IF(AO114=2,断面设计!$N$44,0)))</f>
        <v>0.41</v>
      </c>
      <c r="Q114" s="59">
        <f>IF(AO114=0,断面设计!$B$8,IF(AO114=1,断面设计!$B$33,IF(AO114=2,断面设计!$B$44,0)))</f>
        <v>0.61035771418674445</v>
      </c>
      <c r="R114" s="58">
        <f>IF(AO114=0,断面设计!$E$8,IF(AO114=1,断面设计!$J$33,IF(AO114=2,断面设计!$D$44,0)))</f>
        <v>0.70474827215761959</v>
      </c>
      <c r="S114" s="58">
        <f>IF(AO114=0,断面设计!$F$8,IF(AO114=1,断面设计!$K$33,IF(AO114=2,断面设计!$D$44/断面设计!$E$44,0)))</f>
        <v>2.130349326053774</v>
      </c>
      <c r="T114" s="58">
        <f t="shared" ref="T114:T118" si="225">R114/S114</f>
        <v>0.33081347905654718</v>
      </c>
      <c r="U114" s="58">
        <f t="shared" ref="U114:U118" si="226">P114/R114</f>
        <v>0.58176801022124669</v>
      </c>
      <c r="V114" s="59">
        <f t="shared" ref="V114:V118" si="227">(I114-G114)*N114^2/T114^(4/3)*U114^2*3/4*((L114+Q114*M114*2*1.3)/E114)^0.5</f>
        <v>3.7906811092452243E-4</v>
      </c>
      <c r="W114" s="59"/>
      <c r="X114" s="59">
        <f>IF(AN114=0,IF(AN113=2,(H114-H113-AE113)/O114,(H114-H113)/O114),IF(AN114=1,IF(AN113=2,IF(AE114&lt;9,(H114-H113-AE114-AE113)/断面设计!$I$8,(H114-H113-AE114-AE113)/断面设计!$I$8),(H114-H113-AE114)/O113),(H114-H113)/O114))</f>
        <v>1.2206687918672894E-2</v>
      </c>
      <c r="Y114" s="59">
        <f t="shared" si="221"/>
        <v>0</v>
      </c>
      <c r="Z114" s="58">
        <f t="shared" si="219"/>
        <v>0</v>
      </c>
      <c r="AA114" s="69"/>
      <c r="AB114" s="56">
        <f t="shared" ref="AB114:AB118" si="228">Q114</f>
        <v>0.61035771418674445</v>
      </c>
      <c r="AC114" s="56">
        <f t="shared" ref="AC114:AC118" si="229">IF(AE114&lt;1,Y114+AA114+V114+X114,Y114+AA114+V114+X114+W114)</f>
        <v>1.2585756029597417E-2</v>
      </c>
      <c r="AD114" s="56">
        <f t="shared" ref="AD114:AD118" si="230">AD113-AC114</f>
        <v>2416.8707269903634</v>
      </c>
      <c r="AE114" s="60">
        <f t="shared" ref="AE114:AE118" si="231">IF(AO114=0,0,IF(AO114=2,IF(AN114=1,20,IF(AN114=0,0,25)),IF(AN114=1,15,IF(AN114=0,0,IF(AO114=3,20,20)))))</f>
        <v>0</v>
      </c>
      <c r="AF114" s="56" t="str">
        <f t="shared" ref="AF114:AF118" si="232">IF(AE114=0," ",IF(AN114=1,AD114+W114,AD114))</f>
        <v xml:space="preserve"> </v>
      </c>
      <c r="AG114" s="56" t="str">
        <f>IF(AE114=0," ",AF114-断面设计!$B$8)</f>
        <v xml:space="preserve"> </v>
      </c>
      <c r="AH114" s="56">
        <f t="shared" ref="AH114:AH118" si="233">IF(J114&lt;0.01," ",AD114+V114+J114/2/O114+J114/2/1000*Z114)</f>
        <v>2416.8716794573111</v>
      </c>
      <c r="AI114" s="56">
        <f t="shared" ref="AI114:AI118" si="234">IF(J114&lt;0.01," ",AH114-AB114)</f>
        <v>2416.2613217431244</v>
      </c>
      <c r="AJ114" s="56">
        <f t="shared" ref="AJ114:AJ118" si="235">IF(J114&lt;0.01," ",AD114-J114/2/O114-J114/2/1000*Z114)</f>
        <v>2416.8701535915266</v>
      </c>
      <c r="AK114" s="56">
        <f t="shared" ref="AK114:AK118" si="236">IF(J114&lt;0.01," ",AJ114-AB114)</f>
        <v>2416.2597958773399</v>
      </c>
      <c r="AL114" s="56">
        <f t="shared" ref="AL114:AL118" si="237">AM114+AB114</f>
        <v>2416.870916524419</v>
      </c>
      <c r="AM114" s="56">
        <f t="shared" ref="AM114:AM118" si="238">IF(AN114=2,IF(AE114=0,AD114-AB114,AD114+W114-AB114),AD114-AB114+V114/2)</f>
        <v>2416.2605588102324</v>
      </c>
      <c r="AN114" s="45"/>
      <c r="AO114" s="45">
        <v>0</v>
      </c>
      <c r="AP114" s="24"/>
    </row>
    <row r="115" spans="1:42" s="20" customFormat="1" x14ac:dyDescent="0.2">
      <c r="A115" s="21"/>
      <c r="B115" s="43" t="str">
        <f>线路!B112</f>
        <v>IP83</v>
      </c>
      <c r="C115" s="44">
        <f>线路!E112</f>
        <v>454064.32040000003</v>
      </c>
      <c r="D115" s="44">
        <f>线路!F112</f>
        <v>3041692.0769000002</v>
      </c>
      <c r="E115" s="172">
        <f>线路!G112</f>
        <v>10</v>
      </c>
      <c r="F115" s="6">
        <f>线路!H112</f>
        <v>27.494</v>
      </c>
      <c r="G115" s="145">
        <f>线路!L112</f>
        <v>7191.2978948083855</v>
      </c>
      <c r="H115" s="145">
        <f>线路!M112</f>
        <v>7193.6971989311023</v>
      </c>
      <c r="I115" s="145">
        <f>线路!N112</f>
        <v>7196.0965030538191</v>
      </c>
      <c r="J115" s="58">
        <f t="shared" si="222"/>
        <v>4.7986082454335701</v>
      </c>
      <c r="K115" s="58">
        <f t="shared" si="223"/>
        <v>49.086072883483212</v>
      </c>
      <c r="L115" s="58">
        <f>IF(AO115=0,断面设计!$C$8,IF(AO115=1,断面设计!$C$33,IF(AO115=2,断面设计!$C$44*2,0)))</f>
        <v>1.5524731620415944</v>
      </c>
      <c r="M115" s="7">
        <f>IF(AO115=0,断面设计!$D$8,0)</f>
        <v>0.24932800284318068</v>
      </c>
      <c r="N115" s="59">
        <f t="shared" si="224"/>
        <v>1.4999999999999999E-2</v>
      </c>
      <c r="O115" s="60">
        <f>IF(AO115=0,断面设计!$I$8,IF(AO115=1,断面设计!$N$33,IF(AO115=2,断面设计!$G$44,断面设计!$I$8)))</f>
        <v>3000</v>
      </c>
      <c r="P115" s="61">
        <f>IF(AO115=0,断面设计!$L$8,IF(AO115=1,断面设计!$S$33,IF(AO115=2,断面设计!$N$44,0)))</f>
        <v>0.41</v>
      </c>
      <c r="Q115" s="59">
        <f>IF(AO115=0,断面设计!$B$8,IF(AO115=1,断面设计!$B$33,IF(AO115=2,断面设计!$B$44,0)))</f>
        <v>0.61035771418674445</v>
      </c>
      <c r="R115" s="58">
        <f>IF(AO115=0,断面设计!$E$8,IF(AO115=1,断面设计!$J$33,IF(AO115=2,断面设计!$D$44,0)))</f>
        <v>0.70474827215761959</v>
      </c>
      <c r="S115" s="58">
        <f>IF(AO115=0,断面设计!$F$8,IF(AO115=1,断面设计!$K$33,IF(AO115=2,断面设计!$D$44/断面设计!$E$44,0)))</f>
        <v>2.130349326053774</v>
      </c>
      <c r="T115" s="58">
        <f t="shared" si="225"/>
        <v>0.33081347905654718</v>
      </c>
      <c r="U115" s="58">
        <f t="shared" si="226"/>
        <v>0.58176801022124669</v>
      </c>
      <c r="V115" s="59">
        <f t="shared" si="227"/>
        <v>5.28718478173679E-4</v>
      </c>
      <c r="W115" s="59"/>
      <c r="X115" s="59">
        <f>IF(AN115=0,IF(AN114=2,(H115-H114-AE114)/O115,(H115-H114)/O115),IF(AN115=1,IF(AN114=2,IF(AE115&lt;9,(H115-H114-AE115-AE114)/断面设计!$I$8,(H115-H114-AE115-AE114)/断面设计!$I$8),(H115-H114-AE115)/O114),(H115-H114)/O115))</f>
        <v>1.6362024294494404E-2</v>
      </c>
      <c r="Y115" s="59">
        <f t="shared" si="221"/>
        <v>0</v>
      </c>
      <c r="Z115" s="58">
        <f t="shared" si="219"/>
        <v>0</v>
      </c>
      <c r="AA115" s="69"/>
      <c r="AB115" s="56">
        <f t="shared" si="228"/>
        <v>0.61035771418674445</v>
      </c>
      <c r="AC115" s="56">
        <f t="shared" si="229"/>
        <v>1.6890742772668083E-2</v>
      </c>
      <c r="AD115" s="56">
        <f t="shared" si="230"/>
        <v>2416.8538362475906</v>
      </c>
      <c r="AE115" s="60">
        <f t="shared" si="231"/>
        <v>0</v>
      </c>
      <c r="AF115" s="56" t="str">
        <f t="shared" si="232"/>
        <v xml:space="preserve"> </v>
      </c>
      <c r="AG115" s="56" t="str">
        <f>IF(AE115=0," ",AF115-断面设计!$B$8)</f>
        <v xml:space="preserve"> </v>
      </c>
      <c r="AH115" s="56">
        <f t="shared" si="233"/>
        <v>2416.8551647341096</v>
      </c>
      <c r="AI115" s="56">
        <f t="shared" si="234"/>
        <v>2416.244807019923</v>
      </c>
      <c r="AJ115" s="56">
        <f t="shared" si="235"/>
        <v>2416.8530364795497</v>
      </c>
      <c r="AK115" s="56">
        <f t="shared" si="236"/>
        <v>2416.2426787653631</v>
      </c>
      <c r="AL115" s="56">
        <f t="shared" si="237"/>
        <v>2416.8541006068299</v>
      </c>
      <c r="AM115" s="56">
        <f t="shared" si="238"/>
        <v>2416.2437428926432</v>
      </c>
      <c r="AN115" s="45"/>
      <c r="AO115" s="45">
        <v>0</v>
      </c>
      <c r="AP115" s="24"/>
    </row>
    <row r="116" spans="1:42" s="213" customFormat="1" x14ac:dyDescent="0.2">
      <c r="A116" s="217"/>
      <c r="B116" s="218" t="str">
        <f>线路!B113</f>
        <v>7#斗门</v>
      </c>
      <c r="C116" s="208">
        <f>线路!E113</f>
        <v>454057.31319999998</v>
      </c>
      <c r="D116" s="208">
        <f>线路!F113</f>
        <v>3041650.3566000001</v>
      </c>
      <c r="E116" s="219">
        <f>线路!G113</f>
        <v>10</v>
      </c>
      <c r="F116" s="6">
        <f>线路!H113</f>
        <v>0</v>
      </c>
      <c r="G116" s="220">
        <f>线路!L113</f>
        <v>7235.9547338748862</v>
      </c>
      <c r="H116" s="220">
        <f>线路!M113</f>
        <v>7235.9547338748862</v>
      </c>
      <c r="I116" s="220">
        <f>线路!N113</f>
        <v>7235.9547338748862</v>
      </c>
      <c r="J116" s="221">
        <f t="shared" si="222"/>
        <v>0</v>
      </c>
      <c r="K116" s="221">
        <f t="shared" si="223"/>
        <v>42.257534943783867</v>
      </c>
      <c r="L116" s="58">
        <f>IF(AO116=0,断面设计!$C$8,IF(AO116=1,断面设计!$C$33,IF(AO116=2,断面设计!$C$44*2,0)))</f>
        <v>1.5524731620415944</v>
      </c>
      <c r="M116" s="7">
        <f>IF(AO116=0,断面设计!$D$8,0)</f>
        <v>0.24932800284318068</v>
      </c>
      <c r="N116" s="222">
        <f t="shared" si="224"/>
        <v>1.4999999999999999E-2</v>
      </c>
      <c r="O116" s="60">
        <f>IF(AO116=0,断面设计!$I$8,IF(AO116=1,断面设计!$N$33,IF(AO116=2,断面设计!$G$44,断面设计!$I$8)))</f>
        <v>3000</v>
      </c>
      <c r="P116" s="61">
        <f>IF(AO116=0,断面设计!$L$8,IF(AO116=1,断面设计!$S$33,IF(AO116=2,断面设计!$N$44,0)))</f>
        <v>0.41</v>
      </c>
      <c r="Q116" s="59">
        <f>IF(AO116=0,断面设计!$B$8,IF(AO116=1,断面设计!$B$33,IF(AO116=2,断面设计!$B$44,0)))</f>
        <v>0.61035771418674445</v>
      </c>
      <c r="R116" s="58">
        <f>IF(AO116=0,断面设计!$E$8,IF(AO116=1,断面设计!$J$33,IF(AO116=2,断面设计!$D$44,0)))</f>
        <v>0.70474827215761959</v>
      </c>
      <c r="S116" s="58">
        <f>IF(AO116=0,断面设计!$F$8,IF(AO116=1,断面设计!$K$33,IF(AO116=2,断面设计!$D$44/断面设计!$E$44,0)))</f>
        <v>2.130349326053774</v>
      </c>
      <c r="T116" s="221">
        <f t="shared" si="225"/>
        <v>0.33081347905654718</v>
      </c>
      <c r="U116" s="221">
        <f t="shared" si="226"/>
        <v>0.58176801022124669</v>
      </c>
      <c r="V116" s="222">
        <f t="shared" si="227"/>
        <v>0</v>
      </c>
      <c r="W116" s="222"/>
      <c r="X116" s="222">
        <f>IF(AN116=0,IF(AN115=2,(H116-H115-AE115)/O116,(H116-H115)/O116),IF(AN116=1,IF(AN115=2,IF(AE116&lt;9,(H116-H115-AE116-AE115)/断面设计!$I$8,(H116-H115-AE116-AE115)/断面设计!$I$8),(H116-H115-AE116)/O115),(H116-H115)/O116))</f>
        <v>1.4085844981261289E-2</v>
      </c>
      <c r="Y116" s="222">
        <f t="shared" si="221"/>
        <v>0</v>
      </c>
      <c r="Z116" s="221">
        <f t="shared" si="219"/>
        <v>0</v>
      </c>
      <c r="AA116" s="224"/>
      <c r="AB116" s="225">
        <f t="shared" si="228"/>
        <v>0.61035771418674445</v>
      </c>
      <c r="AC116" s="225">
        <f t="shared" si="229"/>
        <v>1.4085844981261289E-2</v>
      </c>
      <c r="AD116" s="225">
        <f t="shared" si="230"/>
        <v>2416.8397504026093</v>
      </c>
      <c r="AE116" s="223">
        <f t="shared" si="231"/>
        <v>0</v>
      </c>
      <c r="AF116" s="225" t="str">
        <f t="shared" si="232"/>
        <v xml:space="preserve"> </v>
      </c>
      <c r="AG116" s="225" t="str">
        <f>IF(AE116=0," ",AF116-断面设计!$B$8)</f>
        <v xml:space="preserve"> </v>
      </c>
      <c r="AH116" s="225" t="str">
        <f t="shared" si="233"/>
        <v xml:space="preserve"> </v>
      </c>
      <c r="AI116" s="225" t="str">
        <f t="shared" si="234"/>
        <v xml:space="preserve"> </v>
      </c>
      <c r="AJ116" s="225" t="str">
        <f t="shared" si="235"/>
        <v xml:space="preserve"> </v>
      </c>
      <c r="AK116" s="225" t="str">
        <f t="shared" si="236"/>
        <v xml:space="preserve"> </v>
      </c>
      <c r="AL116" s="225">
        <f t="shared" si="237"/>
        <v>2416.8397504026093</v>
      </c>
      <c r="AM116" s="225">
        <f t="shared" si="238"/>
        <v>2416.2293926884226</v>
      </c>
      <c r="AN116" s="226"/>
      <c r="AO116" s="226">
        <v>0</v>
      </c>
      <c r="AP116" s="227"/>
    </row>
    <row r="117" spans="1:42" s="20" customFormat="1" x14ac:dyDescent="0.2">
      <c r="A117" s="21"/>
      <c r="B117" s="43" t="str">
        <f>线路!B114</f>
        <v>IP84</v>
      </c>
      <c r="C117" s="44">
        <f>线路!E114</f>
        <v>454050.22590000002</v>
      </c>
      <c r="D117" s="44">
        <f>线路!F114</f>
        <v>3041608.1592999999</v>
      </c>
      <c r="E117" s="172">
        <f>线路!G114</f>
        <v>10</v>
      </c>
      <c r="F117" s="6">
        <f>线路!H114</f>
        <v>32.662999999999997</v>
      </c>
      <c r="G117" s="145">
        <f>线路!L114</f>
        <v>7275.8128993046539</v>
      </c>
      <c r="H117" s="145">
        <f>线路!M114</f>
        <v>7278.6632837725483</v>
      </c>
      <c r="I117" s="145">
        <f>线路!N114</f>
        <v>7281.5136682404427</v>
      </c>
      <c r="J117" s="58">
        <f t="shared" si="222"/>
        <v>5.7007689357888012</v>
      </c>
      <c r="K117" s="58">
        <f t="shared" si="223"/>
        <v>42.708549897662124</v>
      </c>
      <c r="L117" s="58">
        <f>IF(AO117=0,断面设计!$C$8,IF(AO117=1,断面设计!$C$33,IF(AO117=2,断面设计!$C$44*2,0)))</f>
        <v>1.5524731620415944</v>
      </c>
      <c r="M117" s="7">
        <f>IF(AO117=0,断面设计!$D$8,0)</f>
        <v>0.24932800284318068</v>
      </c>
      <c r="N117" s="59">
        <f t="shared" si="224"/>
        <v>1.4999999999999999E-2</v>
      </c>
      <c r="O117" s="60">
        <f>IF(AO117=0,断面设计!$I$8,IF(AO117=1,断面设计!$N$33,IF(AO117=2,断面设计!$G$44,断面设计!$I$8)))</f>
        <v>3000</v>
      </c>
      <c r="P117" s="61">
        <f>IF(AO117=0,断面设计!$L$8,IF(AO117=1,断面设计!$S$33,IF(AO117=2,断面设计!$N$44,0)))</f>
        <v>0.41</v>
      </c>
      <c r="Q117" s="59">
        <f>IF(AO117=0,断面设计!$B$8,IF(AO117=1,断面设计!$B$33,IF(AO117=2,断面设计!$B$44,0)))</f>
        <v>0.61035771418674445</v>
      </c>
      <c r="R117" s="58">
        <f>IF(AO117=0,断面设计!$E$8,IF(AO117=1,断面设计!$J$33,IF(AO117=2,断面设计!$D$44,0)))</f>
        <v>0.70474827215761959</v>
      </c>
      <c r="S117" s="58">
        <f>IF(AO117=0,断面设计!$F$8,IF(AO117=1,断面设计!$K$33,IF(AO117=2,断面设计!$D$44/断面设计!$E$44,0)))</f>
        <v>2.130349326053774</v>
      </c>
      <c r="T117" s="58">
        <f t="shared" si="225"/>
        <v>0.33081347905654718</v>
      </c>
      <c r="U117" s="58">
        <f t="shared" si="226"/>
        <v>0.58176801022124669</v>
      </c>
      <c r="V117" s="59">
        <f t="shared" si="227"/>
        <v>6.2812001355149253E-4</v>
      </c>
      <c r="W117" s="59"/>
      <c r="X117" s="59">
        <f>IF(AN117=0,IF(AN116=2,(H117-H116-AE116)/O117,(H117-H116)/O117),IF(AN117=1,IF(AN116=2,IF(AE117&lt;9,(H117-H116-AE117-AE116)/断面设计!$I$8,(H117-H116-AE117-AE116)/断面设计!$I$8),(H117-H116-AE117)/O116),(H117-H116)/O117))</f>
        <v>1.4236183299220708E-2</v>
      </c>
      <c r="Y117" s="59">
        <f t="shared" si="221"/>
        <v>0</v>
      </c>
      <c r="Z117" s="58">
        <f t="shared" si="219"/>
        <v>0</v>
      </c>
      <c r="AA117" s="69"/>
      <c r="AB117" s="56">
        <f t="shared" si="228"/>
        <v>0.61035771418674445</v>
      </c>
      <c r="AC117" s="56">
        <f t="shared" si="229"/>
        <v>1.4864303312772201E-2</v>
      </c>
      <c r="AD117" s="56">
        <f t="shared" si="230"/>
        <v>2416.8248860992967</v>
      </c>
      <c r="AE117" s="60">
        <f t="shared" si="231"/>
        <v>0</v>
      </c>
      <c r="AF117" s="56" t="str">
        <f t="shared" si="232"/>
        <v xml:space="preserve"> </v>
      </c>
      <c r="AG117" s="56" t="str">
        <f>IF(AE117=0," ",AF117-断面设计!$B$8)</f>
        <v xml:space="preserve"> </v>
      </c>
      <c r="AH117" s="56">
        <f t="shared" si="233"/>
        <v>2416.8264643474663</v>
      </c>
      <c r="AI117" s="56">
        <f t="shared" si="234"/>
        <v>2416.2161066332797</v>
      </c>
      <c r="AJ117" s="56">
        <f t="shared" si="235"/>
        <v>2416.8239359711406</v>
      </c>
      <c r="AK117" s="56">
        <f t="shared" si="236"/>
        <v>2416.213578256954</v>
      </c>
      <c r="AL117" s="56">
        <f t="shared" si="237"/>
        <v>2416.8252001593037</v>
      </c>
      <c r="AM117" s="56">
        <f t="shared" si="238"/>
        <v>2416.214842445117</v>
      </c>
      <c r="AN117" s="45"/>
      <c r="AO117" s="45">
        <v>0</v>
      </c>
      <c r="AP117" s="24"/>
    </row>
    <row r="118" spans="1:42" s="20" customFormat="1" x14ac:dyDescent="0.2">
      <c r="A118" s="21"/>
      <c r="B118" s="43" t="str">
        <f>线路!B115</f>
        <v>IP85</v>
      </c>
      <c r="C118" s="44">
        <f>线路!E115</f>
        <v>454019.86869999999</v>
      </c>
      <c r="D118" s="44">
        <f>线路!F115</f>
        <v>3041574.6762000001</v>
      </c>
      <c r="E118" s="172">
        <f>线路!G115</f>
        <v>10</v>
      </c>
      <c r="F118" s="6">
        <f>线路!H115</f>
        <v>29.597999999999999</v>
      </c>
      <c r="G118" s="145">
        <f>线路!L115</f>
        <v>7321.1375582090195</v>
      </c>
      <c r="H118" s="145">
        <f>线路!M115</f>
        <v>7323.7204709690459</v>
      </c>
      <c r="I118" s="145">
        <f>线路!N115</f>
        <v>7326.3033837290723</v>
      </c>
      <c r="J118" s="58">
        <f t="shared" si="222"/>
        <v>5.1658255200527492</v>
      </c>
      <c r="K118" s="58">
        <f t="shared" si="223"/>
        <v>45.05718719649758</v>
      </c>
      <c r="L118" s="58">
        <f>IF(AO118=0,断面设计!$C$8,IF(AO118=1,断面设计!$C$33,IF(AO118=2,断面设计!$C$44*2,0)))</f>
        <v>1.5524731620415944</v>
      </c>
      <c r="M118" s="7">
        <f>IF(AO118=0,断面设计!$D$8,0)</f>
        <v>0.24932800284318068</v>
      </c>
      <c r="N118" s="59">
        <f t="shared" si="224"/>
        <v>1.4999999999999999E-2</v>
      </c>
      <c r="O118" s="60">
        <f>IF(AO118=0,断面设计!$I$8,IF(AO118=1,断面设计!$N$33,IF(AO118=2,断面设计!$G$44,断面设计!$I$8)))</f>
        <v>3000</v>
      </c>
      <c r="P118" s="61">
        <f>IF(AO118=0,断面设计!$L$8,IF(AO118=1,断面设计!$S$33,IF(AO118=2,断面设计!$N$44,0)))</f>
        <v>0.41</v>
      </c>
      <c r="Q118" s="59">
        <f>IF(AO118=0,断面设计!$B$8,IF(AO118=1,断面设计!$B$33,IF(AO118=2,断面设计!$B$44,0)))</f>
        <v>0.61035771418674445</v>
      </c>
      <c r="R118" s="58">
        <f>IF(AO118=0,断面设计!$E$8,IF(AO118=1,断面设计!$J$33,IF(AO118=2,断面设计!$D$44,0)))</f>
        <v>0.70474827215761959</v>
      </c>
      <c r="S118" s="58">
        <f>IF(AO118=0,断面设计!$F$8,IF(AO118=1,断面设计!$K$33,IF(AO118=2,断面设计!$D$44/断面设计!$E$44,0)))</f>
        <v>2.130349326053774</v>
      </c>
      <c r="T118" s="58">
        <f t="shared" si="225"/>
        <v>0.33081347905654718</v>
      </c>
      <c r="U118" s="58">
        <f t="shared" si="226"/>
        <v>0.58176801022124669</v>
      </c>
      <c r="V118" s="59">
        <f t="shared" si="227"/>
        <v>5.6917907605234482E-4</v>
      </c>
      <c r="W118" s="59"/>
      <c r="X118" s="59">
        <f>IF(AN118=0,IF(AN117=2,(H118-H117-AE117)/O118,(H118-H117)/O118),IF(AN118=1,IF(AN117=2,IF(AE118&lt;9,(H118-H117-AE118-AE117)/断面设计!$I$8,(H118-H117-AE118-AE117)/断面设计!$I$8),(H118-H117-AE118)/O117),(H118-H117)/O118))</f>
        <v>1.5019062398832527E-2</v>
      </c>
      <c r="Y118" s="59">
        <f t="shared" si="221"/>
        <v>0</v>
      </c>
      <c r="Z118" s="58">
        <f t="shared" si="219"/>
        <v>0</v>
      </c>
      <c r="AA118" s="69"/>
      <c r="AB118" s="56">
        <f t="shared" si="228"/>
        <v>0.61035771418674445</v>
      </c>
      <c r="AC118" s="56">
        <f t="shared" si="229"/>
        <v>1.5588241474884872E-2</v>
      </c>
      <c r="AD118" s="56">
        <f t="shared" si="230"/>
        <v>2416.809297857822</v>
      </c>
      <c r="AE118" s="60">
        <f t="shared" si="231"/>
        <v>0</v>
      </c>
      <c r="AF118" s="56" t="str">
        <f t="shared" si="232"/>
        <v xml:space="preserve"> </v>
      </c>
      <c r="AG118" s="56" t="str">
        <f>IF(AE118=0," ",AF118-断面设计!$B$8)</f>
        <v xml:space="preserve"> </v>
      </c>
      <c r="AH118" s="56">
        <f t="shared" si="233"/>
        <v>2416.8107280078179</v>
      </c>
      <c r="AI118" s="56">
        <f t="shared" si="234"/>
        <v>2416.2003702936313</v>
      </c>
      <c r="AJ118" s="56">
        <f t="shared" si="235"/>
        <v>2416.8084368869022</v>
      </c>
      <c r="AK118" s="56">
        <f t="shared" si="236"/>
        <v>2416.1980791727156</v>
      </c>
      <c r="AL118" s="56">
        <f t="shared" si="237"/>
        <v>2416.8095824473598</v>
      </c>
      <c r="AM118" s="56">
        <f t="shared" si="238"/>
        <v>2416.1992247331732</v>
      </c>
      <c r="AN118" s="45"/>
      <c r="AO118" s="45">
        <v>0</v>
      </c>
      <c r="AP118" s="24">
        <v>2416.73</v>
      </c>
    </row>
    <row r="119" spans="1:42" s="158" customFormat="1" x14ac:dyDescent="0.2">
      <c r="A119" s="163"/>
      <c r="B119" s="47" t="str">
        <f>线路!B116</f>
        <v>8#倒进</v>
      </c>
      <c r="C119" s="48">
        <f>线路!E116</f>
        <v>454000.58549999999</v>
      </c>
      <c r="D119" s="48">
        <f>线路!F116</f>
        <v>3041488.4015000002</v>
      </c>
      <c r="E119" s="173">
        <f>线路!G116</f>
        <v>10</v>
      </c>
      <c r="F119" s="6">
        <f>线路!H116</f>
        <v>0</v>
      </c>
      <c r="G119" s="146">
        <f>线路!L116</f>
        <v>7412.0648821026352</v>
      </c>
      <c r="H119" s="146">
        <f>线路!M116</f>
        <v>7412.0648821026352</v>
      </c>
      <c r="I119" s="146">
        <f>线路!N116</f>
        <v>7412.0648821026352</v>
      </c>
      <c r="J119" s="62">
        <f t="shared" ref="J119:J122" si="239">I119-G119</f>
        <v>0</v>
      </c>
      <c r="K119" s="62">
        <f t="shared" ref="K119:K122" si="240">H119-H118</f>
        <v>88.344411133589347</v>
      </c>
      <c r="L119" s="58">
        <f>IF(AO119=0,断面设计!$C$8,IF(AO119=1,断面设计!$C$33,IF(AO119=2,断面设计!$C$44*2,0)))</f>
        <v>1.5524731620415944</v>
      </c>
      <c r="M119" s="7">
        <f>IF(AO119=0,断面设计!$D$8,0)</f>
        <v>0.24932800284318068</v>
      </c>
      <c r="N119" s="63">
        <f t="shared" ref="N119:N122" si="241">IF(AO119=0,0.015,0.014)</f>
        <v>1.4999999999999999E-2</v>
      </c>
      <c r="O119" s="60">
        <f>IF(AO119=0,断面设计!$I$8,IF(AO119=1,断面设计!$N$33,IF(AO119=2,断面设计!$G$44,断面设计!$I$8)))</f>
        <v>3000</v>
      </c>
      <c r="P119" s="61">
        <f>IF(AO119=0,断面设计!$L$8,IF(AO119=1,断面设计!$S$33,IF(AO119=2,断面设计!$N$44,0)))</f>
        <v>0.41</v>
      </c>
      <c r="Q119" s="59">
        <f>IF(AO119=0,断面设计!$B$8,IF(AO119=1,断面设计!$B$33,IF(AO119=2,断面设计!$B$44,0)))</f>
        <v>0.61035771418674445</v>
      </c>
      <c r="R119" s="58">
        <f>IF(AO119=0,断面设计!$E$8,IF(AO119=1,断面设计!$J$33,IF(AO119=2,断面设计!$D$44,0)))</f>
        <v>0.70474827215761959</v>
      </c>
      <c r="S119" s="58">
        <f>IF(AO119=0,断面设计!$F$8,IF(AO119=1,断面设计!$K$33,IF(AO119=2,断面设计!$D$44/断面设计!$E$44,0)))</f>
        <v>2.130349326053774</v>
      </c>
      <c r="T119" s="62">
        <f t="shared" ref="T119:T122" si="242">R119/S119</f>
        <v>0.33081347905654718</v>
      </c>
      <c r="U119" s="62">
        <f t="shared" ref="U119:U122" si="243">P119/R119</f>
        <v>0.58176801022124669</v>
      </c>
      <c r="V119" s="63">
        <f t="shared" ref="V119" si="244">(I119-G119)*N119^2/T119^(4/3)*U119^2*3/4*((L119+Q119*M119*2*1.3)/E119)^0.5</f>
        <v>0</v>
      </c>
      <c r="W119" s="63"/>
      <c r="X119" s="63">
        <f>IF(AN119=0,IF(AN118=2,(H119-H118-AE118)/O119,(H119-H118)/O119),IF(AN119=1,IF(AN118=2,IF(AE119&lt;9,(H119-H118-AE119-AE118)/断面设计!$I$8,(H119-H118-AE119-AE118)/断面设计!$I$8),(H119-H118-AE119)/O118),(H119-H118)/O119))</f>
        <v>2.9448137044529782E-2</v>
      </c>
      <c r="Y119" s="63">
        <v>0</v>
      </c>
      <c r="Z119" s="62">
        <f t="shared" si="219"/>
        <v>0</v>
      </c>
      <c r="AA119" s="70"/>
      <c r="AB119" s="71">
        <f t="shared" ref="AB119:AB122" si="245">Q119</f>
        <v>0.61035771418674445</v>
      </c>
      <c r="AC119" s="71">
        <f t="shared" si="134"/>
        <v>2.9448137044529782E-2</v>
      </c>
      <c r="AD119" s="71">
        <f t="shared" ref="AD119:AD122" si="246">AD118-AC119</f>
        <v>2416.7798497207773</v>
      </c>
      <c r="AE119" s="64">
        <f t="shared" ref="AE119:AE122" si="247">IF(AO119=0,0,IF(AO119=2,IF(AN119=1,20,IF(AN119=0,0,25)),IF(AN119=1,15,IF(AN119=0,0,IF(AO119=3,20,20)))))</f>
        <v>0</v>
      </c>
      <c r="AF119" s="71" t="str">
        <f t="shared" ref="AF119:AF122" si="248">IF(AE119=0," ",IF(AN119=1,AD119+W119,AD119))</f>
        <v xml:space="preserve"> </v>
      </c>
      <c r="AG119" s="71" t="str">
        <f>IF(AE119=0," ",AF119-断面设计!$B$8)</f>
        <v xml:space="preserve"> </v>
      </c>
      <c r="AH119" s="71" t="str">
        <f t="shared" si="135"/>
        <v xml:space="preserve"> </v>
      </c>
      <c r="AI119" s="71" t="str">
        <f t="shared" si="136"/>
        <v xml:space="preserve"> </v>
      </c>
      <c r="AJ119" s="71" t="str">
        <f t="shared" si="137"/>
        <v xml:space="preserve"> </v>
      </c>
      <c r="AK119" s="71" t="str">
        <f t="shared" si="138"/>
        <v xml:space="preserve"> </v>
      </c>
      <c r="AL119" s="71">
        <f t="shared" si="139"/>
        <v>2416.7798497207773</v>
      </c>
      <c r="AM119" s="71">
        <f t="shared" si="140"/>
        <v>2416.1694920065906</v>
      </c>
      <c r="AN119" s="74">
        <v>1</v>
      </c>
      <c r="AO119" s="74">
        <v>0</v>
      </c>
      <c r="AP119" s="160"/>
    </row>
    <row r="120" spans="1:42" s="158" customFormat="1" x14ac:dyDescent="0.2">
      <c r="A120" s="163"/>
      <c r="B120" s="47" t="str">
        <f>线路!B117</f>
        <v>IP86</v>
      </c>
      <c r="C120" s="48">
        <f>线路!E117</f>
        <v>453932.20730000001</v>
      </c>
      <c r="D120" s="48">
        <f>线路!F117</f>
        <v>3041182.4704</v>
      </c>
      <c r="E120" s="173">
        <f>线路!G117</f>
        <v>2.4</v>
      </c>
      <c r="F120" s="6">
        <f>线路!H117</f>
        <v>2.0790000000000002</v>
      </c>
      <c r="G120" s="146">
        <f>线路!L117</f>
        <v>7725.5008655737565</v>
      </c>
      <c r="H120" s="146">
        <f>线路!M117</f>
        <v>7725.5444080479356</v>
      </c>
      <c r="I120" s="146">
        <f>线路!N117</f>
        <v>7725.5879505221137</v>
      </c>
      <c r="J120" s="62">
        <f t="shared" si="239"/>
        <v>8.7084948357187386E-2</v>
      </c>
      <c r="K120" s="62">
        <f t="shared" si="240"/>
        <v>313.47952594530034</v>
      </c>
      <c r="L120" s="58">
        <f>IF(AO120=0,断面设计!$C$8,IF(AO120=1,断面设计!$C$33,IF(AO120=2,断面设计!$C$44*2,0)))</f>
        <v>1.5524731620415944</v>
      </c>
      <c r="M120" s="7">
        <f>IF(AO120=0,断面设计!$D$8,0)</f>
        <v>0.24932800284318068</v>
      </c>
      <c r="N120" s="63">
        <f t="shared" si="241"/>
        <v>1.4999999999999999E-2</v>
      </c>
      <c r="O120" s="60">
        <f>IF(AO120=0,断面设计!$I$8,IF(AO120=1,断面设计!$N$33,IF(AO120=2,断面设计!$G$44,断面设计!$I$8)))</f>
        <v>3000</v>
      </c>
      <c r="P120" s="61">
        <f>IF(AO120=0,断面设计!$L$8,IF(AO120=1,断面设计!$S$33,IF(AO120=2,断面设计!$N$44,0)))</f>
        <v>0.41</v>
      </c>
      <c r="Q120" s="59">
        <f>IF(AO120=0,断面设计!$B$8,IF(AO120=1,断面设计!$B$33,IF(AO120=2,断面设计!$B$44,0)))</f>
        <v>0.61035771418674445</v>
      </c>
      <c r="R120" s="58">
        <f>IF(AO120=0,断面设计!$E$8,IF(AO120=1,断面设计!$J$33,IF(AO120=2,断面设计!$D$44,0)))</f>
        <v>0.70474827215761959</v>
      </c>
      <c r="S120" s="58">
        <f>IF(AO120=0,断面设计!$F$8,IF(AO120=1,断面设计!$K$33,IF(AO120=2,断面设计!$D$44/断面设计!$E$44,0)))</f>
        <v>2.130349326053774</v>
      </c>
      <c r="T120" s="62">
        <f t="shared" si="242"/>
        <v>0.33081347905654718</v>
      </c>
      <c r="U120" s="62">
        <f t="shared" si="243"/>
        <v>0.58176801022124669</v>
      </c>
      <c r="V120" s="63"/>
      <c r="W120" s="63"/>
      <c r="X120" s="63"/>
      <c r="Y120" s="63"/>
      <c r="Z120" s="62"/>
      <c r="AA120" s="70"/>
      <c r="AB120" s="71"/>
      <c r="AC120" s="71"/>
      <c r="AD120" s="71"/>
      <c r="AE120" s="64"/>
      <c r="AF120" s="71"/>
      <c r="AG120" s="71"/>
      <c r="AH120" s="71"/>
      <c r="AI120" s="71"/>
      <c r="AJ120" s="71"/>
      <c r="AK120" s="71"/>
      <c r="AL120" s="71"/>
      <c r="AM120" s="71"/>
      <c r="AN120" s="74"/>
      <c r="AO120" s="74">
        <v>0</v>
      </c>
      <c r="AP120" s="160"/>
    </row>
    <row r="121" spans="1:42" s="158" customFormat="1" x14ac:dyDescent="0.2">
      <c r="A121" s="163"/>
      <c r="B121" s="47" t="str">
        <f>线路!B118</f>
        <v>8#倒出</v>
      </c>
      <c r="C121" s="48">
        <f>线路!E118</f>
        <v>453926.90230000002</v>
      </c>
      <c r="D121" s="48">
        <f>线路!F118</f>
        <v>3041162.2168999999</v>
      </c>
      <c r="E121" s="173">
        <f>线路!G118</f>
        <v>10</v>
      </c>
      <c r="F121" s="6">
        <f>线路!H118</f>
        <v>0</v>
      </c>
      <c r="G121" s="146">
        <f>线路!L118</f>
        <v>7746.4811481757533</v>
      </c>
      <c r="H121" s="146">
        <f>线路!M118</f>
        <v>7746.4811481757533</v>
      </c>
      <c r="I121" s="146">
        <f>线路!N118</f>
        <v>7746.4811481757533</v>
      </c>
      <c r="J121" s="62">
        <f t="shared" si="239"/>
        <v>0</v>
      </c>
      <c r="K121" s="62">
        <f t="shared" si="240"/>
        <v>20.936740127817757</v>
      </c>
      <c r="L121" s="58">
        <f>IF(AO121=0,断面设计!$C$8,IF(AO121=1,断面设计!$C$33,IF(AO121=2,断面设计!$C$44*2,0)))</f>
        <v>1.5524731620415944</v>
      </c>
      <c r="M121" s="7">
        <f>IF(AO121=0,断面设计!$D$8,0)</f>
        <v>0.24932800284318068</v>
      </c>
      <c r="N121" s="63">
        <f t="shared" si="241"/>
        <v>1.4999999999999999E-2</v>
      </c>
      <c r="O121" s="60">
        <f>IF(AO121=0,断面设计!$I$8,IF(AO121=1,断面设计!$N$33,IF(AO121=2,断面设计!$G$44,断面设计!$I$8)))</f>
        <v>3000</v>
      </c>
      <c r="P121" s="61">
        <f>IF(AO121=0,断面设计!$L$8,IF(AO121=1,断面设计!$S$33,IF(AO121=2,断面设计!$N$44,0)))</f>
        <v>0.41</v>
      </c>
      <c r="Q121" s="59">
        <f>IF(AO121=0,断面设计!$B$8,IF(AO121=1,断面设计!$B$33,IF(AO121=2,断面设计!$B$44,0)))</f>
        <v>0.61035771418674445</v>
      </c>
      <c r="R121" s="58">
        <f>IF(AO121=0,断面设计!$E$8,IF(AO121=1,断面设计!$J$33,IF(AO121=2,断面设计!$D$44,0)))</f>
        <v>0.70474827215761959</v>
      </c>
      <c r="S121" s="58">
        <f>IF(AO121=0,断面设计!$F$8,IF(AO121=1,断面设计!$K$33,IF(AO121=2,断面设计!$D$44/断面设计!$E$44,0)))</f>
        <v>2.130349326053774</v>
      </c>
      <c r="T121" s="62">
        <f t="shared" si="242"/>
        <v>0.33081347905654718</v>
      </c>
      <c r="U121" s="62">
        <f t="shared" si="243"/>
        <v>0.58176801022124669</v>
      </c>
      <c r="V121" s="63"/>
      <c r="W121" s="63"/>
      <c r="X121" s="63"/>
      <c r="Y121" s="63">
        <v>0.88</v>
      </c>
      <c r="Z121" s="62">
        <f t="shared" si="219"/>
        <v>0</v>
      </c>
      <c r="AA121" s="70"/>
      <c r="AB121" s="71">
        <f t="shared" si="245"/>
        <v>0.61035771418674445</v>
      </c>
      <c r="AC121" s="71">
        <f t="shared" si="134"/>
        <v>0.88</v>
      </c>
      <c r="AD121" s="71">
        <f>AD119-AC121</f>
        <v>2415.8998497207772</v>
      </c>
      <c r="AE121" s="64">
        <f t="shared" si="247"/>
        <v>0</v>
      </c>
      <c r="AF121" s="71" t="str">
        <f t="shared" si="248"/>
        <v xml:space="preserve"> </v>
      </c>
      <c r="AG121" s="71" t="str">
        <f>IF(AE121=0," ",AF121-断面设计!$B$8)</f>
        <v xml:space="preserve"> </v>
      </c>
      <c r="AH121" s="71" t="str">
        <f t="shared" si="135"/>
        <v xml:space="preserve"> </v>
      </c>
      <c r="AI121" s="71" t="str">
        <f t="shared" si="136"/>
        <v xml:space="preserve"> </v>
      </c>
      <c r="AJ121" s="71" t="str">
        <f t="shared" si="137"/>
        <v xml:space="preserve"> </v>
      </c>
      <c r="AK121" s="71" t="str">
        <f t="shared" si="138"/>
        <v xml:space="preserve"> </v>
      </c>
      <c r="AL121" s="71">
        <f t="shared" si="139"/>
        <v>2415.8998497207772</v>
      </c>
      <c r="AM121" s="71">
        <f t="shared" si="140"/>
        <v>2415.2894920065905</v>
      </c>
      <c r="AN121" s="74">
        <v>2</v>
      </c>
      <c r="AO121" s="74">
        <v>0</v>
      </c>
      <c r="AP121" s="160">
        <v>2415.9</v>
      </c>
    </row>
    <row r="122" spans="1:42" s="20" customFormat="1" x14ac:dyDescent="0.2">
      <c r="A122" s="21"/>
      <c r="B122" s="43" t="str">
        <f>线路!B119</f>
        <v>IP87</v>
      </c>
      <c r="C122" s="44">
        <f>线路!E119</f>
        <v>453905.59669999999</v>
      </c>
      <c r="D122" s="44">
        <f>线路!F119</f>
        <v>3041080.8744999999</v>
      </c>
      <c r="E122" s="172">
        <f>线路!G119</f>
        <v>10</v>
      </c>
      <c r="F122" s="6">
        <f>线路!H119</f>
        <v>6.1879999999999997</v>
      </c>
      <c r="G122" s="145">
        <f>线路!L119</f>
        <v>7830.0269700147383</v>
      </c>
      <c r="H122" s="145">
        <f>线路!M119</f>
        <v>7830.5669748853052</v>
      </c>
      <c r="I122" s="145">
        <f>线路!N119</f>
        <v>7831.1069797558721</v>
      </c>
      <c r="J122" s="58">
        <f t="shared" si="239"/>
        <v>1.0800097411338356</v>
      </c>
      <c r="K122" s="58">
        <f t="shared" si="240"/>
        <v>84.085826709551839</v>
      </c>
      <c r="L122" s="58">
        <f>IF(AO122=0,断面设计!$C$8,IF(AO122=1,断面设计!$C$33,IF(AO122=2,断面设计!$C$44*2,0)))</f>
        <v>1.5524731620415944</v>
      </c>
      <c r="M122" s="7">
        <f>IF(AO122=0,断面设计!$D$8,0)</f>
        <v>0.24932800284318068</v>
      </c>
      <c r="N122" s="59">
        <f t="shared" si="241"/>
        <v>1.4999999999999999E-2</v>
      </c>
      <c r="O122" s="60">
        <f>IF(AO122=0,断面设计!$I$8,IF(AO122=1,断面设计!$N$33,IF(AO122=2,断面设计!$G$44,断面设计!$I$8)))</f>
        <v>3000</v>
      </c>
      <c r="P122" s="61">
        <f>IF(AO122=0,断面设计!$L$8,IF(AO122=1,断面设计!$S$33,IF(AO122=2,断面设计!$N$44,0)))</f>
        <v>0.41</v>
      </c>
      <c r="Q122" s="59">
        <f>IF(AO122=0,断面设计!$B$8,IF(AO122=1,断面设计!$B$33,IF(AO122=2,断面设计!$B$44,0)))</f>
        <v>0.61035771418674445</v>
      </c>
      <c r="R122" s="58">
        <f>IF(AO122=0,断面设计!$E$8,IF(AO122=1,断面设计!$J$33,IF(AO122=2,断面设计!$D$44,0)))</f>
        <v>0.70474827215761959</v>
      </c>
      <c r="S122" s="58">
        <f>IF(AO122=0,断面设计!$F$8,IF(AO122=1,断面设计!$K$33,IF(AO122=2,断面设计!$D$44/断面设计!$E$44,0)))</f>
        <v>2.130349326053774</v>
      </c>
      <c r="T122" s="58">
        <f t="shared" si="242"/>
        <v>0.33081347905654718</v>
      </c>
      <c r="U122" s="58">
        <f t="shared" si="243"/>
        <v>0.58176801022124669</v>
      </c>
      <c r="V122" s="59">
        <f t="shared" ref="V122" si="249">(I122-G122)*N122^2/T122^(4/3)*U122^2*3/4*((L122+Q122*M122*2*1.3)/E122)^0.5</f>
        <v>1.1899723368508422E-4</v>
      </c>
      <c r="W122" s="59"/>
      <c r="X122" s="59">
        <f>IF(AN122=0,IF(AN121=2,(H122-H121-AE121)/O122,(H122-H121)/O122),IF(AN122=1,IF(AN121=2,IF(AE122&lt;9,(H122-H121-AE122-AE121)/断面设计!$I$8,(H122-H121-AE122-AE121)/断面设计!$I$8),(H122-H121-AE122)/O121),(H122-H121)/O122))</f>
        <v>2.8028608903183948E-2</v>
      </c>
      <c r="Y122" s="59">
        <v>0</v>
      </c>
      <c r="Z122" s="58">
        <f t="shared" si="219"/>
        <v>0</v>
      </c>
      <c r="AA122" s="69"/>
      <c r="AB122" s="56">
        <f t="shared" si="245"/>
        <v>0.61035771418674445</v>
      </c>
      <c r="AC122" s="56">
        <f t="shared" si="134"/>
        <v>2.8147606136869032E-2</v>
      </c>
      <c r="AD122" s="56">
        <f t="shared" si="246"/>
        <v>2415.8717021146404</v>
      </c>
      <c r="AE122" s="60">
        <f t="shared" si="247"/>
        <v>0</v>
      </c>
      <c r="AF122" s="56" t="str">
        <f t="shared" si="248"/>
        <v xml:space="preserve"> </v>
      </c>
      <c r="AG122" s="56" t="str">
        <f>IF(AE122=0," ",AF122-断面设计!$B$8)</f>
        <v xml:space="preserve"> </v>
      </c>
      <c r="AH122" s="56">
        <f t="shared" si="135"/>
        <v>2415.8720011134974</v>
      </c>
      <c r="AI122" s="56">
        <f t="shared" si="136"/>
        <v>2415.2616433993107</v>
      </c>
      <c r="AJ122" s="56">
        <f t="shared" si="137"/>
        <v>2415.8715221130169</v>
      </c>
      <c r="AK122" s="56">
        <f t="shared" si="138"/>
        <v>2415.2611643988303</v>
      </c>
      <c r="AL122" s="56">
        <f t="shared" si="139"/>
        <v>2415.8717616132571</v>
      </c>
      <c r="AM122" s="56">
        <f t="shared" si="140"/>
        <v>2415.2614038990705</v>
      </c>
      <c r="AN122" s="45"/>
      <c r="AO122" s="45">
        <v>0</v>
      </c>
      <c r="AP122" s="24">
        <v>2415.86</v>
      </c>
    </row>
    <row r="124" spans="1:42" ht="15" customHeight="1" x14ac:dyDescent="0.15">
      <c r="B124" s="249" t="s">
        <v>200</v>
      </c>
      <c r="C124" s="249"/>
      <c r="D124" s="249"/>
      <c r="E124" s="249"/>
      <c r="F124" s="249"/>
      <c r="G124" s="249"/>
      <c r="H124" s="249"/>
      <c r="I124" s="249"/>
      <c r="J124" s="249"/>
      <c r="K124" s="249"/>
      <c r="L124" s="249"/>
      <c r="M124" s="249"/>
      <c r="N124" s="249"/>
      <c r="O124" s="249"/>
      <c r="P124" s="249"/>
      <c r="Q124" s="249"/>
      <c r="R124" s="249"/>
      <c r="S124" s="249"/>
      <c r="T124" s="249"/>
      <c r="U124" s="249"/>
      <c r="V124" s="249"/>
      <c r="W124" s="249"/>
      <c r="X124" s="249"/>
      <c r="Y124" s="249"/>
      <c r="Z124" s="249"/>
      <c r="AA124" s="249"/>
      <c r="AB124" s="249"/>
      <c r="AC124" s="249"/>
      <c r="AD124" s="249"/>
      <c r="AE124" s="249"/>
      <c r="AF124" s="249"/>
      <c r="AG124" s="249"/>
      <c r="AH124" s="249"/>
      <c r="AI124" s="249"/>
      <c r="AJ124" s="249"/>
      <c r="AK124" s="249"/>
      <c r="AL124" s="249"/>
      <c r="AM124" s="249"/>
      <c r="AN124" s="249"/>
      <c r="AO124" s="249"/>
      <c r="AP124" s="249"/>
    </row>
    <row r="125" spans="1:42" ht="15" customHeight="1" x14ac:dyDescent="0.15">
      <c r="B125" s="249"/>
      <c r="C125" s="249"/>
      <c r="D125" s="249"/>
      <c r="E125" s="249"/>
      <c r="F125" s="249"/>
      <c r="G125" s="249"/>
      <c r="H125" s="249"/>
      <c r="I125" s="249"/>
      <c r="J125" s="249"/>
      <c r="K125" s="249"/>
      <c r="L125" s="249"/>
      <c r="M125" s="249"/>
      <c r="N125" s="249"/>
      <c r="O125" s="249"/>
      <c r="P125" s="249"/>
      <c r="Q125" s="249"/>
      <c r="R125" s="249"/>
      <c r="S125" s="249"/>
      <c r="T125" s="249"/>
      <c r="U125" s="249"/>
      <c r="V125" s="249"/>
      <c r="W125" s="249"/>
      <c r="X125" s="249"/>
      <c r="Y125" s="249"/>
      <c r="Z125" s="249"/>
      <c r="AA125" s="249"/>
      <c r="AB125" s="249"/>
      <c r="AC125" s="249"/>
      <c r="AD125" s="249"/>
      <c r="AE125" s="249"/>
      <c r="AF125" s="249"/>
      <c r="AG125" s="249"/>
      <c r="AH125" s="249"/>
      <c r="AI125" s="249"/>
      <c r="AJ125" s="249"/>
      <c r="AK125" s="249"/>
      <c r="AL125" s="249"/>
      <c r="AM125" s="249"/>
      <c r="AN125" s="249"/>
      <c r="AO125" s="249"/>
      <c r="AP125" s="249"/>
    </row>
    <row r="126" spans="1:42" ht="15" customHeight="1" x14ac:dyDescent="0.15">
      <c r="B126" s="249"/>
      <c r="C126" s="249"/>
      <c r="D126" s="249"/>
      <c r="E126" s="249"/>
      <c r="F126" s="249"/>
      <c r="G126" s="249"/>
      <c r="H126" s="249"/>
      <c r="I126" s="249"/>
      <c r="J126" s="249"/>
      <c r="K126" s="249"/>
      <c r="L126" s="249"/>
      <c r="M126" s="249"/>
      <c r="N126" s="249"/>
      <c r="O126" s="249"/>
      <c r="P126" s="249"/>
      <c r="Q126" s="249"/>
      <c r="R126" s="249"/>
      <c r="S126" s="249"/>
      <c r="T126" s="249"/>
      <c r="U126" s="249"/>
      <c r="V126" s="249"/>
      <c r="W126" s="249"/>
      <c r="X126" s="249"/>
      <c r="Y126" s="249"/>
      <c r="Z126" s="249"/>
      <c r="AA126" s="249"/>
      <c r="AB126" s="249"/>
      <c r="AC126" s="249"/>
      <c r="AD126" s="249"/>
      <c r="AE126" s="249"/>
      <c r="AF126" s="249"/>
      <c r="AG126" s="249"/>
      <c r="AH126" s="249"/>
      <c r="AI126" s="249"/>
      <c r="AJ126" s="249"/>
      <c r="AK126" s="249"/>
      <c r="AL126" s="249"/>
      <c r="AM126" s="249"/>
      <c r="AN126" s="249"/>
      <c r="AO126" s="249"/>
      <c r="AP126" s="249"/>
    </row>
    <row r="127" spans="1:42" ht="15" customHeight="1" x14ac:dyDescent="0.15">
      <c r="B127" s="249"/>
      <c r="C127" s="249"/>
      <c r="D127" s="249"/>
      <c r="E127" s="249"/>
      <c r="F127" s="249"/>
      <c r="G127" s="249"/>
      <c r="H127" s="249"/>
      <c r="I127" s="249"/>
      <c r="J127" s="249"/>
      <c r="K127" s="249"/>
      <c r="L127" s="249"/>
      <c r="M127" s="249"/>
      <c r="N127" s="249"/>
      <c r="O127" s="249"/>
      <c r="P127" s="249"/>
      <c r="Q127" s="249"/>
      <c r="R127" s="249"/>
      <c r="S127" s="249"/>
      <c r="T127" s="249"/>
      <c r="U127" s="249"/>
      <c r="V127" s="249"/>
      <c r="W127" s="249"/>
      <c r="X127" s="249"/>
      <c r="Y127" s="249"/>
      <c r="Z127" s="249"/>
      <c r="AA127" s="249"/>
      <c r="AB127" s="249"/>
      <c r="AC127" s="249"/>
      <c r="AD127" s="249"/>
      <c r="AE127" s="249"/>
      <c r="AF127" s="249"/>
      <c r="AG127" s="249"/>
      <c r="AH127" s="249"/>
      <c r="AI127" s="249"/>
      <c r="AJ127" s="249"/>
      <c r="AK127" s="249"/>
      <c r="AL127" s="249"/>
      <c r="AM127" s="249"/>
      <c r="AN127" s="249"/>
      <c r="AO127" s="249"/>
      <c r="AP127" s="249"/>
    </row>
  </sheetData>
  <mergeCells count="3">
    <mergeCell ref="G3:I3"/>
    <mergeCell ref="AP3:AP4"/>
    <mergeCell ref="B124:AP127"/>
  </mergeCells>
  <phoneticPr fontId="8" type="noConversion"/>
  <pageMargins left="0.75" right="0.75" top="1" bottom="1" header="0.5" footer="0.5"/>
  <pageSetup paperSize="8" scale="47" fitToHeight="0"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D119"/>
  <sheetViews>
    <sheetView topLeftCell="A37" zoomScale="85" zoomScaleNormal="85" workbookViewId="0">
      <selection activeCell="L66" sqref="L66"/>
    </sheetView>
  </sheetViews>
  <sheetFormatPr defaultColWidth="8.875" defaultRowHeight="13.5" x14ac:dyDescent="0.15"/>
  <cols>
    <col min="1" max="1" width="3.625" customWidth="1"/>
    <col min="2" max="2" width="26.125" customWidth="1"/>
    <col min="3" max="3" width="27.625" customWidth="1"/>
    <col min="4" max="4" width="11.25" customWidth="1"/>
    <col min="5" max="5" width="14.125" customWidth="1"/>
    <col min="6" max="6" width="15.25" customWidth="1"/>
    <col min="7" max="7" width="5.5" customWidth="1"/>
    <col min="8" max="8" width="7.375" customWidth="1"/>
    <col min="9" max="10" width="7.5" customWidth="1"/>
    <col min="11" max="11" width="11.5" customWidth="1"/>
    <col min="12" max="14" width="9.5" customWidth="1"/>
    <col min="15" max="15" width="28.875" customWidth="1"/>
    <col min="17" max="18" width="13.5" customWidth="1"/>
    <col min="19" max="19" width="11.25" customWidth="1"/>
    <col min="20" max="20" width="49.5" customWidth="1"/>
    <col min="21" max="21" width="75.5" customWidth="1"/>
    <col min="23" max="23" width="69.125" customWidth="1"/>
  </cols>
  <sheetData>
    <row r="1" spans="1:30" ht="14.25" x14ac:dyDescent="0.15">
      <c r="A1" s="1"/>
      <c r="B1" s="2"/>
      <c r="C1" s="2"/>
      <c r="D1" s="2"/>
      <c r="E1" s="3" t="s">
        <v>20</v>
      </c>
      <c r="F1" s="3" t="s">
        <v>96</v>
      </c>
      <c r="G1" s="4" t="s">
        <v>35</v>
      </c>
      <c r="H1" s="5" t="s">
        <v>62</v>
      </c>
      <c r="I1" s="5" t="s">
        <v>97</v>
      </c>
      <c r="J1" s="5" t="s">
        <v>98</v>
      </c>
      <c r="K1" s="5" t="s">
        <v>99</v>
      </c>
      <c r="L1" s="5" t="s">
        <v>100</v>
      </c>
      <c r="M1" s="2" t="s">
        <v>101</v>
      </c>
      <c r="N1" s="2" t="s">
        <v>102</v>
      </c>
      <c r="O1" s="2"/>
      <c r="P1" s="2"/>
      <c r="Q1" s="10" t="s">
        <v>103</v>
      </c>
      <c r="R1" s="2" t="s">
        <v>104</v>
      </c>
      <c r="S1" s="2" t="s">
        <v>105</v>
      </c>
      <c r="T1" s="2"/>
      <c r="U1" s="2"/>
      <c r="V1" s="1"/>
      <c r="W1" s="1"/>
      <c r="X1" s="11"/>
      <c r="Y1" s="14"/>
      <c r="Z1" s="14"/>
      <c r="AA1" s="14"/>
      <c r="AB1" s="14"/>
      <c r="AC1" s="15"/>
      <c r="AD1" s="15"/>
    </row>
    <row r="2" spans="1:30" ht="15" x14ac:dyDescent="0.2">
      <c r="A2" s="2">
        <v>0</v>
      </c>
      <c r="B2" s="2" t="str">
        <f>IF(C2=0,"IP"&amp;A2,C2)</f>
        <v>IP0</v>
      </c>
      <c r="C2" s="2"/>
      <c r="D2" s="6">
        <v>1</v>
      </c>
      <c r="E2" s="236">
        <v>454571.62109999999</v>
      </c>
      <c r="F2" s="236">
        <v>3047091.8583999998</v>
      </c>
      <c r="G2" s="6">
        <v>10</v>
      </c>
      <c r="H2" s="7">
        <v>0</v>
      </c>
      <c r="I2" s="7">
        <f t="shared" ref="I2:I3" si="0">G2*TAN(PI()/180*H2/2)</f>
        <v>0</v>
      </c>
      <c r="J2" s="7">
        <f t="shared" ref="J2:J3" si="1">H2*PI()*G2/180</f>
        <v>0</v>
      </c>
      <c r="K2" s="7">
        <v>0</v>
      </c>
      <c r="L2" s="7">
        <v>0</v>
      </c>
      <c r="M2" s="7">
        <v>0</v>
      </c>
      <c r="N2" s="7">
        <v>0</v>
      </c>
      <c r="O2" s="7" t="str">
        <f>"c "&amp;E2&amp;","&amp;F2&amp;" 1"</f>
        <v>c 454571.6211,3047091.8584 1</v>
      </c>
      <c r="P2" s="7"/>
      <c r="Q2" s="10"/>
      <c r="R2" s="2"/>
      <c r="S2" s="2"/>
      <c r="T2" s="2" t="str">
        <f>"-text"&amp;" "&amp;E2&amp;","&amp;F2&amp;" "&amp;"7"&amp;" "&amp;"0"&amp;" "&amp;B2</f>
        <v>-text 454571.6211,3047091.8584 7 0 IP0</v>
      </c>
      <c r="U2" s="2" t="str">
        <f t="shared" ref="U2" si="2">"dt"&amp;" "&amp;E2&amp;","&amp;F2&amp;" "&amp;"5"&amp;" "&amp;"0"&amp;" "&amp;B2&amp;"("&amp;E2&amp;","&amp;F2&amp;")*"</f>
        <v>dt 454571.6211,3047091.8584 5 0 IP0(454571.6211,3047091.8584)*</v>
      </c>
      <c r="V2" s="1"/>
      <c r="W2" s="1" t="str">
        <f t="shared" ref="W2" si="3">"dt"&amp;" "&amp;E2-10&amp;","&amp;F2-10&amp;" "&amp;"5 "&amp;"0 "&amp;"R="&amp;G2&amp;"*"&amp;"T="&amp;INT(I2*1000)/1000&amp;"*"&amp;"S="&amp;INT(J2*1000)/1000&amp;"*"&amp;"α="&amp;INT(H2*1000)/1000&amp;"*"</f>
        <v>dt 454561.6211,3047081.8584 5 0 R=10*T=0*S=0*α=0*</v>
      </c>
      <c r="X2" s="11"/>
      <c r="Y2" s="14"/>
      <c r="Z2" s="14"/>
      <c r="AA2" s="14"/>
      <c r="AB2" s="14" t="str">
        <f>E2&amp;","&amp;F2</f>
        <v>454571.6211,3047091.8584</v>
      </c>
      <c r="AC2" s="15"/>
      <c r="AD2" s="15"/>
    </row>
    <row r="3" spans="1:30" ht="15" x14ac:dyDescent="0.2">
      <c r="A3" s="2">
        <v>1</v>
      </c>
      <c r="B3" s="2" t="str">
        <f t="shared" ref="B3:B69" si="4">IF(C3=0,"IP"&amp;A3,C3)</f>
        <v>IP1</v>
      </c>
      <c r="C3" s="2"/>
      <c r="D3" s="6">
        <v>2</v>
      </c>
      <c r="E3" s="236">
        <v>454567.78100000002</v>
      </c>
      <c r="F3" s="236">
        <v>3047079.2993000001</v>
      </c>
      <c r="G3" s="6">
        <v>10</v>
      </c>
      <c r="H3" s="7">
        <f>ROUND(IF((2*SQRT((E2-E3)^2+(F2-F3)^2)*SQRT((E4-E3)^2+(F4-F3)^2))=0,0,180-ACOS(((E2-E3)^2+(F2-F3)^2+(E4-E3)^2+(F4-F3)^2-(E4-E2)^2-(F4-F2)^2)/(2*SQRT((E2-E3)^2+(F2-F3)^2)*SQRT((E4-E3)^2+(F4-F3)^2)))/PI()*180),3)</f>
        <v>28.047999999999998</v>
      </c>
      <c r="I3" s="7">
        <f t="shared" si="0"/>
        <v>2.4977296774623028</v>
      </c>
      <c r="J3" s="7">
        <f t="shared" si="1"/>
        <v>4.8952994859936947</v>
      </c>
      <c r="K3" s="7">
        <f>SQRT((E3-E2)^2+(F3-F2)^2)</f>
        <v>13.133063649156872</v>
      </c>
      <c r="L3" s="7">
        <f>M3-J3/2</f>
        <v>10.635333971694568</v>
      </c>
      <c r="M3" s="7">
        <f>M2+K3-I3+J3/2+J2/2-I2</f>
        <v>13.082983714691416</v>
      </c>
      <c r="N3" s="7">
        <f>L3+J3</f>
        <v>15.530633457688262</v>
      </c>
      <c r="O3" s="7" t="str">
        <f t="shared" ref="O3:O65" si="5">"c "&amp;E3&amp;","&amp;F3&amp;" 1"</f>
        <v>c 454567.781,3047079.2993 1</v>
      </c>
      <c r="P3" s="7"/>
      <c r="Q3" s="10">
        <f t="shared" ref="Q3:Q65" si="6">K3-I3</f>
        <v>10.635333971694569</v>
      </c>
      <c r="R3" s="7">
        <f t="shared" ref="R3:R65" si="7">K4-I3</f>
        <v>30.266032739886882</v>
      </c>
      <c r="S3" s="5" t="e">
        <f>K3-#REF!-I3</f>
        <v>#REF!</v>
      </c>
      <c r="T3" s="2" t="str">
        <f t="shared" ref="T3:T65" si="8">"-text"&amp;" "&amp;E3&amp;","&amp;F3&amp;" "&amp;"7"&amp;" "&amp;"0"&amp;" "&amp;B3</f>
        <v>-text 454567.781,3047079.2993 7 0 IP1</v>
      </c>
      <c r="U3" s="2" t="str">
        <f t="shared" ref="U3:U65" si="9">"dt"&amp;" "&amp;E3&amp;","&amp;F3&amp;" "&amp;"5"&amp;" "&amp;"0"&amp;" "&amp;B3&amp;"("&amp;E3&amp;","&amp;F3&amp;")*"</f>
        <v>dt 454567.781,3047079.2993 5 0 IP1(454567.781,3047079.2993)*</v>
      </c>
      <c r="V3" s="12"/>
      <c r="W3" s="1" t="str">
        <f t="shared" ref="W3:W65" si="10">"dt"&amp;" "&amp;E3-10&amp;","&amp;F3-10&amp;" "&amp;"5 "&amp;"0 "&amp;"R="&amp;G3&amp;"*"&amp;"T="&amp;INT(I3*1000)/1000&amp;"*"&amp;"S="&amp;INT(J3*1000)/1000&amp;"*"&amp;"α="&amp;INT(H3*1000)/1000&amp;"*"</f>
        <v>dt 454557.781,3047069.2993 5 0 R=10*T=2.497*S=4.895*α=28.048*</v>
      </c>
      <c r="X3" s="13"/>
      <c r="Y3" s="16"/>
      <c r="Z3" s="16"/>
      <c r="AA3" s="16"/>
      <c r="AB3" s="14"/>
      <c r="AC3" s="15"/>
      <c r="AD3" s="15"/>
    </row>
    <row r="4" spans="1:30" ht="15" x14ac:dyDescent="0.2">
      <c r="A4" s="2">
        <v>2</v>
      </c>
      <c r="B4" s="2" t="str">
        <f t="shared" si="4"/>
        <v>IP2</v>
      </c>
      <c r="C4" s="2"/>
      <c r="D4" s="6">
        <v>3</v>
      </c>
      <c r="E4" s="236">
        <v>454574.0588</v>
      </c>
      <c r="F4" s="236">
        <v>3047047.1425999999</v>
      </c>
      <c r="G4" s="6">
        <v>10</v>
      </c>
      <c r="H4" s="7">
        <f t="shared" ref="H4:H67" si="11">ROUND(IF((2*SQRT((E3-E4)^2+(F3-F4)^2)*SQRT((E5-E4)^2+(F5-F4)^2))=0,0,180-ACOS(((E3-E4)^2+(F3-F4)^2+(E5-E4)^2+(F5-F4)^2-(E5-E3)^2-(F5-F3)^2)/(2*SQRT((E3-E4)^2+(F3-F4)^2)*SQRT((E5-E4)^2+(F5-F4)^2)))/PI()*180),3)</f>
        <v>17.306000000000001</v>
      </c>
      <c r="I4" s="7">
        <f t="shared" ref="I4:I67" si="12">G4*TAN(PI()/180*H4/2)</f>
        <v>1.5218209549874915</v>
      </c>
      <c r="J4" s="7">
        <f t="shared" ref="J4:J67" si="13">H4*PI()*G4/180</f>
        <v>3.0204668035013866</v>
      </c>
      <c r="K4" s="7">
        <f t="shared" ref="K4:K67" si="14">SQRT((E4-E3)^2+(F4-F3)^2)</f>
        <v>32.763762417349184</v>
      </c>
      <c r="L4" s="7">
        <f t="shared" ref="L4:L57" si="15">M4-J4/2</f>
        <v>44.274845242587652</v>
      </c>
      <c r="M4" s="7">
        <f t="shared" ref="M4:M57" si="16">M3+K4-I4+J4/2+J3/2-I3</f>
        <v>45.785078644338348</v>
      </c>
      <c r="N4" s="7">
        <f t="shared" ref="N4:N57" si="17">L4+J4</f>
        <v>47.295312046089037</v>
      </c>
      <c r="O4" s="7" t="str">
        <f t="shared" si="5"/>
        <v>c 454574.0588,3047047.1426 1</v>
      </c>
      <c r="P4" s="7"/>
      <c r="Q4" s="10">
        <f t="shared" si="6"/>
        <v>31.241941462361694</v>
      </c>
      <c r="R4" s="7">
        <f t="shared" si="7"/>
        <v>75.313231490291841</v>
      </c>
      <c r="S4" s="5">
        <f t="shared" ref="S4:S65" si="18">K4-I3-I4</f>
        <v>28.744211784899392</v>
      </c>
      <c r="T4" s="2" t="str">
        <f t="shared" si="8"/>
        <v>-text 454574.0588,3047047.1426 7 0 IP2</v>
      </c>
      <c r="U4" s="2" t="str">
        <f t="shared" si="9"/>
        <v>dt 454574.0588,3047047.1426 5 0 IP2(454574.0588,3047047.1426)*</v>
      </c>
      <c r="V4" s="12"/>
      <c r="W4" s="1" t="str">
        <f t="shared" si="10"/>
        <v>dt 454564.0588,3047037.1426 5 0 R=10*T=1.521*S=3.02*α=17.306*</v>
      </c>
      <c r="X4" s="13"/>
      <c r="Y4" s="16"/>
      <c r="Z4" s="16"/>
      <c r="AA4" s="16"/>
      <c r="AB4" s="14" t="str">
        <f>E4&amp;","&amp;F4</f>
        <v>454574.0588,3047047.1426</v>
      </c>
      <c r="AC4" s="15"/>
      <c r="AD4" s="15"/>
    </row>
    <row r="5" spans="1:30" ht="15" x14ac:dyDescent="0.2">
      <c r="A5" s="2">
        <v>3</v>
      </c>
      <c r="B5" s="2" t="str">
        <f t="shared" si="4"/>
        <v>IP3</v>
      </c>
      <c r="C5" s="2"/>
      <c r="D5" s="6">
        <v>4</v>
      </c>
      <c r="E5" s="236">
        <v>454565.68150000001</v>
      </c>
      <c r="F5" s="236">
        <v>3046970.7656</v>
      </c>
      <c r="G5" s="6">
        <v>10</v>
      </c>
      <c r="H5" s="7">
        <f t="shared" si="11"/>
        <v>34.000999999999998</v>
      </c>
      <c r="I5" s="7">
        <f t="shared" si="12"/>
        <v>3.057402238209102</v>
      </c>
      <c r="J5" s="7">
        <f t="shared" si="13"/>
        <v>5.9342939897059193</v>
      </c>
      <c r="K5" s="7">
        <f t="shared" si="14"/>
        <v>76.835052445279331</v>
      </c>
      <c r="L5" s="7">
        <f t="shared" si="15"/>
        <v>119.55114129817177</v>
      </c>
      <c r="M5" s="7">
        <f t="shared" si="16"/>
        <v>122.51828829302472</v>
      </c>
      <c r="N5" s="7">
        <f t="shared" si="17"/>
        <v>125.48543528787769</v>
      </c>
      <c r="O5" s="7" t="str">
        <f t="shared" si="5"/>
        <v>c 454565.6815,3046970.7656 1</v>
      </c>
      <c r="P5" s="7"/>
      <c r="Q5" s="10">
        <f t="shared" si="6"/>
        <v>73.777650207070224</v>
      </c>
      <c r="R5" s="7">
        <f t="shared" si="7"/>
        <v>147.9130718650583</v>
      </c>
      <c r="S5" s="5">
        <f t="shared" si="18"/>
        <v>72.255829252082734</v>
      </c>
      <c r="T5" s="2" t="str">
        <f t="shared" si="8"/>
        <v>-text 454565.6815,3046970.7656 7 0 IP3</v>
      </c>
      <c r="U5" s="2" t="str">
        <f t="shared" si="9"/>
        <v>dt 454565.6815,3046970.7656 5 0 IP3(454565.6815,3046970.7656)*</v>
      </c>
      <c r="V5" s="12"/>
      <c r="W5" s="1" t="str">
        <f t="shared" si="10"/>
        <v>dt 454555.6815,3046960.7656 5 0 R=10*T=3.057*S=5.934*α=34.001*</v>
      </c>
      <c r="X5" s="11"/>
      <c r="Y5" s="14"/>
      <c r="Z5" s="14"/>
      <c r="AA5" s="14"/>
      <c r="AB5" s="14"/>
      <c r="AC5" s="15"/>
      <c r="AD5" s="15"/>
    </row>
    <row r="6" spans="1:30" ht="15" x14ac:dyDescent="0.2">
      <c r="A6" s="2">
        <v>4</v>
      </c>
      <c r="B6" s="2" t="str">
        <f t="shared" si="4"/>
        <v>IP4</v>
      </c>
      <c r="C6" s="2"/>
      <c r="D6" s="6">
        <v>5</v>
      </c>
      <c r="E6" s="236">
        <v>454635.95539999998</v>
      </c>
      <c r="F6" s="236">
        <v>3046837.148</v>
      </c>
      <c r="G6" s="6">
        <v>10</v>
      </c>
      <c r="H6" s="7">
        <f t="shared" si="11"/>
        <v>65.007000000000005</v>
      </c>
      <c r="I6" s="7">
        <f t="shared" si="12"/>
        <v>6.3715614315963123</v>
      </c>
      <c r="J6" s="7">
        <f t="shared" si="13"/>
        <v>11.345861868439538</v>
      </c>
      <c r="K6" s="7">
        <f t="shared" si="14"/>
        <v>150.97047410326741</v>
      </c>
      <c r="L6" s="7">
        <f t="shared" si="15"/>
        <v>267.0269457213397</v>
      </c>
      <c r="M6" s="7">
        <f t="shared" si="16"/>
        <v>272.69987665555948</v>
      </c>
      <c r="N6" s="7">
        <f t="shared" si="17"/>
        <v>278.37280758977926</v>
      </c>
      <c r="O6" s="7" t="str">
        <f t="shared" si="5"/>
        <v>c 454635.9554,3046837.148 1</v>
      </c>
      <c r="P6" s="7"/>
      <c r="Q6" s="10">
        <f t="shared" si="6"/>
        <v>144.59891267167109</v>
      </c>
      <c r="R6" s="7">
        <f t="shared" si="7"/>
        <v>39.832700285815719</v>
      </c>
      <c r="S6" s="5">
        <f t="shared" si="18"/>
        <v>141.54151043346198</v>
      </c>
      <c r="T6" s="2" t="str">
        <f t="shared" si="8"/>
        <v>-text 454635.9554,3046837.148 7 0 IP4</v>
      </c>
      <c r="U6" s="2" t="str">
        <f t="shared" si="9"/>
        <v>dt 454635.9554,3046837.148 5 0 IP4(454635.9554,3046837.148)*</v>
      </c>
      <c r="V6" s="12"/>
      <c r="W6" s="1" t="str">
        <f t="shared" si="10"/>
        <v>dt 454625.9554,3046827.148 5 0 R=10*T=6.371*S=11.345*α=65.007*</v>
      </c>
      <c r="X6" s="11"/>
      <c r="Y6" s="14"/>
      <c r="Z6" s="14"/>
      <c r="AA6" s="14"/>
      <c r="AB6" s="14"/>
      <c r="AC6" s="15"/>
      <c r="AD6" s="15"/>
    </row>
    <row r="7" spans="1:30" ht="15" x14ac:dyDescent="0.2">
      <c r="A7" s="2">
        <v>5</v>
      </c>
      <c r="B7" s="2" t="str">
        <f t="shared" si="4"/>
        <v>IP5</v>
      </c>
      <c r="C7" s="2"/>
      <c r="D7" s="6">
        <v>6</v>
      </c>
      <c r="E7" s="236">
        <v>454682.10649999999</v>
      </c>
      <c r="F7" s="236">
        <v>3046839.3637999999</v>
      </c>
      <c r="G7" s="6">
        <v>10</v>
      </c>
      <c r="H7" s="7">
        <f t="shared" si="11"/>
        <v>94.441999999999993</v>
      </c>
      <c r="I7" s="7">
        <f t="shared" si="12"/>
        <v>10.806960299161474</v>
      </c>
      <c r="J7" s="7">
        <f t="shared" si="13"/>
        <v>16.483238521684846</v>
      </c>
      <c r="K7" s="7">
        <f t="shared" si="14"/>
        <v>46.204261717412031</v>
      </c>
      <c r="L7" s="7">
        <f t="shared" si="15"/>
        <v>307.39854757643349</v>
      </c>
      <c r="M7" s="7">
        <f t="shared" si="16"/>
        <v>315.6401668372759</v>
      </c>
      <c r="N7" s="7">
        <f t="shared" si="17"/>
        <v>323.88178609811831</v>
      </c>
      <c r="O7" s="7" t="str">
        <f t="shared" si="5"/>
        <v>c 454682.1065,3046839.3638 1</v>
      </c>
      <c r="P7" s="7"/>
      <c r="Q7" s="10">
        <f t="shared" si="6"/>
        <v>35.397301418250557</v>
      </c>
      <c r="R7" s="7">
        <f t="shared" si="7"/>
        <v>32.560671886347642</v>
      </c>
      <c r="S7" s="5">
        <f t="shared" si="18"/>
        <v>29.025739986654244</v>
      </c>
      <c r="T7" s="2" t="str">
        <f t="shared" si="8"/>
        <v>-text 454682.1065,3046839.3638 7 0 IP5</v>
      </c>
      <c r="U7" s="2" t="str">
        <f t="shared" si="9"/>
        <v>dt 454682.1065,3046839.3638 5 0 IP5(454682.1065,3046839.3638)*</v>
      </c>
      <c r="V7" s="12"/>
      <c r="W7" s="1" t="str">
        <f t="shared" si="10"/>
        <v>dt 454672.1065,3046829.3638 5 0 R=10*T=10.806*S=16.483*α=94.442*</v>
      </c>
      <c r="X7" s="11"/>
      <c r="Y7" s="14"/>
      <c r="Z7" s="14"/>
      <c r="AA7" s="14"/>
      <c r="AB7" s="14" t="str">
        <f>E7&amp;","&amp;F7</f>
        <v>454682.1065,3046839.3638</v>
      </c>
      <c r="AC7" s="15"/>
      <c r="AD7" s="15"/>
    </row>
    <row r="8" spans="1:30" ht="15" x14ac:dyDescent="0.2">
      <c r="A8" s="2">
        <v>6</v>
      </c>
      <c r="B8" s="2" t="str">
        <f t="shared" si="4"/>
        <v>IP6</v>
      </c>
      <c r="C8" s="2"/>
      <c r="D8" s="6">
        <v>7</v>
      </c>
      <c r="E8" s="236">
        <v>454680.82520000002</v>
      </c>
      <c r="F8" s="236">
        <v>3046796.0151</v>
      </c>
      <c r="G8" s="6">
        <v>10</v>
      </c>
      <c r="H8" s="7">
        <f t="shared" si="11"/>
        <v>81.003</v>
      </c>
      <c r="I8" s="7">
        <f t="shared" si="12"/>
        <v>8.541259634709423</v>
      </c>
      <c r="J8" s="7">
        <f t="shared" si="13"/>
        <v>14.137690539929668</v>
      </c>
      <c r="K8" s="7">
        <f t="shared" si="14"/>
        <v>43.367632185509116</v>
      </c>
      <c r="L8" s="7">
        <f t="shared" si="15"/>
        <v>347.90119834975656</v>
      </c>
      <c r="M8" s="7">
        <f t="shared" si="16"/>
        <v>354.97004361972137</v>
      </c>
      <c r="N8" s="7">
        <f t="shared" si="17"/>
        <v>362.03888888968623</v>
      </c>
      <c r="O8" s="7" t="str">
        <f t="shared" si="5"/>
        <v>c 454680.8252,3046796.0151 1</v>
      </c>
      <c r="P8" s="7"/>
      <c r="Q8" s="10">
        <f t="shared" si="6"/>
        <v>34.82637255079969</v>
      </c>
      <c r="R8" s="7">
        <f t="shared" si="7"/>
        <v>30.861563132156999</v>
      </c>
      <c r="S8" s="5">
        <f t="shared" si="18"/>
        <v>24.019412251638219</v>
      </c>
      <c r="T8" s="2" t="str">
        <f t="shared" si="8"/>
        <v>-text 454680.8252,3046796.0151 7 0 IP6</v>
      </c>
      <c r="U8" s="2" t="str">
        <f t="shared" si="9"/>
        <v>dt 454680.8252,3046796.0151 5 0 IP6(454680.8252,3046796.0151)*</v>
      </c>
      <c r="V8" s="12"/>
      <c r="W8" s="1" t="str">
        <f t="shared" si="10"/>
        <v>dt 454670.8252,3046786.0151 5 0 R=10*T=8.541*S=14.137*α=81.003*</v>
      </c>
      <c r="X8" s="11"/>
      <c r="Y8" s="14"/>
      <c r="Z8" s="14"/>
      <c r="AA8" s="14"/>
      <c r="AB8" s="14"/>
      <c r="AC8" s="15"/>
      <c r="AD8" s="15"/>
    </row>
    <row r="9" spans="1:30" ht="15" x14ac:dyDescent="0.2">
      <c r="A9" s="2">
        <v>7</v>
      </c>
      <c r="B9" s="2" t="str">
        <f t="shared" si="4"/>
        <v>IP7</v>
      </c>
      <c r="C9" s="2"/>
      <c r="D9" s="6">
        <v>8</v>
      </c>
      <c r="E9" s="236">
        <v>454719.5442</v>
      </c>
      <c r="F9" s="236">
        <v>3046788.7061000001</v>
      </c>
      <c r="G9" s="6">
        <v>10</v>
      </c>
      <c r="H9" s="7">
        <f t="shared" si="11"/>
        <v>29.306999999999999</v>
      </c>
      <c r="I9" s="7">
        <f t="shared" si="12"/>
        <v>2.6147783843045422</v>
      </c>
      <c r="J9" s="7">
        <f t="shared" si="13"/>
        <v>5.1150364388197813</v>
      </c>
      <c r="K9" s="7">
        <f t="shared" si="14"/>
        <v>39.402822766866421</v>
      </c>
      <c r="L9" s="7">
        <f t="shared" si="15"/>
        <v>390.28567363753865</v>
      </c>
      <c r="M9" s="7">
        <f t="shared" si="16"/>
        <v>392.84319185694852</v>
      </c>
      <c r="N9" s="7">
        <f t="shared" si="17"/>
        <v>395.40071007635845</v>
      </c>
      <c r="O9" s="7" t="str">
        <f t="shared" si="5"/>
        <v>c 454719.5442,3046788.7061 1</v>
      </c>
      <c r="P9" s="7"/>
      <c r="Q9" s="10">
        <f t="shared" si="6"/>
        <v>36.788044382561878</v>
      </c>
      <c r="R9" s="7">
        <f t="shared" si="7"/>
        <v>25.539879998661171</v>
      </c>
      <c r="S9" s="5">
        <f t="shared" si="18"/>
        <v>28.246784747852455</v>
      </c>
      <c r="T9" s="2" t="str">
        <f t="shared" si="8"/>
        <v>-text 454719.5442,3046788.7061 7 0 IP7</v>
      </c>
      <c r="U9" s="2" t="str">
        <f t="shared" si="9"/>
        <v>dt 454719.5442,3046788.7061 5 0 IP7(454719.5442,3046788.7061)*</v>
      </c>
      <c r="V9" s="12"/>
      <c r="W9" s="1" t="str">
        <f t="shared" si="10"/>
        <v>dt 454709.5442,3046778.7061 5 0 R=10*T=2.614*S=5.115*α=29.307*</v>
      </c>
      <c r="X9" s="11"/>
      <c r="Y9" s="14"/>
      <c r="Z9" s="14"/>
      <c r="AA9" s="14"/>
      <c r="AB9" s="14" t="str">
        <f>E9&amp;","&amp;F9</f>
        <v>454719.5442,3046788.7061</v>
      </c>
      <c r="AC9" s="15"/>
      <c r="AD9" s="15"/>
    </row>
    <row r="10" spans="1:30" ht="15" x14ac:dyDescent="0.2">
      <c r="A10" s="2">
        <v>8</v>
      </c>
      <c r="B10" s="2" t="str">
        <f t="shared" si="4"/>
        <v>IP8</v>
      </c>
      <c r="C10" s="2"/>
      <c r="D10" s="6">
        <v>9</v>
      </c>
      <c r="E10" s="236">
        <v>454746.22570000001</v>
      </c>
      <c r="F10" s="236">
        <v>3046797.6940000001</v>
      </c>
      <c r="G10" s="6">
        <v>10</v>
      </c>
      <c r="H10" s="7">
        <f t="shared" si="11"/>
        <v>108.42</v>
      </c>
      <c r="I10" s="7">
        <f t="shared" si="12"/>
        <v>13.870443869281308</v>
      </c>
      <c r="J10" s="7">
        <f t="shared" si="13"/>
        <v>18.922859750122523</v>
      </c>
      <c r="K10" s="7">
        <f t="shared" si="14"/>
        <v>28.154658382965714</v>
      </c>
      <c r="L10" s="7">
        <f t="shared" si="15"/>
        <v>407.07014620573824</v>
      </c>
      <c r="M10" s="7">
        <f t="shared" si="16"/>
        <v>416.53157608079948</v>
      </c>
      <c r="N10" s="7">
        <f t="shared" si="17"/>
        <v>425.99300595586078</v>
      </c>
      <c r="O10" s="7" t="str">
        <f t="shared" si="5"/>
        <v>c 454746.2257,3046797.694 1</v>
      </c>
      <c r="P10" s="7"/>
      <c r="Q10" s="10">
        <f t="shared" si="6"/>
        <v>14.284214513684406</v>
      </c>
      <c r="R10" s="7">
        <f t="shared" si="7"/>
        <v>59.672689250444968</v>
      </c>
      <c r="S10" s="5">
        <f t="shared" si="18"/>
        <v>11.669436129379863</v>
      </c>
      <c r="T10" s="2" t="str">
        <f t="shared" si="8"/>
        <v>-text 454746.2257,3046797.694 7 0 IP8</v>
      </c>
      <c r="U10" s="2" t="str">
        <f t="shared" si="9"/>
        <v>dt 454746.2257,3046797.694 5 0 IP8(454746.2257,3046797.694)*</v>
      </c>
      <c r="V10" s="12"/>
      <c r="W10" s="1" t="str">
        <f t="shared" si="10"/>
        <v>dt 454736.2257,3046787.694 5 0 R=10*T=13.87*S=18.922*α=108.42*</v>
      </c>
      <c r="X10" s="13"/>
      <c r="Y10" s="16"/>
      <c r="Z10" s="16"/>
      <c r="AA10" s="16"/>
      <c r="AB10" s="14" t="str">
        <f>E10&amp;","&amp;F10</f>
        <v>454746.2257,3046797.694</v>
      </c>
      <c r="AC10" s="15"/>
      <c r="AD10" s="15"/>
    </row>
    <row r="11" spans="1:30" ht="15" x14ac:dyDescent="0.2">
      <c r="A11" s="2">
        <v>9</v>
      </c>
      <c r="B11" s="2" t="str">
        <f t="shared" si="4"/>
        <v>IP9</v>
      </c>
      <c r="C11" s="2"/>
      <c r="D11" s="6">
        <v>10</v>
      </c>
      <c r="E11" s="236">
        <v>454746.47810000001</v>
      </c>
      <c r="F11" s="236">
        <v>3046724.1513</v>
      </c>
      <c r="G11" s="6">
        <v>10</v>
      </c>
      <c r="H11" s="7">
        <f t="shared" si="11"/>
        <v>61.661999999999999</v>
      </c>
      <c r="I11" s="7">
        <f t="shared" si="12"/>
        <v>5.9685319664752683</v>
      </c>
      <c r="J11" s="7">
        <f t="shared" si="13"/>
        <v>10.762049233647435</v>
      </c>
      <c r="K11" s="7">
        <f t="shared" si="14"/>
        <v>73.543133119726278</v>
      </c>
      <c r="L11" s="7">
        <f t="shared" si="15"/>
        <v>479.69716323983045</v>
      </c>
      <c r="M11" s="7">
        <f t="shared" si="16"/>
        <v>485.07818785665415</v>
      </c>
      <c r="N11" s="7">
        <f t="shared" si="17"/>
        <v>490.45921247347786</v>
      </c>
      <c r="O11" s="7" t="str">
        <f t="shared" si="5"/>
        <v>c 454746.4781,3046724.1513 1</v>
      </c>
      <c r="P11" s="7"/>
      <c r="Q11" s="10">
        <f t="shared" si="6"/>
        <v>67.57460115325101</v>
      </c>
      <c r="R11" s="7">
        <f t="shared" si="7"/>
        <v>24.700705181710504</v>
      </c>
      <c r="S11" s="5">
        <f t="shared" si="18"/>
        <v>53.7041572839697</v>
      </c>
      <c r="T11" s="2" t="str">
        <f t="shared" si="8"/>
        <v>-text 454746.4781,3046724.1513 7 0 IP9</v>
      </c>
      <c r="U11" s="2" t="str">
        <f t="shared" si="9"/>
        <v>dt 454746.4781,3046724.1513 5 0 IP9(454746.4781,3046724.1513)*</v>
      </c>
      <c r="V11" s="12"/>
      <c r="W11" s="1" t="str">
        <f t="shared" si="10"/>
        <v>dt 454736.4781,3046714.1513 5 0 R=10*T=5.968*S=10.762*α=61.662*</v>
      </c>
      <c r="X11" s="13"/>
      <c r="Y11" s="16"/>
      <c r="Z11" s="16"/>
      <c r="AA11" s="16"/>
      <c r="AB11" s="14" t="str">
        <f>E11&amp;","&amp;F11</f>
        <v>454746.4781,3046724.1513</v>
      </c>
      <c r="AC11" s="15"/>
      <c r="AD11" s="15"/>
    </row>
    <row r="12" spans="1:30" ht="15" x14ac:dyDescent="0.2">
      <c r="A12" s="2">
        <v>10</v>
      </c>
      <c r="B12" s="2" t="str">
        <f t="shared" si="4"/>
        <v>IP10</v>
      </c>
      <c r="C12" s="2"/>
      <c r="D12" s="6">
        <v>11</v>
      </c>
      <c r="E12" s="236">
        <v>454719.53419999999</v>
      </c>
      <c r="F12" s="236">
        <v>3046709.5011</v>
      </c>
      <c r="G12" s="6">
        <v>10</v>
      </c>
      <c r="H12" s="7">
        <f t="shared" si="11"/>
        <v>39.631999999999998</v>
      </c>
      <c r="I12" s="7">
        <f t="shared" si="12"/>
        <v>3.6033763310338811</v>
      </c>
      <c r="J12" s="7">
        <f t="shared" si="13"/>
        <v>6.9170888915039264</v>
      </c>
      <c r="K12" s="7">
        <f t="shared" si="14"/>
        <v>30.669237148185772</v>
      </c>
      <c r="L12" s="7">
        <f t="shared" si="15"/>
        <v>511.55654132415441</v>
      </c>
      <c r="M12" s="7">
        <f t="shared" si="16"/>
        <v>515.01508576990636</v>
      </c>
      <c r="N12" s="7">
        <f t="shared" si="17"/>
        <v>518.47363021565832</v>
      </c>
      <c r="O12" s="7" t="str">
        <f t="shared" si="5"/>
        <v>c 454719.5342,3046709.5011 1</v>
      </c>
      <c r="P12" s="7"/>
      <c r="Q12" s="10">
        <f t="shared" si="6"/>
        <v>27.06586081715189</v>
      </c>
      <c r="R12" s="7">
        <f t="shared" si="7"/>
        <v>11.923067987233058</v>
      </c>
      <c r="S12" s="5">
        <f t="shared" si="18"/>
        <v>21.097328850676622</v>
      </c>
      <c r="T12" s="2" t="str">
        <f t="shared" si="8"/>
        <v>-text 454719.5342,3046709.5011 7 0 IP10</v>
      </c>
      <c r="U12" s="2" t="str">
        <f t="shared" si="9"/>
        <v>dt 454719.5342,3046709.5011 5 0 IP10(454719.5342,3046709.5011)*</v>
      </c>
      <c r="V12" s="12"/>
      <c r="W12" s="1" t="str">
        <f t="shared" si="10"/>
        <v>dt 454709.5342,3046699.5011 5 0 R=10*T=3.603*S=6.917*α=39.632*</v>
      </c>
      <c r="X12" s="11"/>
      <c r="Y12" s="14"/>
      <c r="Z12" s="14"/>
      <c r="AA12" s="14"/>
      <c r="AB12" s="14" t="str">
        <f>E12&amp;","&amp;F12</f>
        <v>454719.5342,3046709.5011</v>
      </c>
      <c r="AC12" s="15"/>
      <c r="AD12" s="15"/>
    </row>
    <row r="13" spans="1:30" ht="15" x14ac:dyDescent="0.2">
      <c r="A13" s="2">
        <v>11</v>
      </c>
      <c r="B13" s="2" t="str">
        <f t="shared" si="4"/>
        <v>IP11</v>
      </c>
      <c r="C13" s="2"/>
      <c r="D13" s="6">
        <v>12</v>
      </c>
      <c r="E13" s="236">
        <v>454704.29810000001</v>
      </c>
      <c r="F13" s="236">
        <v>3046712.4896999998</v>
      </c>
      <c r="G13" s="6">
        <v>10</v>
      </c>
      <c r="H13" s="7">
        <f t="shared" si="11"/>
        <v>49.905999999999999</v>
      </c>
      <c r="I13" s="7">
        <f t="shared" si="12"/>
        <v>4.6530936565623913</v>
      </c>
      <c r="J13" s="7">
        <f t="shared" si="13"/>
        <v>8.7102401650029009</v>
      </c>
      <c r="K13" s="7">
        <f t="shared" si="14"/>
        <v>15.52644431826694</v>
      </c>
      <c r="L13" s="7">
        <f t="shared" si="15"/>
        <v>525.74360454632892</v>
      </c>
      <c r="M13" s="7">
        <f t="shared" si="16"/>
        <v>530.09872462883038</v>
      </c>
      <c r="N13" s="7">
        <f t="shared" si="17"/>
        <v>534.45384471133184</v>
      </c>
      <c r="O13" s="7" t="str">
        <f t="shared" si="5"/>
        <v>c 454704.2981,3046712.4897 1</v>
      </c>
      <c r="P13" s="7"/>
      <c r="Q13" s="10">
        <f t="shared" si="6"/>
        <v>10.873350661704549</v>
      </c>
      <c r="R13" s="7">
        <f t="shared" si="7"/>
        <v>42.628172589111379</v>
      </c>
      <c r="S13" s="5">
        <f t="shared" si="18"/>
        <v>7.2699743306706663</v>
      </c>
      <c r="T13" s="2" t="str">
        <f t="shared" si="8"/>
        <v>-text 454704.2981,3046712.4897 7 0 IP11</v>
      </c>
      <c r="U13" s="2" t="str">
        <f t="shared" si="9"/>
        <v>dt 454704.2981,3046712.4897 5 0 IP11(454704.2981,3046712.4897)*</v>
      </c>
      <c r="V13" s="12"/>
      <c r="W13" s="1" t="str">
        <f t="shared" si="10"/>
        <v>dt 454694.2981,3046702.4897 5 0 R=10*T=4.653*S=8.71*α=49.906*</v>
      </c>
      <c r="X13" s="11"/>
      <c r="Y13" s="14"/>
      <c r="Z13" s="14"/>
      <c r="AA13" s="14"/>
      <c r="AB13" s="14"/>
      <c r="AC13" s="15"/>
      <c r="AD13" s="15"/>
    </row>
    <row r="14" spans="1:30" ht="15" x14ac:dyDescent="0.2">
      <c r="A14" s="2">
        <v>12</v>
      </c>
      <c r="B14" s="2" t="str">
        <f t="shared" si="4"/>
        <v>IP12</v>
      </c>
      <c r="C14" s="2"/>
      <c r="D14" s="6">
        <v>13</v>
      </c>
      <c r="E14" s="236">
        <v>454667.45449999999</v>
      </c>
      <c r="F14" s="236">
        <v>3046682.8574999999</v>
      </c>
      <c r="G14" s="6">
        <v>10</v>
      </c>
      <c r="H14" s="7">
        <f t="shared" si="11"/>
        <v>34.216000000000001</v>
      </c>
      <c r="I14" s="7">
        <f t="shared" si="12"/>
        <v>3.0779301714883136</v>
      </c>
      <c r="J14" s="7">
        <f t="shared" si="13"/>
        <v>5.9718185686237977</v>
      </c>
      <c r="K14" s="7">
        <f t="shared" si="14"/>
        <v>47.28126624567377</v>
      </c>
      <c r="L14" s="7">
        <f t="shared" si="15"/>
        <v>574.00408712895489</v>
      </c>
      <c r="M14" s="7">
        <f t="shared" si="16"/>
        <v>576.98999641326679</v>
      </c>
      <c r="N14" s="7">
        <f t="shared" si="17"/>
        <v>579.9759056975787</v>
      </c>
      <c r="O14" s="7" t="str">
        <f t="shared" si="5"/>
        <v>c 454667.4545,3046682.8575 1</v>
      </c>
      <c r="P14" s="7"/>
      <c r="Q14" s="10">
        <f t="shared" si="6"/>
        <v>44.203336074185458</v>
      </c>
      <c r="R14" s="7">
        <f t="shared" si="7"/>
        <v>27.052694867505565</v>
      </c>
      <c r="S14" s="5">
        <f t="shared" si="18"/>
        <v>39.550242417623068</v>
      </c>
      <c r="T14" s="2" t="str">
        <f t="shared" si="8"/>
        <v>-text 454667.4545,3046682.8575 7 0 IP12</v>
      </c>
      <c r="U14" s="2" t="str">
        <f t="shared" si="9"/>
        <v>dt 454667.4545,3046682.8575 5 0 IP12(454667.4545,3046682.8575)*</v>
      </c>
      <c r="V14" s="12"/>
      <c r="W14" s="1" t="str">
        <f t="shared" si="10"/>
        <v>dt 454657.4545,3046672.8575 5 0 R=10*T=3.077*S=5.971*α=34.216*</v>
      </c>
      <c r="X14" s="11"/>
      <c r="Y14" s="14"/>
      <c r="Z14" s="14"/>
      <c r="AA14" s="14"/>
      <c r="AB14" s="14" t="str">
        <f t="shared" ref="AB14:AB19" si="19">E14&amp;","&amp;F14</f>
        <v>454667.4545,3046682.8575</v>
      </c>
      <c r="AC14" s="15"/>
      <c r="AD14" s="15"/>
    </row>
    <row r="15" spans="1:30" s="213" customFormat="1" ht="15" x14ac:dyDescent="0.2">
      <c r="A15" s="205"/>
      <c r="B15" s="205" t="s">
        <v>190</v>
      </c>
      <c r="C15" s="206" t="s">
        <v>191</v>
      </c>
      <c r="D15" s="6">
        <v>14</v>
      </c>
      <c r="E15" s="236">
        <v>454658.65740000003</v>
      </c>
      <c r="F15" s="236">
        <v>3046654.0397000001</v>
      </c>
      <c r="G15" s="207">
        <v>10</v>
      </c>
      <c r="H15" s="7">
        <f t="shared" si="11"/>
        <v>0</v>
      </c>
      <c r="I15" s="7">
        <f t="shared" si="12"/>
        <v>0</v>
      </c>
      <c r="J15" s="7">
        <f t="shared" si="13"/>
        <v>0</v>
      </c>
      <c r="K15" s="7">
        <f t="shared" si="14"/>
        <v>30.13062503899388</v>
      </c>
      <c r="L15" s="209">
        <f t="shared" si="15"/>
        <v>607.02860056508428</v>
      </c>
      <c r="M15" s="209">
        <f t="shared" si="16"/>
        <v>607.02860056508428</v>
      </c>
      <c r="N15" s="209">
        <f t="shared" si="17"/>
        <v>607.02860056508428</v>
      </c>
      <c r="O15" s="209" t="str">
        <f t="shared" si="5"/>
        <v>c 454658.6574,3046654.0397 1</v>
      </c>
      <c r="P15" s="209"/>
      <c r="Q15" s="210">
        <f t="shared" si="6"/>
        <v>30.13062503899388</v>
      </c>
      <c r="R15" s="209">
        <f t="shared" si="7"/>
        <v>21.230955148121641</v>
      </c>
      <c r="S15" s="211">
        <f t="shared" si="18"/>
        <v>27.052694867505565</v>
      </c>
      <c r="T15" s="205" t="str">
        <f t="shared" si="8"/>
        <v>-text 454658.6574,3046654.0397 7 0 1#斗门</v>
      </c>
      <c r="U15" s="205" t="str">
        <f t="shared" si="9"/>
        <v>dt 454658.6574,3046654.0397 5 0 1#斗门(454658.6574,3046654.0397)*</v>
      </c>
      <c r="V15" s="212"/>
      <c r="W15" s="212" t="str">
        <f t="shared" si="10"/>
        <v>dt 454648.6574,3046644.0397 5 0 R=10*T=0*S=0*α=0*</v>
      </c>
      <c r="X15" s="214"/>
      <c r="Y15" s="215"/>
      <c r="Z15" s="215"/>
      <c r="AA15" s="215"/>
      <c r="AB15" s="215" t="str">
        <f t="shared" si="19"/>
        <v>454658.6574,3046654.0397</v>
      </c>
      <c r="AC15" s="216"/>
      <c r="AD15" s="216"/>
    </row>
    <row r="16" spans="1:30" ht="15" x14ac:dyDescent="0.2">
      <c r="A16" s="2">
        <f>A14+1</f>
        <v>13</v>
      </c>
      <c r="B16" s="2" t="str">
        <f t="shared" si="4"/>
        <v>IP13</v>
      </c>
      <c r="C16" s="6"/>
      <c r="D16" s="6">
        <v>15</v>
      </c>
      <c r="E16" s="236">
        <v>454652.45870000002</v>
      </c>
      <c r="F16" s="236">
        <v>3046633.7338</v>
      </c>
      <c r="G16" s="6">
        <v>10</v>
      </c>
      <c r="H16" s="7">
        <f t="shared" si="11"/>
        <v>59.359000000000002</v>
      </c>
      <c r="I16" s="7">
        <f t="shared" si="12"/>
        <v>5.6991582802923126</v>
      </c>
      <c r="J16" s="7">
        <f t="shared" si="13"/>
        <v>10.360099906913142</v>
      </c>
      <c r="K16" s="7">
        <f t="shared" si="14"/>
        <v>21.230955148121641</v>
      </c>
      <c r="L16" s="7">
        <f t="shared" si="15"/>
        <v>622.56039743291365</v>
      </c>
      <c r="M16" s="7">
        <f t="shared" si="16"/>
        <v>627.74044738637019</v>
      </c>
      <c r="N16" s="7">
        <f t="shared" si="17"/>
        <v>632.92049733982674</v>
      </c>
      <c r="O16" s="7" t="str">
        <f t="shared" si="5"/>
        <v>c 454652.4587,3046633.7338 1</v>
      </c>
      <c r="P16" s="7"/>
      <c r="Q16" s="10">
        <f t="shared" si="6"/>
        <v>15.531796867829328</v>
      </c>
      <c r="R16" s="7">
        <f t="shared" si="7"/>
        <v>21.612046091916991</v>
      </c>
      <c r="S16" s="5">
        <f t="shared" si="18"/>
        <v>15.531796867829328</v>
      </c>
      <c r="T16" s="2" t="str">
        <f t="shared" si="8"/>
        <v>-text 454652.4587,3046633.7338 7 0 IP13</v>
      </c>
      <c r="U16" s="2" t="str">
        <f t="shared" si="9"/>
        <v>dt 454652.4587,3046633.7338 5 0 IP13(454652.4587,3046633.7338)*</v>
      </c>
      <c r="V16" s="12"/>
      <c r="W16" s="1" t="str">
        <f t="shared" si="10"/>
        <v>dt 454642.4587,3046623.7338 5 0 R=10*T=5.699*S=10.36*α=59.359*</v>
      </c>
      <c r="X16" s="13"/>
      <c r="Y16" s="16"/>
      <c r="Z16" s="16"/>
      <c r="AA16" s="16"/>
      <c r="AB16" s="16" t="str">
        <f t="shared" si="19"/>
        <v>454652.4587,3046633.7338</v>
      </c>
      <c r="AC16" s="17"/>
      <c r="AD16" s="17"/>
    </row>
    <row r="17" spans="1:30" ht="15" x14ac:dyDescent="0.2">
      <c r="A17" s="2">
        <f>A16+1</f>
        <v>14</v>
      </c>
      <c r="B17" s="2" t="str">
        <f t="shared" si="4"/>
        <v>IP14</v>
      </c>
      <c r="C17" s="6"/>
      <c r="D17" s="6">
        <v>16</v>
      </c>
      <c r="E17" s="236">
        <v>454670.8688</v>
      </c>
      <c r="F17" s="236">
        <v>3046613.5603</v>
      </c>
      <c r="G17" s="6">
        <v>10</v>
      </c>
      <c r="H17" s="7">
        <f t="shared" si="11"/>
        <v>114.583</v>
      </c>
      <c r="I17" s="7">
        <f t="shared" si="12"/>
        <v>15.571518969537831</v>
      </c>
      <c r="J17" s="7">
        <f t="shared" si="13"/>
        <v>19.998506168126625</v>
      </c>
      <c r="K17" s="7">
        <f t="shared" si="14"/>
        <v>27.311204372209303</v>
      </c>
      <c r="L17" s="7">
        <f t="shared" si="15"/>
        <v>638.96102446220596</v>
      </c>
      <c r="M17" s="7">
        <f t="shared" si="16"/>
        <v>648.96027754626925</v>
      </c>
      <c r="N17" s="7">
        <f t="shared" si="17"/>
        <v>658.95953063033255</v>
      </c>
      <c r="O17" s="7" t="str">
        <f t="shared" si="5"/>
        <v>c 454670.8688,3046613.5603 1</v>
      </c>
      <c r="P17" s="7"/>
      <c r="Q17" s="10">
        <f t="shared" si="6"/>
        <v>11.739685402671473</v>
      </c>
      <c r="R17" s="7">
        <f t="shared" si="7"/>
        <v>37.895689563753081</v>
      </c>
      <c r="S17" s="5">
        <f t="shared" si="18"/>
        <v>6.0405271223791601</v>
      </c>
      <c r="T17" s="2" t="str">
        <f t="shared" si="8"/>
        <v>-text 454670.8688,3046613.5603 7 0 IP14</v>
      </c>
      <c r="U17" s="2" t="str">
        <f t="shared" si="9"/>
        <v>dt 454670.8688,3046613.5603 5 0 IP14(454670.8688,3046613.5603)*</v>
      </c>
      <c r="V17" s="12"/>
      <c r="W17" s="1" t="str">
        <f t="shared" si="10"/>
        <v>dt 454660.8688,3046603.5603 5 0 R=10*T=15.571*S=19.998*α=114.583*</v>
      </c>
      <c r="X17" s="13"/>
      <c r="Y17" s="16"/>
      <c r="Z17" s="16"/>
      <c r="AA17" s="16"/>
      <c r="AB17" s="16" t="str">
        <f t="shared" si="19"/>
        <v>454670.8688,3046613.5603</v>
      </c>
      <c r="AC17" s="17"/>
      <c r="AD17" s="17"/>
    </row>
    <row r="18" spans="1:30" ht="15" x14ac:dyDescent="0.2">
      <c r="A18" s="2">
        <f t="shared" ref="A18:A24" si="20">A17+1</f>
        <v>15</v>
      </c>
      <c r="B18" s="2" t="str">
        <f t="shared" si="4"/>
        <v>IP15</v>
      </c>
      <c r="C18" s="6"/>
      <c r="D18" s="6">
        <v>17</v>
      </c>
      <c r="E18" s="236">
        <v>454619.96130000002</v>
      </c>
      <c r="F18" s="236">
        <v>3046597.2149999999</v>
      </c>
      <c r="G18" s="6">
        <v>10</v>
      </c>
      <c r="H18" s="7">
        <f t="shared" si="11"/>
        <v>62.408000000000001</v>
      </c>
      <c r="I18" s="7">
        <f t="shared" si="12"/>
        <v>6.0571695009253554</v>
      </c>
      <c r="J18" s="7">
        <f t="shared" si="13"/>
        <v>10.892250795846213</v>
      </c>
      <c r="K18" s="7">
        <f t="shared" si="14"/>
        <v>53.467208533290908</v>
      </c>
      <c r="L18" s="7">
        <f t="shared" si="15"/>
        <v>690.79805069316023</v>
      </c>
      <c r="M18" s="7">
        <f t="shared" si="16"/>
        <v>696.24417609108332</v>
      </c>
      <c r="N18" s="7">
        <f t="shared" si="17"/>
        <v>701.6903014890064</v>
      </c>
      <c r="O18" s="7" t="str">
        <f t="shared" si="5"/>
        <v>c 454619.9613,3046597.215 1</v>
      </c>
      <c r="P18" s="7"/>
      <c r="Q18" s="10">
        <f t="shared" si="6"/>
        <v>47.410039032365553</v>
      </c>
      <c r="R18" s="7">
        <f t="shared" si="7"/>
        <v>142.30129403772256</v>
      </c>
      <c r="S18" s="5">
        <f t="shared" si="18"/>
        <v>31.838520062827726</v>
      </c>
      <c r="T18" s="2" t="str">
        <f t="shared" si="8"/>
        <v>-text 454619.9613,3046597.215 7 0 IP15</v>
      </c>
      <c r="U18" s="2" t="str">
        <f t="shared" si="9"/>
        <v>dt 454619.9613,3046597.215 5 0 IP15(454619.9613,3046597.215)*</v>
      </c>
      <c r="V18" s="12"/>
      <c r="W18" s="1" t="str">
        <f t="shared" si="10"/>
        <v>dt 454609.9613,3046587.215 5 0 R=10*T=6.057*S=10.892*α=62.408*</v>
      </c>
      <c r="X18" s="13"/>
      <c r="Y18" s="16"/>
      <c r="Z18" s="16"/>
      <c r="AA18" s="16"/>
      <c r="AB18" s="16" t="str">
        <f t="shared" si="19"/>
        <v>454619.9613,3046597.215</v>
      </c>
      <c r="AC18" s="17"/>
      <c r="AD18" s="17"/>
    </row>
    <row r="19" spans="1:30" ht="15" x14ac:dyDescent="0.2">
      <c r="A19" s="2">
        <f t="shared" si="20"/>
        <v>16</v>
      </c>
      <c r="B19" s="2" t="str">
        <f t="shared" si="4"/>
        <v>IP16</v>
      </c>
      <c r="C19" s="4"/>
      <c r="D19" s="6">
        <v>18</v>
      </c>
      <c r="E19" s="236">
        <v>454594.73070000001</v>
      </c>
      <c r="F19" s="236">
        <v>3046451.0177000002</v>
      </c>
      <c r="G19" s="6">
        <v>10</v>
      </c>
      <c r="H19" s="7">
        <f t="shared" si="11"/>
        <v>50.216000000000001</v>
      </c>
      <c r="I19" s="7">
        <f t="shared" si="12"/>
        <v>4.686045054077403</v>
      </c>
      <c r="J19" s="7">
        <f t="shared" si="13"/>
        <v>8.7643453718147253</v>
      </c>
      <c r="K19" s="7">
        <f t="shared" si="14"/>
        <v>148.35846353864792</v>
      </c>
      <c r="L19" s="7">
        <f t="shared" si="15"/>
        <v>839.30555047265148</v>
      </c>
      <c r="M19" s="7">
        <f t="shared" si="16"/>
        <v>843.68772315855881</v>
      </c>
      <c r="N19" s="7">
        <f t="shared" si="17"/>
        <v>848.06989584446615</v>
      </c>
      <c r="O19" s="7" t="str">
        <f t="shared" si="5"/>
        <v>c 454594.7307,3046451.0177 1</v>
      </c>
      <c r="P19" s="7"/>
      <c r="Q19" s="10">
        <f t="shared" si="6"/>
        <v>143.67241848457053</v>
      </c>
      <c r="R19" s="7">
        <f t="shared" si="7"/>
        <v>15.709203325278452</v>
      </c>
      <c r="S19" s="5">
        <f t="shared" si="18"/>
        <v>137.61524898364516</v>
      </c>
      <c r="T19" s="2" t="str">
        <f t="shared" si="8"/>
        <v>-text 454594.7307,3046451.0177 7 0 IP16</v>
      </c>
      <c r="U19" s="2" t="str">
        <f t="shared" si="9"/>
        <v>dt 454594.7307,3046451.0177 5 0 IP16(454594.7307,3046451.0177)*</v>
      </c>
      <c r="V19" s="12"/>
      <c r="W19" s="1" t="str">
        <f t="shared" si="10"/>
        <v>dt 454584.7307,3046441.0177 5 0 R=10*T=4.686*S=8.764*α=50.216*</v>
      </c>
      <c r="X19" s="13"/>
      <c r="Y19" s="16"/>
      <c r="Z19" s="16"/>
      <c r="AA19" s="16"/>
      <c r="AB19" s="16" t="str">
        <f t="shared" si="19"/>
        <v>454594.7307,3046451.0177</v>
      </c>
      <c r="AC19" s="17"/>
      <c r="AD19" s="17"/>
    </row>
    <row r="20" spans="1:30" x14ac:dyDescent="0.2">
      <c r="A20" s="2">
        <f t="shared" si="20"/>
        <v>17</v>
      </c>
      <c r="B20" s="2" t="str">
        <f t="shared" si="4"/>
        <v>IP17</v>
      </c>
      <c r="C20" s="8"/>
      <c r="D20" s="6">
        <v>19</v>
      </c>
      <c r="E20" s="236">
        <v>454607.9558</v>
      </c>
      <c r="F20" s="236">
        <v>3046435.4915</v>
      </c>
      <c r="G20" s="6">
        <v>10</v>
      </c>
      <c r="H20" s="7">
        <f t="shared" si="11"/>
        <v>62.91</v>
      </c>
      <c r="I20" s="7">
        <f t="shared" si="12"/>
        <v>6.1172097296867287</v>
      </c>
      <c r="J20" s="7">
        <f t="shared" si="13"/>
        <v>10.979866324296326</v>
      </c>
      <c r="K20" s="7">
        <f t="shared" si="14"/>
        <v>20.395248379355856</v>
      </c>
      <c r="L20" s="7">
        <f t="shared" si="15"/>
        <v>857.66188944005785</v>
      </c>
      <c r="M20" s="7">
        <f t="shared" si="16"/>
        <v>863.15182260220604</v>
      </c>
      <c r="N20" s="7">
        <f t="shared" si="17"/>
        <v>868.64175576435423</v>
      </c>
      <c r="O20" s="7" t="str">
        <f t="shared" si="5"/>
        <v>c 454607.9558,3046435.4915 1</v>
      </c>
      <c r="P20" s="7"/>
      <c r="Q20" s="10">
        <f t="shared" si="6"/>
        <v>14.278038649669128</v>
      </c>
      <c r="R20" s="7">
        <f t="shared" si="7"/>
        <v>31.202269104397267</v>
      </c>
      <c r="S20" s="5">
        <f t="shared" si="18"/>
        <v>9.5919935955917239</v>
      </c>
      <c r="T20" s="2" t="str">
        <f t="shared" si="8"/>
        <v>-text 454607.9558,3046435.4915 7 0 IP17</v>
      </c>
      <c r="U20" s="2" t="str">
        <f t="shared" si="9"/>
        <v>dt 454607.9558,3046435.4915 5 0 IP17(454607.9558,3046435.4915)*</v>
      </c>
      <c r="V20" s="12"/>
      <c r="W20" s="1" t="str">
        <f t="shared" si="10"/>
        <v>dt 454597.9558,3046425.4915 5 0 R=10*T=6.117*S=10.979*α=62.91*</v>
      </c>
    </row>
    <row r="21" spans="1:30" x14ac:dyDescent="0.2">
      <c r="A21" s="2">
        <f t="shared" si="20"/>
        <v>18</v>
      </c>
      <c r="B21" s="2" t="str">
        <f t="shared" si="4"/>
        <v>IP18</v>
      </c>
      <c r="C21" s="8"/>
      <c r="D21" s="6">
        <v>20</v>
      </c>
      <c r="E21" s="236">
        <v>454593.6827</v>
      </c>
      <c r="F21" s="236">
        <v>3046401.0093</v>
      </c>
      <c r="G21" s="6">
        <v>10</v>
      </c>
      <c r="H21" s="7">
        <f t="shared" si="11"/>
        <v>17.641999999999999</v>
      </c>
      <c r="I21" s="7">
        <f t="shared" si="12"/>
        <v>1.5518350341427711</v>
      </c>
      <c r="J21" s="7">
        <f t="shared" si="13"/>
        <v>3.079109866368396</v>
      </c>
      <c r="K21" s="7">
        <f t="shared" si="14"/>
        <v>37.319478834083995</v>
      </c>
      <c r="L21" s="7">
        <f t="shared" si="15"/>
        <v>898.29218983460873</v>
      </c>
      <c r="M21" s="7">
        <f t="shared" si="16"/>
        <v>899.83174476779288</v>
      </c>
      <c r="N21" s="7">
        <f t="shared" si="17"/>
        <v>901.37129970097715</v>
      </c>
      <c r="O21" s="7" t="str">
        <f t="shared" si="5"/>
        <v>c 454593.6827,3046401.0093 1</v>
      </c>
      <c r="P21" s="7"/>
      <c r="Q21" s="10">
        <f t="shared" si="6"/>
        <v>35.767643799941226</v>
      </c>
      <c r="R21" s="7">
        <f t="shared" si="7"/>
        <v>146.5219811337702</v>
      </c>
      <c r="S21" s="5">
        <f t="shared" si="18"/>
        <v>29.650434070254494</v>
      </c>
      <c r="T21" s="2" t="str">
        <f t="shared" si="8"/>
        <v>-text 454593.6827,3046401.0093 7 0 IP18</v>
      </c>
      <c r="U21" s="2" t="str">
        <f t="shared" si="9"/>
        <v>dt 454593.6827,3046401.0093 5 0 IP18(454593.6827,3046401.0093)*</v>
      </c>
      <c r="V21" s="12"/>
      <c r="W21" s="1" t="str">
        <f t="shared" si="10"/>
        <v>dt 454583.6827,3046391.0093 5 0 R=10*T=1.551*S=3.079*α=17.642*</v>
      </c>
    </row>
    <row r="22" spans="1:30" x14ac:dyDescent="0.2">
      <c r="A22" s="2">
        <f t="shared" si="20"/>
        <v>19</v>
      </c>
      <c r="B22" s="2" t="str">
        <f t="shared" si="4"/>
        <v>IP19</v>
      </c>
      <c r="C22" s="8"/>
      <c r="D22" s="6">
        <v>21</v>
      </c>
      <c r="E22" s="236">
        <v>454581.17839999998</v>
      </c>
      <c r="F22" s="236">
        <v>3046253.4643999999</v>
      </c>
      <c r="G22" s="6">
        <v>10</v>
      </c>
      <c r="H22" s="7">
        <f t="shared" si="11"/>
        <v>7.4210000000000003</v>
      </c>
      <c r="I22" s="7">
        <f t="shared" si="12"/>
        <v>0.64851127288331556</v>
      </c>
      <c r="J22" s="7">
        <f t="shared" si="13"/>
        <v>1.295208837904992</v>
      </c>
      <c r="K22" s="7">
        <f t="shared" si="14"/>
        <v>148.07381616791298</v>
      </c>
      <c r="L22" s="7">
        <f t="shared" si="15"/>
        <v>1047.2447695618639</v>
      </c>
      <c r="M22" s="7">
        <f t="shared" si="16"/>
        <v>1047.8923739808165</v>
      </c>
      <c r="N22" s="7">
        <f t="shared" si="17"/>
        <v>1048.5399783997689</v>
      </c>
      <c r="O22" s="7" t="str">
        <f t="shared" si="5"/>
        <v>c 454581.1784,3046253.4644 1</v>
      </c>
      <c r="P22" s="7"/>
      <c r="Q22" s="10">
        <f t="shared" si="6"/>
        <v>147.42530489502965</v>
      </c>
      <c r="R22" s="7">
        <f t="shared" si="7"/>
        <v>122.06048270833445</v>
      </c>
      <c r="S22" s="5">
        <f t="shared" si="18"/>
        <v>145.87346986088687</v>
      </c>
      <c r="T22" s="2" t="str">
        <f t="shared" si="8"/>
        <v>-text 454581.1784,3046253.4644 7 0 IP19</v>
      </c>
      <c r="U22" s="2" t="str">
        <f t="shared" si="9"/>
        <v>dt 454581.1784,3046253.4644 5 0 IP19(454581.1784,3046253.4644)*</v>
      </c>
      <c r="V22" s="12"/>
      <c r="W22" s="1" t="str">
        <f t="shared" si="10"/>
        <v>dt 454571.1784,3046243.4644 5 0 R=10*T=0.648*S=1.295*α=7.421*</v>
      </c>
    </row>
    <row r="23" spans="1:30" x14ac:dyDescent="0.2">
      <c r="A23" s="2">
        <f t="shared" si="20"/>
        <v>20</v>
      </c>
      <c r="B23" s="2" t="str">
        <f t="shared" si="4"/>
        <v>IP20</v>
      </c>
      <c r="C23" s="8"/>
      <c r="D23" s="6">
        <v>22</v>
      </c>
      <c r="E23" s="236">
        <v>454586.69559999998</v>
      </c>
      <c r="F23" s="236">
        <v>3046130.8794999998</v>
      </c>
      <c r="G23" s="6">
        <v>10</v>
      </c>
      <c r="H23" s="7">
        <f t="shared" si="11"/>
        <v>76.069000000000003</v>
      </c>
      <c r="I23" s="7">
        <f t="shared" si="12"/>
        <v>7.8225577136310402</v>
      </c>
      <c r="J23" s="7">
        <f t="shared" si="13"/>
        <v>13.276545086995664</v>
      </c>
      <c r="K23" s="7">
        <f t="shared" si="14"/>
        <v>122.70899398121776</v>
      </c>
      <c r="L23" s="7">
        <f t="shared" si="15"/>
        <v>1162.7779033944723</v>
      </c>
      <c r="M23" s="7">
        <f t="shared" si="16"/>
        <v>1169.4161759379701</v>
      </c>
      <c r="N23" s="7">
        <f t="shared" si="17"/>
        <v>1176.0544484814679</v>
      </c>
      <c r="O23" s="7" t="str">
        <f t="shared" si="5"/>
        <v>c 454586.6956,3046130.8795 1</v>
      </c>
      <c r="P23" s="7"/>
      <c r="Q23" s="10">
        <f t="shared" si="6"/>
        <v>114.88643626758672</v>
      </c>
      <c r="R23" s="7">
        <f t="shared" si="7"/>
        <v>46.941634203325151</v>
      </c>
      <c r="S23" s="5">
        <f t="shared" si="18"/>
        <v>114.23792499470341</v>
      </c>
      <c r="T23" s="2" t="str">
        <f t="shared" si="8"/>
        <v>-text 454586.6956,3046130.8795 7 0 IP20</v>
      </c>
      <c r="U23" s="2" t="str">
        <f t="shared" si="9"/>
        <v>dt 454586.6956,3046130.8795 5 0 IP20(454586.6956,3046130.8795)*</v>
      </c>
      <c r="V23" s="12"/>
      <c r="W23" s="1" t="str">
        <f t="shared" si="10"/>
        <v>dt 454576.6956,3046120.8795 5 0 R=10*T=7.822*S=13.276*α=76.069*</v>
      </c>
    </row>
    <row r="24" spans="1:30" x14ac:dyDescent="0.2">
      <c r="A24" s="2">
        <f t="shared" si="20"/>
        <v>21</v>
      </c>
      <c r="B24" s="2" t="str">
        <f>IF(C24=0,"IP"&amp;A24,C24)</f>
        <v>IP21</v>
      </c>
      <c r="C24" s="98"/>
      <c r="D24" s="6">
        <v>23</v>
      </c>
      <c r="E24" s="236">
        <v>454640.38799999998</v>
      </c>
      <c r="F24" s="236">
        <v>3046120.0978999999</v>
      </c>
      <c r="G24" s="6">
        <v>10</v>
      </c>
      <c r="H24" s="7">
        <f t="shared" si="11"/>
        <v>50.201999999999998</v>
      </c>
      <c r="I24" s="7">
        <f t="shared" si="12"/>
        <v>4.6845551288748002</v>
      </c>
      <c r="J24" s="7">
        <f t="shared" si="13"/>
        <v>8.7619019108619316</v>
      </c>
      <c r="K24" s="7">
        <f t="shared" si="14"/>
        <v>54.764191916956193</v>
      </c>
      <c r="L24" s="7">
        <f t="shared" si="15"/>
        <v>1218.3115275559182</v>
      </c>
      <c r="M24" s="7">
        <f t="shared" si="16"/>
        <v>1222.6924785113492</v>
      </c>
      <c r="N24" s="7">
        <f t="shared" si="17"/>
        <v>1227.0734294667802</v>
      </c>
      <c r="O24" s="7" t="str">
        <f t="shared" si="5"/>
        <v>c 454640.388,3046120.0979 1</v>
      </c>
      <c r="P24" s="7"/>
      <c r="Q24" s="10">
        <f t="shared" si="6"/>
        <v>50.079636788081395</v>
      </c>
      <c r="R24" s="7">
        <f t="shared" si="7"/>
        <v>42.239032873512706</v>
      </c>
      <c r="S24" s="5">
        <f t="shared" si="18"/>
        <v>42.257079074450353</v>
      </c>
      <c r="T24" s="2" t="str">
        <f t="shared" si="8"/>
        <v>-text 454640.388,3046120.0979 7 0 IP21</v>
      </c>
      <c r="U24" s="2" t="str">
        <f t="shared" si="9"/>
        <v>dt 454640.388,3046120.0979 5 0 IP21(454640.388,3046120.0979)*</v>
      </c>
      <c r="V24" s="12"/>
      <c r="W24" s="1" t="str">
        <f t="shared" si="10"/>
        <v>dt 454630.388,3046110.0979 5 0 R=10*T=4.684*S=8.761*α=50.202*</v>
      </c>
    </row>
    <row r="25" spans="1:30" s="158" customFormat="1" x14ac:dyDescent="0.2">
      <c r="A25" s="156"/>
      <c r="B25" s="156" t="str">
        <f>IF(C25=0,"IP"&amp;A25,C25)</f>
        <v>1#倒进</v>
      </c>
      <c r="C25" s="157" t="s">
        <v>134</v>
      </c>
      <c r="D25" s="6">
        <v>24</v>
      </c>
      <c r="E25" s="236">
        <v>454662.73790000001</v>
      </c>
      <c r="F25" s="236">
        <v>3046078.8388999999</v>
      </c>
      <c r="G25" s="9">
        <v>10</v>
      </c>
      <c r="H25" s="7">
        <f t="shared" si="11"/>
        <v>0</v>
      </c>
      <c r="I25" s="7">
        <f t="shared" si="12"/>
        <v>0</v>
      </c>
      <c r="J25" s="7">
        <f t="shared" si="13"/>
        <v>0</v>
      </c>
      <c r="K25" s="7">
        <f t="shared" si="14"/>
        <v>46.923588002387504</v>
      </c>
      <c r="L25" s="7">
        <f t="shared" si="15"/>
        <v>1269.312462340293</v>
      </c>
      <c r="M25" s="7">
        <f t="shared" si="16"/>
        <v>1269.312462340293</v>
      </c>
      <c r="N25" s="7">
        <f t="shared" si="17"/>
        <v>1269.312462340293</v>
      </c>
      <c r="O25" s="7" t="str">
        <f t="shared" si="5"/>
        <v>c 454662.7379,3046078.8389 1</v>
      </c>
      <c r="P25" s="7"/>
      <c r="Q25" s="10">
        <f t="shared" si="6"/>
        <v>46.923588002387504</v>
      </c>
      <c r="R25" s="7">
        <f t="shared" si="7"/>
        <v>27.580362767062848</v>
      </c>
      <c r="S25" s="5">
        <f t="shared" si="18"/>
        <v>42.239032873512706</v>
      </c>
      <c r="T25" s="2" t="str">
        <f t="shared" si="8"/>
        <v>-text 454662.7379,3046078.8389 7 0 1#倒进</v>
      </c>
      <c r="U25" s="2" t="str">
        <f t="shared" si="9"/>
        <v>dt 454662.7379,3046078.8389 5 0 1#倒进(454662.7379,3046078.8389)*</v>
      </c>
      <c r="V25" s="12"/>
      <c r="W25" s="1" t="str">
        <f t="shared" si="10"/>
        <v>dt 454652.7379,3046068.8389 5 0 R=10*T=0*S=0*α=0*</v>
      </c>
    </row>
    <row r="26" spans="1:30" s="158" customFormat="1" x14ac:dyDescent="0.2">
      <c r="A26" s="156">
        <f>A24+1</f>
        <v>22</v>
      </c>
      <c r="B26" s="156" t="str">
        <f>IF(C26=0,"IP"&amp;A26,C26)</f>
        <v>IP22</v>
      </c>
      <c r="C26" s="157"/>
      <c r="D26" s="6">
        <v>25</v>
      </c>
      <c r="E26" s="236">
        <v>454675.87449999998</v>
      </c>
      <c r="F26" s="236">
        <v>3046054.588</v>
      </c>
      <c r="G26" s="168">
        <v>2.4</v>
      </c>
      <c r="H26" s="7">
        <f t="shared" si="11"/>
        <v>28.937000000000001</v>
      </c>
      <c r="I26" s="7">
        <f t="shared" si="12"/>
        <v>0.61927468341041647</v>
      </c>
      <c r="J26" s="7">
        <f t="shared" si="13"/>
        <v>1.2121102215590378</v>
      </c>
      <c r="K26" s="7">
        <f t="shared" si="14"/>
        <v>27.580362767062848</v>
      </c>
      <c r="L26" s="7">
        <f t="shared" si="15"/>
        <v>1296.2735504239454</v>
      </c>
      <c r="M26" s="7">
        <f t="shared" si="16"/>
        <v>1296.879605534725</v>
      </c>
      <c r="N26" s="7">
        <f t="shared" si="17"/>
        <v>1297.4856606455044</v>
      </c>
      <c r="O26" s="7" t="str">
        <f t="shared" si="5"/>
        <v>c 454675.8745,3046054.588 1</v>
      </c>
      <c r="P26" s="7"/>
      <c r="Q26" s="10">
        <f t="shared" si="6"/>
        <v>26.961088083652431</v>
      </c>
      <c r="R26" s="7">
        <f t="shared" si="7"/>
        <v>347.29941223031904</v>
      </c>
      <c r="S26" s="5">
        <f t="shared" si="18"/>
        <v>26.961088083652431</v>
      </c>
      <c r="T26" s="2" t="str">
        <f t="shared" si="8"/>
        <v>-text 454675.8745,3046054.588 7 0 IP22</v>
      </c>
      <c r="U26" s="2" t="str">
        <f t="shared" si="9"/>
        <v>dt 454675.8745,3046054.588 5 0 IP22(454675.8745,3046054.588)*</v>
      </c>
      <c r="V26" s="12"/>
      <c r="W26" s="1" t="str">
        <f t="shared" si="10"/>
        <v>dt 454665.8745,3046044.588 5 0 R=2.4*T=0.619*S=1.212*α=28.937*</v>
      </c>
    </row>
    <row r="27" spans="1:30" s="158" customFormat="1" x14ac:dyDescent="0.2">
      <c r="A27" s="156">
        <f>A26+1</f>
        <v>23</v>
      </c>
      <c r="B27" s="156" t="str">
        <f t="shared" si="4"/>
        <v>IP23</v>
      </c>
      <c r="C27" s="159"/>
      <c r="D27" s="6">
        <v>26</v>
      </c>
      <c r="E27" s="236">
        <v>454672.88</v>
      </c>
      <c r="F27" s="236">
        <v>3045706.6822000002</v>
      </c>
      <c r="G27" s="168">
        <v>2.4</v>
      </c>
      <c r="H27" s="7">
        <f t="shared" si="11"/>
        <v>85.268000000000001</v>
      </c>
      <c r="I27" s="7">
        <f t="shared" si="12"/>
        <v>2.2095430018512272</v>
      </c>
      <c r="J27" s="7">
        <f t="shared" si="13"/>
        <v>3.5716976318172602</v>
      </c>
      <c r="K27" s="7">
        <f t="shared" si="14"/>
        <v>347.91868691372946</v>
      </c>
      <c r="L27" s="7">
        <f t="shared" si="15"/>
        <v>1642.5755298739725</v>
      </c>
      <c r="M27" s="7">
        <f t="shared" si="16"/>
        <v>1644.3613786898811</v>
      </c>
      <c r="N27" s="7">
        <f t="shared" si="17"/>
        <v>1646.1472275057897</v>
      </c>
      <c r="O27" s="7" t="str">
        <f t="shared" si="5"/>
        <v>c 454672.88,3045706.6822 1</v>
      </c>
      <c r="P27" s="7"/>
      <c r="Q27" s="10">
        <f t="shared" si="6"/>
        <v>345.70914391187824</v>
      </c>
      <c r="R27" s="7">
        <f t="shared" si="7"/>
        <v>26.402013491665606</v>
      </c>
      <c r="S27" s="5">
        <f t="shared" si="18"/>
        <v>345.08986922846782</v>
      </c>
      <c r="T27" s="2" t="str">
        <f t="shared" si="8"/>
        <v>-text 454672.88,3045706.6822 7 0 IP23</v>
      </c>
      <c r="U27" s="2" t="str">
        <f t="shared" si="9"/>
        <v>dt 454672.88,3045706.6822 5 0 IP23(454672.88,3045706.6822)*</v>
      </c>
      <c r="V27" s="12"/>
      <c r="W27" s="1" t="str">
        <f t="shared" si="10"/>
        <v>dt 454662.88,3045696.6822 5 0 R=2.4*T=2.209*S=3.571*α=85.268*</v>
      </c>
    </row>
    <row r="28" spans="1:30" s="158" customFormat="1" x14ac:dyDescent="0.2">
      <c r="A28" s="156"/>
      <c r="B28" s="156" t="str">
        <f>IF(C28=0,"IP"&amp;A28,C28)</f>
        <v>1#倒出</v>
      </c>
      <c r="C28" s="157" t="s">
        <v>135</v>
      </c>
      <c r="D28" s="6">
        <v>27</v>
      </c>
      <c r="E28" s="236">
        <v>454644.34669999999</v>
      </c>
      <c r="F28" s="236">
        <v>3045704.5674999999</v>
      </c>
      <c r="G28" s="9">
        <v>10</v>
      </c>
      <c r="H28" s="7">
        <f t="shared" si="11"/>
        <v>0</v>
      </c>
      <c r="I28" s="7">
        <f t="shared" si="12"/>
        <v>0</v>
      </c>
      <c r="J28" s="7">
        <f t="shared" si="13"/>
        <v>0</v>
      </c>
      <c r="K28" s="7">
        <f t="shared" si="14"/>
        <v>28.611556493516833</v>
      </c>
      <c r="L28" s="7">
        <f t="shared" si="15"/>
        <v>1672.5492409974554</v>
      </c>
      <c r="M28" s="7">
        <f t="shared" si="16"/>
        <v>1672.5492409974554</v>
      </c>
      <c r="N28" s="7">
        <f t="shared" si="17"/>
        <v>1672.5492409974554</v>
      </c>
      <c r="O28" s="7" t="str">
        <f t="shared" si="5"/>
        <v>c 454644.3467,3045704.5675 1</v>
      </c>
      <c r="P28" s="7"/>
      <c r="Q28" s="10">
        <f t="shared" si="6"/>
        <v>28.611556493516833</v>
      </c>
      <c r="R28" s="7">
        <f t="shared" si="7"/>
        <v>34.472986643143102</v>
      </c>
      <c r="S28" s="5">
        <f t="shared" si="18"/>
        <v>26.402013491665606</v>
      </c>
      <c r="T28" s="2" t="str">
        <f t="shared" si="8"/>
        <v>-text 454644.3467,3045704.5675 7 0 1#倒出</v>
      </c>
      <c r="U28" s="2" t="str">
        <f t="shared" si="9"/>
        <v>dt 454644.3467,3045704.5675 5 0 1#倒出(454644.3467,3045704.5675)*</v>
      </c>
      <c r="V28" s="12"/>
      <c r="W28" s="1" t="str">
        <f t="shared" si="10"/>
        <v>dt 454634.3467,3045694.5675 5 0 R=10*T=0*S=0*α=0*</v>
      </c>
    </row>
    <row r="29" spans="1:30" x14ac:dyDescent="0.2">
      <c r="A29" s="2">
        <f>A27+1</f>
        <v>24</v>
      </c>
      <c r="B29" s="2" t="str">
        <f t="shared" si="4"/>
        <v>IP24</v>
      </c>
      <c r="C29" s="8"/>
      <c r="D29" s="6">
        <v>28</v>
      </c>
      <c r="E29" s="236">
        <v>454609.96799999999</v>
      </c>
      <c r="F29" s="236">
        <v>3045702.0196000002</v>
      </c>
      <c r="G29" s="6">
        <v>10</v>
      </c>
      <c r="H29" s="7">
        <f t="shared" si="11"/>
        <v>11.305</v>
      </c>
      <c r="I29" s="7">
        <f t="shared" si="12"/>
        <v>0.98976047781919374</v>
      </c>
      <c r="J29" s="7">
        <f t="shared" si="13"/>
        <v>1.9730947193795898</v>
      </c>
      <c r="K29" s="7">
        <f t="shared" si="14"/>
        <v>34.472986643143102</v>
      </c>
      <c r="L29" s="7">
        <f t="shared" si="15"/>
        <v>1706.0324671627793</v>
      </c>
      <c r="M29" s="7">
        <f t="shared" si="16"/>
        <v>1707.0190145224692</v>
      </c>
      <c r="N29" s="7">
        <f t="shared" si="17"/>
        <v>1708.0055618821589</v>
      </c>
      <c r="O29" s="7" t="str">
        <f t="shared" si="5"/>
        <v>c 454609.968,3045702.0196 1</v>
      </c>
      <c r="P29" s="7"/>
      <c r="Q29" s="10">
        <f t="shared" si="6"/>
        <v>33.483226165323906</v>
      </c>
      <c r="R29" s="7">
        <f t="shared" si="7"/>
        <v>18.26737191754453</v>
      </c>
      <c r="S29" s="5">
        <f t="shared" si="18"/>
        <v>33.483226165323906</v>
      </c>
      <c r="T29" s="2" t="str">
        <f t="shared" si="8"/>
        <v>-text 454609.968,3045702.0196 7 0 IP24</v>
      </c>
      <c r="U29" s="2" t="str">
        <f t="shared" si="9"/>
        <v>dt 454609.968,3045702.0196 5 0 IP24(454609.968,3045702.0196)*</v>
      </c>
      <c r="V29" s="12"/>
      <c r="W29" s="1" t="str">
        <f t="shared" si="10"/>
        <v>dt 454599.968,3045692.0196 5 0 R=10*T=0.989*S=1.973*α=11.305*</v>
      </c>
    </row>
    <row r="30" spans="1:30" x14ac:dyDescent="0.2">
      <c r="A30" s="2">
        <f>A29+1</f>
        <v>25</v>
      </c>
      <c r="B30" s="2" t="str">
        <f t="shared" si="4"/>
        <v>IP25</v>
      </c>
      <c r="C30" s="8"/>
      <c r="D30" s="6">
        <v>29</v>
      </c>
      <c r="E30" s="236">
        <v>454591.41519999999</v>
      </c>
      <c r="F30" s="236">
        <v>3045696.8591</v>
      </c>
      <c r="G30" s="6">
        <v>10</v>
      </c>
      <c r="H30" s="7">
        <f t="shared" si="11"/>
        <v>30.234000000000002</v>
      </c>
      <c r="I30" s="7">
        <f t="shared" si="12"/>
        <v>2.701390404335176</v>
      </c>
      <c r="J30" s="7">
        <f t="shared" si="13"/>
        <v>5.2768284604796563</v>
      </c>
      <c r="K30" s="7">
        <f t="shared" si="14"/>
        <v>19.257132395363723</v>
      </c>
      <c r="L30" s="7">
        <f t="shared" si="15"/>
        <v>1723.5715433953685</v>
      </c>
      <c r="M30" s="7">
        <f t="shared" si="16"/>
        <v>1726.2099576256082</v>
      </c>
      <c r="N30" s="7">
        <f t="shared" si="17"/>
        <v>1728.8483718558482</v>
      </c>
      <c r="O30" s="7" t="str">
        <f t="shared" si="5"/>
        <v>c 454591.4152,3045696.8591 1</v>
      </c>
      <c r="P30" s="7"/>
      <c r="Q30" s="10">
        <f t="shared" si="6"/>
        <v>16.555741991028547</v>
      </c>
      <c r="R30" s="7">
        <f t="shared" si="7"/>
        <v>45.874983663347422</v>
      </c>
      <c r="S30" s="5">
        <f t="shared" si="18"/>
        <v>15.565981513209355</v>
      </c>
      <c r="T30" s="2" t="str">
        <f t="shared" si="8"/>
        <v>-text 454591.4152,3045696.8591 7 0 IP25</v>
      </c>
      <c r="U30" s="2" t="str">
        <f t="shared" si="9"/>
        <v>dt 454591.4152,3045696.8591 5 0 IP25(454591.4152,3045696.8591)*</v>
      </c>
      <c r="V30" s="12"/>
      <c r="W30" s="1" t="str">
        <f t="shared" si="10"/>
        <v>dt 454581.4152,3045686.8591 5 0 R=10*T=2.701*S=5.276*α=30.234*</v>
      </c>
    </row>
    <row r="31" spans="1:30" x14ac:dyDescent="0.2">
      <c r="A31" s="2">
        <f t="shared" ref="A31:A42" si="21">A30+1</f>
        <v>26</v>
      </c>
      <c r="B31" s="2" t="str">
        <f t="shared" si="4"/>
        <v>IP26</v>
      </c>
      <c r="C31" s="8"/>
      <c r="D31" s="6">
        <v>30</v>
      </c>
      <c r="E31" s="236">
        <v>454544.42660000001</v>
      </c>
      <c r="F31" s="236">
        <v>3045709.1771999998</v>
      </c>
      <c r="G31" s="6">
        <v>10</v>
      </c>
      <c r="H31" s="7">
        <f t="shared" si="11"/>
        <v>69.191000000000003</v>
      </c>
      <c r="I31" s="7">
        <f t="shared" si="12"/>
        <v>6.8973788136421179</v>
      </c>
      <c r="J31" s="7">
        <f t="shared" si="13"/>
        <v>12.076107627473966</v>
      </c>
      <c r="K31" s="7">
        <f t="shared" si="14"/>
        <v>48.5763740676826</v>
      </c>
      <c r="L31" s="7">
        <f t="shared" si="15"/>
        <v>1767.8259767055533</v>
      </c>
      <c r="M31" s="7">
        <f t="shared" si="16"/>
        <v>1773.8640305192903</v>
      </c>
      <c r="N31" s="7">
        <f t="shared" si="17"/>
        <v>1779.9020843330272</v>
      </c>
      <c r="O31" s="7" t="str">
        <f t="shared" si="5"/>
        <v>c 454544.4266,3045709.1772 1</v>
      </c>
      <c r="P31" s="7"/>
      <c r="Q31" s="10">
        <f t="shared" si="6"/>
        <v>41.67899525404048</v>
      </c>
      <c r="R31" s="7">
        <f t="shared" si="7"/>
        <v>5.8470503853455797</v>
      </c>
      <c r="S31" s="5">
        <f t="shared" si="18"/>
        <v>38.977604849705301</v>
      </c>
      <c r="T31" s="2" t="str">
        <f t="shared" si="8"/>
        <v>-text 454544.4266,3045709.1772 7 0 IP26</v>
      </c>
      <c r="U31" s="2" t="str">
        <f t="shared" si="9"/>
        <v>dt 454544.4266,3045709.1772 5 0 IP26(454544.4266,3045709.1772)*</v>
      </c>
      <c r="V31" s="12"/>
      <c r="W31" s="1" t="str">
        <f t="shared" si="10"/>
        <v>dt 454534.4266,3045699.1772 5 0 R=10*T=6.897*S=12.076*α=69.191*</v>
      </c>
    </row>
    <row r="32" spans="1:30" s="213" customFormat="1" x14ac:dyDescent="0.2">
      <c r="A32" s="205"/>
      <c r="B32" s="205" t="s">
        <v>192</v>
      </c>
      <c r="C32" s="206" t="s">
        <v>192</v>
      </c>
      <c r="D32" s="6">
        <v>31</v>
      </c>
      <c r="E32" s="236">
        <v>454537.02610000002</v>
      </c>
      <c r="F32" s="236">
        <v>3045698.8015999999</v>
      </c>
      <c r="G32" s="207">
        <v>10</v>
      </c>
      <c r="H32" s="7">
        <f t="shared" si="11"/>
        <v>0</v>
      </c>
      <c r="I32" s="7">
        <f t="shared" si="12"/>
        <v>0</v>
      </c>
      <c r="J32" s="7">
        <f t="shared" si="13"/>
        <v>0</v>
      </c>
      <c r="K32" s="7">
        <f t="shared" si="14"/>
        <v>12.744429198987698</v>
      </c>
      <c r="L32" s="209">
        <f t="shared" si="15"/>
        <v>1785.7491347183729</v>
      </c>
      <c r="M32" s="209">
        <f t="shared" si="16"/>
        <v>1785.7491347183729</v>
      </c>
      <c r="N32" s="209">
        <f t="shared" si="17"/>
        <v>1785.7491347183729</v>
      </c>
      <c r="O32" s="209" t="str">
        <f t="shared" si="5"/>
        <v>c 454537.0261,3045698.8016 1</v>
      </c>
      <c r="P32" s="209"/>
      <c r="Q32" s="210">
        <f t="shared" si="6"/>
        <v>12.744429198987698</v>
      </c>
      <c r="R32" s="209">
        <f t="shared" si="7"/>
        <v>41.056280925039594</v>
      </c>
      <c r="S32" s="211">
        <f t="shared" si="18"/>
        <v>5.8470503853455797</v>
      </c>
      <c r="T32" s="205" t="str">
        <f t="shared" si="8"/>
        <v>-text 454537.0261,3045698.8016 7 0 2#斗门</v>
      </c>
      <c r="U32" s="205" t="str">
        <f t="shared" si="9"/>
        <v>dt 454537.0261,3045698.8016 5 0 2#斗门(454537.0261,3045698.8016)*</v>
      </c>
      <c r="V32" s="212"/>
      <c r="W32" s="212" t="str">
        <f t="shared" si="10"/>
        <v>dt 454527.0261,3045688.8016 5 0 R=10*T=0*S=0*α=0*</v>
      </c>
    </row>
    <row r="33" spans="1:23" x14ac:dyDescent="0.2">
      <c r="A33" s="2">
        <f>A31+1</f>
        <v>27</v>
      </c>
      <c r="B33" s="2" t="str">
        <f t="shared" si="4"/>
        <v>IP27</v>
      </c>
      <c r="C33" s="8"/>
      <c r="D33" s="6">
        <v>32</v>
      </c>
      <c r="E33" s="236">
        <v>454513.18550000002</v>
      </c>
      <c r="F33" s="236">
        <v>3045665.3764</v>
      </c>
      <c r="G33" s="6">
        <v>10</v>
      </c>
      <c r="H33" s="7">
        <f t="shared" si="11"/>
        <v>135.37299999999999</v>
      </c>
      <c r="I33" s="7">
        <f t="shared" si="12"/>
        <v>24.366164887175202</v>
      </c>
      <c r="J33" s="7">
        <f t="shared" si="13"/>
        <v>23.627045683022835</v>
      </c>
      <c r="K33" s="7">
        <f t="shared" si="14"/>
        <v>41.056280925039594</v>
      </c>
      <c r="L33" s="7">
        <f t="shared" si="15"/>
        <v>1802.4392507562372</v>
      </c>
      <c r="M33" s="7">
        <f t="shared" si="16"/>
        <v>1814.2527735977487</v>
      </c>
      <c r="N33" s="7">
        <f t="shared" si="17"/>
        <v>1826.06629643926</v>
      </c>
      <c r="O33" s="7" t="str">
        <f t="shared" si="5"/>
        <v>c 454513.1855,3045665.3764 1</v>
      </c>
      <c r="P33" s="7"/>
      <c r="Q33" s="10">
        <f t="shared" si="6"/>
        <v>16.690116037864392</v>
      </c>
      <c r="R33" s="7">
        <f t="shared" si="7"/>
        <v>32.366012823374788</v>
      </c>
      <c r="S33" s="5">
        <f t="shared" si="18"/>
        <v>16.690116037864392</v>
      </c>
      <c r="T33" s="2" t="str">
        <f t="shared" si="8"/>
        <v>-text 454513.1855,3045665.3764 7 0 IP27</v>
      </c>
      <c r="U33" s="2" t="str">
        <f t="shared" si="9"/>
        <v>dt 454513.1855,3045665.3764 5 0 IP27(454513.1855,3045665.3764)*</v>
      </c>
      <c r="V33" s="12"/>
      <c r="W33" s="1" t="str">
        <f t="shared" si="10"/>
        <v>dt 454503.1855,3045655.3764 5 0 R=10*T=24.366*S=23.627*α=135.373*</v>
      </c>
    </row>
    <row r="34" spans="1:23" x14ac:dyDescent="0.2">
      <c r="A34" s="2">
        <f t="shared" si="21"/>
        <v>28</v>
      </c>
      <c r="B34" s="2" t="str">
        <f t="shared" si="4"/>
        <v>IP28</v>
      </c>
      <c r="C34" s="98"/>
      <c r="D34" s="6">
        <v>33</v>
      </c>
      <c r="E34" s="236">
        <v>454504.18520000001</v>
      </c>
      <c r="F34" s="236">
        <v>3045721.3901</v>
      </c>
      <c r="G34" s="6">
        <v>10</v>
      </c>
      <c r="H34" s="7">
        <f t="shared" si="11"/>
        <v>61.941000000000003</v>
      </c>
      <c r="I34" s="7">
        <f t="shared" si="12"/>
        <v>6.0016007748191447</v>
      </c>
      <c r="J34" s="7">
        <f t="shared" si="13"/>
        <v>10.810743919778076</v>
      </c>
      <c r="K34" s="7">
        <f t="shared" si="14"/>
        <v>56.73217771054999</v>
      </c>
      <c r="L34" s="7">
        <f t="shared" si="15"/>
        <v>1852.4307084878158</v>
      </c>
      <c r="M34" s="7">
        <f t="shared" si="16"/>
        <v>1857.8360804477047</v>
      </c>
      <c r="N34" s="7">
        <f t="shared" si="17"/>
        <v>1863.2414524075939</v>
      </c>
      <c r="O34" s="7" t="str">
        <f t="shared" si="5"/>
        <v>c 454504.1852,3045721.3901 1</v>
      </c>
      <c r="P34" s="7"/>
      <c r="Q34" s="10">
        <f t="shared" si="6"/>
        <v>50.730576935730845</v>
      </c>
      <c r="R34" s="7">
        <f t="shared" si="7"/>
        <v>10.795150684837864</v>
      </c>
      <c r="S34" s="5">
        <f t="shared" si="18"/>
        <v>26.364412048555643</v>
      </c>
      <c r="T34" s="2" t="str">
        <f t="shared" si="8"/>
        <v>-text 454504.1852,3045721.3901 7 0 IP28</v>
      </c>
      <c r="U34" s="2" t="str">
        <f t="shared" si="9"/>
        <v>dt 454504.1852,3045721.3901 5 0 IP28(454504.1852,3045721.3901)*</v>
      </c>
      <c r="V34" s="12"/>
      <c r="W34" s="1" t="str">
        <f t="shared" si="10"/>
        <v>dt 454494.1852,3045711.3901 5 0 R=10*T=6.001*S=10.81*α=61.941*</v>
      </c>
    </row>
    <row r="35" spans="1:23" x14ac:dyDescent="0.2">
      <c r="A35" s="2">
        <f t="shared" si="21"/>
        <v>29</v>
      </c>
      <c r="B35" s="2" t="str">
        <f t="shared" si="4"/>
        <v>IP29</v>
      </c>
      <c r="C35" s="8"/>
      <c r="D35" s="6">
        <v>34</v>
      </c>
      <c r="E35" s="236">
        <v>454488.29700000002</v>
      </c>
      <c r="F35" s="236">
        <v>3045726.8394999998</v>
      </c>
      <c r="G35" s="6">
        <v>10</v>
      </c>
      <c r="H35" s="7">
        <f t="shared" si="11"/>
        <v>38.130000000000003</v>
      </c>
      <c r="I35" s="7">
        <f t="shared" si="12"/>
        <v>3.4559707749657811</v>
      </c>
      <c r="J35" s="7">
        <f t="shared" si="13"/>
        <v>6.6549404378543793</v>
      </c>
      <c r="K35" s="7">
        <f t="shared" si="14"/>
        <v>16.79675145965701</v>
      </c>
      <c r="L35" s="7">
        <f t="shared" si="15"/>
        <v>1870.5806323174659</v>
      </c>
      <c r="M35" s="7">
        <f t="shared" si="16"/>
        <v>1873.908102536393</v>
      </c>
      <c r="N35" s="7">
        <f t="shared" si="17"/>
        <v>1877.2355727553202</v>
      </c>
      <c r="O35" s="7" t="str">
        <f t="shared" si="5"/>
        <v>c 454488.297,3045726.8395 1</v>
      </c>
      <c r="P35" s="7"/>
      <c r="Q35" s="10">
        <f t="shared" si="6"/>
        <v>13.340780684691229</v>
      </c>
      <c r="R35" s="7">
        <f t="shared" si="7"/>
        <v>60.341350524584854</v>
      </c>
      <c r="S35" s="5">
        <f t="shared" si="18"/>
        <v>7.3391799098720831</v>
      </c>
      <c r="T35" s="2" t="str">
        <f t="shared" si="8"/>
        <v>-text 454488.297,3045726.8395 7 0 IP29</v>
      </c>
      <c r="U35" s="2" t="str">
        <f t="shared" si="9"/>
        <v>dt 454488.297,3045726.8395 5 0 IP29(454488.297,3045726.8395)*</v>
      </c>
      <c r="V35" s="12"/>
      <c r="W35" s="1" t="str">
        <f t="shared" si="10"/>
        <v>dt 454478.297,3045716.8395 5 0 R=10*T=3.455*S=6.654*α=38.13*</v>
      </c>
    </row>
    <row r="36" spans="1:23" x14ac:dyDescent="0.2">
      <c r="A36" s="2">
        <f t="shared" si="21"/>
        <v>30</v>
      </c>
      <c r="B36" s="2" t="str">
        <f t="shared" si="4"/>
        <v>IP30</v>
      </c>
      <c r="C36" s="98"/>
      <c r="D36" s="6">
        <v>35</v>
      </c>
      <c r="E36" s="236">
        <v>454428.04800000001</v>
      </c>
      <c r="F36" s="236">
        <v>3045705.8596000001</v>
      </c>
      <c r="G36" s="6">
        <v>10</v>
      </c>
      <c r="H36" s="7">
        <f t="shared" si="11"/>
        <v>45.655000000000001</v>
      </c>
      <c r="I36" s="7">
        <f t="shared" si="12"/>
        <v>4.209261842953044</v>
      </c>
      <c r="J36" s="7">
        <f t="shared" si="13"/>
        <v>7.9683006999801114</v>
      </c>
      <c r="K36" s="7">
        <f t="shared" si="14"/>
        <v>63.797321299550639</v>
      </c>
      <c r="L36" s="7">
        <f t="shared" si="15"/>
        <v>1933.3676614369519</v>
      </c>
      <c r="M36" s="7">
        <f t="shared" si="16"/>
        <v>1937.3518117869421</v>
      </c>
      <c r="N36" s="7">
        <f t="shared" si="17"/>
        <v>1941.335962136932</v>
      </c>
      <c r="O36" s="7" t="str">
        <f t="shared" si="5"/>
        <v>c 454428.048,3045705.8596 1</v>
      </c>
      <c r="P36" s="7"/>
      <c r="Q36" s="10">
        <f t="shared" si="6"/>
        <v>59.588059456597591</v>
      </c>
      <c r="R36" s="7">
        <f t="shared" si="7"/>
        <v>43.292139728816124</v>
      </c>
      <c r="S36" s="5">
        <f t="shared" si="18"/>
        <v>56.132088681631814</v>
      </c>
      <c r="T36" s="2" t="str">
        <f t="shared" si="8"/>
        <v>-text 454428.048,3045705.8596 7 0 IP30</v>
      </c>
      <c r="U36" s="2" t="str">
        <f t="shared" si="9"/>
        <v>dt 454428.048,3045705.8596 5 0 IP30(454428.048,3045705.8596)*</v>
      </c>
      <c r="V36" s="12"/>
      <c r="W36" s="1" t="str">
        <f t="shared" si="10"/>
        <v>dt 454418.048,3045695.8596 5 0 R=10*T=4.209*S=7.968*α=45.655*</v>
      </c>
    </row>
    <row r="37" spans="1:23" x14ac:dyDescent="0.2">
      <c r="A37" s="2">
        <f t="shared" si="21"/>
        <v>31</v>
      </c>
      <c r="B37" s="2" t="str">
        <f t="shared" si="4"/>
        <v>IP31</v>
      </c>
      <c r="C37" s="8"/>
      <c r="D37" s="6">
        <v>36</v>
      </c>
      <c r="E37" s="236">
        <v>454407.86320000002</v>
      </c>
      <c r="F37" s="236">
        <v>3045662.8601000002</v>
      </c>
      <c r="G37" s="6">
        <v>10</v>
      </c>
      <c r="H37" s="7">
        <f t="shared" si="11"/>
        <v>21.603000000000002</v>
      </c>
      <c r="I37" s="7">
        <f t="shared" si="12"/>
        <v>1.9078733496655387</v>
      </c>
      <c r="J37" s="7">
        <f t="shared" si="13"/>
        <v>3.77043478308335</v>
      </c>
      <c r="K37" s="7">
        <f t="shared" si="14"/>
        <v>47.501401571769172</v>
      </c>
      <c r="L37" s="7">
        <f t="shared" si="15"/>
        <v>1982.7202285160827</v>
      </c>
      <c r="M37" s="7">
        <f t="shared" si="16"/>
        <v>1984.6054459076242</v>
      </c>
      <c r="N37" s="7">
        <f t="shared" si="17"/>
        <v>1986.490663299166</v>
      </c>
      <c r="O37" s="7" t="str">
        <f t="shared" si="5"/>
        <v>c 454407.8632,3045662.8601 1</v>
      </c>
      <c r="P37" s="7"/>
      <c r="Q37" s="10">
        <f t="shared" si="6"/>
        <v>45.593528222103636</v>
      </c>
      <c r="R37" s="7">
        <f t="shared" si="7"/>
        <v>34.709814885664279</v>
      </c>
      <c r="S37" s="5">
        <f t="shared" si="18"/>
        <v>41.384266379150588</v>
      </c>
      <c r="T37" s="2" t="str">
        <f t="shared" si="8"/>
        <v>-text 454407.8632,3045662.8601 7 0 IP31</v>
      </c>
      <c r="U37" s="2" t="str">
        <f t="shared" si="9"/>
        <v>dt 454407.8632,3045662.8601 5 0 IP31(454407.8632,3045662.8601)*</v>
      </c>
      <c r="V37" s="12"/>
      <c r="W37" s="1" t="str">
        <f t="shared" si="10"/>
        <v>dt 454397.8632,3045652.8601 5 0 R=10*T=1.907*S=3.77*α=21.603*</v>
      </c>
    </row>
    <row r="38" spans="1:23" x14ac:dyDescent="0.2">
      <c r="A38" s="2">
        <f t="shared" si="21"/>
        <v>32</v>
      </c>
      <c r="B38" s="2" t="str">
        <f t="shared" si="4"/>
        <v>IP32</v>
      </c>
      <c r="C38" s="98"/>
      <c r="D38" s="6">
        <v>37</v>
      </c>
      <c r="E38" s="236">
        <v>454405.60029999999</v>
      </c>
      <c r="F38" s="236">
        <v>3045626.3124000002</v>
      </c>
      <c r="G38" s="6">
        <v>10</v>
      </c>
      <c r="H38" s="7">
        <f t="shared" si="11"/>
        <v>54.347000000000001</v>
      </c>
      <c r="I38" s="7">
        <f t="shared" si="12"/>
        <v>5.1334565746299434</v>
      </c>
      <c r="J38" s="7">
        <f t="shared" si="13"/>
        <v>9.4853408858135833</v>
      </c>
      <c r="K38" s="7">
        <f t="shared" si="14"/>
        <v>36.617688235329815</v>
      </c>
      <c r="L38" s="7">
        <f t="shared" si="15"/>
        <v>2016.0670216102001</v>
      </c>
      <c r="M38" s="7">
        <f t="shared" si="16"/>
        <v>2020.8096920531068</v>
      </c>
      <c r="N38" s="7">
        <f t="shared" si="17"/>
        <v>2025.5523624960138</v>
      </c>
      <c r="O38" s="7" t="str">
        <f t="shared" si="5"/>
        <v>c 454405.6003,3045626.3124 1</v>
      </c>
      <c r="P38" s="7"/>
      <c r="Q38" s="10">
        <f t="shared" si="6"/>
        <v>31.484231660699873</v>
      </c>
      <c r="R38" s="7">
        <f t="shared" si="7"/>
        <v>22.130137004514246</v>
      </c>
      <c r="S38" s="5">
        <f t="shared" si="18"/>
        <v>29.576358311034337</v>
      </c>
      <c r="T38" s="2" t="str">
        <f t="shared" si="8"/>
        <v>-text 454405.6003,3045626.3124 7 0 IP32</v>
      </c>
      <c r="U38" s="2" t="str">
        <f t="shared" si="9"/>
        <v>dt 454405.6003,3045626.3124 5 0 IP32(454405.6003,3045626.3124)*</v>
      </c>
      <c r="V38" s="12"/>
      <c r="W38" s="1" t="str">
        <f t="shared" si="10"/>
        <v>dt 454395.6003,3045616.3124 5 0 R=10*T=5.133*S=9.485*α=54.347*</v>
      </c>
    </row>
    <row r="39" spans="1:23" x14ac:dyDescent="0.2">
      <c r="A39" s="2">
        <f t="shared" si="21"/>
        <v>33</v>
      </c>
      <c r="B39" s="2" t="str">
        <f t="shared" si="4"/>
        <v>IP33</v>
      </c>
      <c r="C39" s="8"/>
      <c r="D39" s="6">
        <v>38</v>
      </c>
      <c r="E39" s="236">
        <v>454382.50719999999</v>
      </c>
      <c r="F39" s="236">
        <v>3045611.8206000002</v>
      </c>
      <c r="G39" s="6">
        <v>10</v>
      </c>
      <c r="H39" s="7">
        <f t="shared" si="11"/>
        <v>46.878999999999998</v>
      </c>
      <c r="I39" s="7">
        <f t="shared" si="12"/>
        <v>4.335573915652744</v>
      </c>
      <c r="J39" s="7">
        <f t="shared" si="13"/>
        <v>8.1819290004242173</v>
      </c>
      <c r="K39" s="7">
        <f t="shared" si="14"/>
        <v>27.263593579144189</v>
      </c>
      <c r="L39" s="7">
        <f t="shared" si="15"/>
        <v>2043.3469255848752</v>
      </c>
      <c r="M39" s="7">
        <f t="shared" si="16"/>
        <v>2047.4378900850872</v>
      </c>
      <c r="N39" s="7">
        <f t="shared" si="17"/>
        <v>2051.5288545852995</v>
      </c>
      <c r="O39" s="7" t="str">
        <f t="shared" si="5"/>
        <v>c 454382.5072,3045611.8206 1</v>
      </c>
      <c r="P39" s="7"/>
      <c r="Q39" s="10">
        <f t="shared" si="6"/>
        <v>22.928019663491444</v>
      </c>
      <c r="R39" s="7">
        <f t="shared" si="7"/>
        <v>113.26096645619022</v>
      </c>
      <c r="S39" s="5">
        <f t="shared" si="18"/>
        <v>17.794563088861501</v>
      </c>
      <c r="T39" s="2" t="str">
        <f t="shared" si="8"/>
        <v>-text 454382.5072,3045611.8206 7 0 IP33</v>
      </c>
      <c r="U39" s="2" t="str">
        <f t="shared" si="9"/>
        <v>dt 454382.5072,3045611.8206 5 0 IP33(454382.5072,3045611.8206)*</v>
      </c>
      <c r="V39" s="12"/>
      <c r="W39" s="1" t="str">
        <f t="shared" si="10"/>
        <v>dt 454372.5072,3045601.8206 5 0 R=10*T=4.335*S=8.181*α=46.879*</v>
      </c>
    </row>
    <row r="40" spans="1:23" x14ac:dyDescent="0.2">
      <c r="A40" s="2">
        <f t="shared" si="21"/>
        <v>34</v>
      </c>
      <c r="B40" s="2" t="str">
        <f t="shared" si="4"/>
        <v>IP34</v>
      </c>
      <c r="C40" s="8"/>
      <c r="D40" s="6">
        <v>39</v>
      </c>
      <c r="E40" s="236">
        <v>454360.04629999999</v>
      </c>
      <c r="F40" s="236">
        <v>3045496.389</v>
      </c>
      <c r="G40" s="6">
        <v>10</v>
      </c>
      <c r="H40" s="7">
        <f t="shared" si="11"/>
        <v>71.641999999999996</v>
      </c>
      <c r="I40" s="7">
        <f t="shared" si="12"/>
        <v>7.2178006225026161</v>
      </c>
      <c r="J40" s="7">
        <f t="shared" si="13"/>
        <v>12.503887827137776</v>
      </c>
      <c r="K40" s="7">
        <f t="shared" si="14"/>
        <v>117.59654037184296</v>
      </c>
      <c r="L40" s="7">
        <f t="shared" si="15"/>
        <v>2157.572020418987</v>
      </c>
      <c r="M40" s="7">
        <f t="shared" si="16"/>
        <v>2163.823964332556</v>
      </c>
      <c r="N40" s="7">
        <f t="shared" si="17"/>
        <v>2170.075908246125</v>
      </c>
      <c r="O40" s="7" t="str">
        <f t="shared" si="5"/>
        <v>c 454360.0463,3045496.389 1</v>
      </c>
      <c r="P40" s="7"/>
      <c r="Q40" s="10">
        <f t="shared" si="6"/>
        <v>110.37873974934034</v>
      </c>
      <c r="R40" s="7">
        <f t="shared" si="7"/>
        <v>45.325660013165056</v>
      </c>
      <c r="S40" s="5">
        <f t="shared" si="18"/>
        <v>106.0431658336876</v>
      </c>
      <c r="T40" s="2" t="str">
        <f t="shared" si="8"/>
        <v>-text 454360.0463,3045496.389 7 0 IP34</v>
      </c>
      <c r="U40" s="2" t="str">
        <f t="shared" si="9"/>
        <v>dt 454360.0463,3045496.389 5 0 IP34(454360.0463,3045496.389)*</v>
      </c>
      <c r="V40" s="12"/>
      <c r="W40" s="1" t="str">
        <f t="shared" si="10"/>
        <v>dt 454350.0463,3045486.389 5 0 R=10*T=7.217*S=12.503*α=71.642*</v>
      </c>
    </row>
    <row r="41" spans="1:23" x14ac:dyDescent="0.2">
      <c r="A41" s="2">
        <f t="shared" si="21"/>
        <v>35</v>
      </c>
      <c r="B41" s="2" t="str">
        <f t="shared" si="4"/>
        <v>IP35</v>
      </c>
      <c r="C41" s="98"/>
      <c r="D41" s="6">
        <v>40</v>
      </c>
      <c r="E41" s="236">
        <v>454405.83689999999</v>
      </c>
      <c r="F41" s="236">
        <v>3045470.6200999999</v>
      </c>
      <c r="G41" s="6">
        <v>10</v>
      </c>
      <c r="H41" s="7">
        <f t="shared" si="11"/>
        <v>103.94199999999999</v>
      </c>
      <c r="I41" s="7">
        <f t="shared" si="12"/>
        <v>12.78607157985239</v>
      </c>
      <c r="J41" s="7">
        <f t="shared" si="13"/>
        <v>18.141301311079459</v>
      </c>
      <c r="K41" s="7">
        <f t="shared" si="14"/>
        <v>52.543460635667671</v>
      </c>
      <c r="L41" s="7">
        <f t="shared" si="15"/>
        <v>2202.6154966794375</v>
      </c>
      <c r="M41" s="7">
        <f t="shared" si="16"/>
        <v>2211.6861473349772</v>
      </c>
      <c r="N41" s="7">
        <f t="shared" si="17"/>
        <v>2220.756797990517</v>
      </c>
      <c r="O41" s="7" t="str">
        <f t="shared" si="5"/>
        <v>c 454405.8369,3045470.6201 1</v>
      </c>
      <c r="P41" s="7"/>
      <c r="Q41" s="10">
        <f t="shared" si="6"/>
        <v>39.757389055815281</v>
      </c>
      <c r="R41" s="7">
        <f t="shared" si="7"/>
        <v>34.901560145638648</v>
      </c>
      <c r="S41" s="5">
        <f t="shared" si="18"/>
        <v>32.539588433312666</v>
      </c>
      <c r="T41" s="2" t="str">
        <f t="shared" si="8"/>
        <v>-text 454405.8369,3045470.6201 7 0 IP35</v>
      </c>
      <c r="U41" s="2" t="str">
        <f t="shared" si="9"/>
        <v>dt 454405.8369,3045470.6201 5 0 IP35(454405.8369,3045470.6201)*</v>
      </c>
      <c r="V41" s="12"/>
      <c r="W41" s="1" t="str">
        <f t="shared" si="10"/>
        <v>dt 454395.8369,3045460.6201 5 0 R=10*T=12.786*S=18.141*α=103.942*</v>
      </c>
    </row>
    <row r="42" spans="1:23" x14ac:dyDescent="0.2">
      <c r="A42" s="2">
        <f t="shared" si="21"/>
        <v>36</v>
      </c>
      <c r="B42" s="2" t="str">
        <f t="shared" si="4"/>
        <v>IP36</v>
      </c>
      <c r="C42" s="98"/>
      <c r="D42" s="6">
        <v>41</v>
      </c>
      <c r="E42" s="236">
        <v>454373.1251</v>
      </c>
      <c r="F42" s="236">
        <v>3045435.9207000001</v>
      </c>
      <c r="G42" s="6">
        <v>10</v>
      </c>
      <c r="H42" s="7">
        <f t="shared" si="11"/>
        <v>70.049000000000007</v>
      </c>
      <c r="I42" s="7">
        <f t="shared" si="12"/>
        <v>7.0084498581265544</v>
      </c>
      <c r="J42" s="7">
        <f t="shared" si="13"/>
        <v>12.22585687729508</v>
      </c>
      <c r="K42" s="7">
        <f t="shared" si="14"/>
        <v>47.687631725491038</v>
      </c>
      <c r="L42" s="7">
        <f t="shared" si="15"/>
        <v>2248.6499082780292</v>
      </c>
      <c r="M42" s="7">
        <f t="shared" si="16"/>
        <v>2254.7628367166767</v>
      </c>
      <c r="N42" s="7">
        <f t="shared" si="17"/>
        <v>2260.8757651553242</v>
      </c>
      <c r="O42" s="7" t="str">
        <f t="shared" si="5"/>
        <v>c 454373.1251,3045435.9207 1</v>
      </c>
      <c r="P42" s="7"/>
      <c r="Q42" s="10">
        <f t="shared" si="6"/>
        <v>40.679181867364484</v>
      </c>
      <c r="R42" s="7">
        <f t="shared" si="7"/>
        <v>57.162834720268776</v>
      </c>
      <c r="S42" s="5">
        <f t="shared" si="18"/>
        <v>27.893110287512094</v>
      </c>
      <c r="T42" s="2" t="str">
        <f t="shared" si="8"/>
        <v>-text 454373.1251,3045435.9207 7 0 IP36</v>
      </c>
      <c r="U42" s="2" t="str">
        <f t="shared" si="9"/>
        <v>dt 454373.1251,3045435.9207 5 0 IP36(454373.1251,3045435.9207)*</v>
      </c>
      <c r="V42" s="12"/>
      <c r="W42" s="1" t="str">
        <f t="shared" si="10"/>
        <v>dt 454363.1251,3045425.9207 5 0 R=10*T=7.008*S=12.225*α=70.049*</v>
      </c>
    </row>
    <row r="43" spans="1:23" s="158" customFormat="1" x14ac:dyDescent="0.2">
      <c r="A43" s="156"/>
      <c r="B43" s="156" t="str">
        <f t="shared" si="4"/>
        <v>2#倒进</v>
      </c>
      <c r="C43" s="157" t="s">
        <v>136</v>
      </c>
      <c r="D43" s="6">
        <v>42</v>
      </c>
      <c r="E43" s="236">
        <v>454401.99660000001</v>
      </c>
      <c r="F43" s="236">
        <v>3045378.6110999999</v>
      </c>
      <c r="G43" s="9">
        <v>10</v>
      </c>
      <c r="H43" s="7">
        <f t="shared" si="11"/>
        <v>0</v>
      </c>
      <c r="I43" s="7">
        <f t="shared" si="12"/>
        <v>0</v>
      </c>
      <c r="J43" s="7">
        <f t="shared" si="13"/>
        <v>0</v>
      </c>
      <c r="K43" s="7">
        <f t="shared" si="14"/>
        <v>64.17128457839533</v>
      </c>
      <c r="L43" s="7">
        <f t="shared" si="15"/>
        <v>2318.0385998755933</v>
      </c>
      <c r="M43" s="7">
        <f t="shared" si="16"/>
        <v>2318.0385998755933</v>
      </c>
      <c r="N43" s="7">
        <f t="shared" si="17"/>
        <v>2318.0385998755933</v>
      </c>
      <c r="O43" s="7" t="str">
        <f t="shared" si="5"/>
        <v>c 454401.9966,3045378.6111 1</v>
      </c>
      <c r="P43" s="7"/>
      <c r="Q43" s="10">
        <f t="shared" si="6"/>
        <v>64.17128457839533</v>
      </c>
      <c r="R43" s="7">
        <f t="shared" si="7"/>
        <v>32.584399703925413</v>
      </c>
      <c r="S43" s="5">
        <f t="shared" si="18"/>
        <v>57.162834720268776</v>
      </c>
      <c r="T43" s="2" t="str">
        <f t="shared" si="8"/>
        <v>-text 454401.9966,3045378.6111 7 0 2#倒进</v>
      </c>
      <c r="U43" s="2" t="str">
        <f t="shared" si="9"/>
        <v>dt 454401.9966,3045378.6111 5 0 2#倒进(454401.9966,3045378.6111)*</v>
      </c>
      <c r="V43" s="12"/>
      <c r="W43" s="1" t="str">
        <f t="shared" si="10"/>
        <v>dt 454391.9966,3045368.6111 5 0 R=10*T=0*S=0*α=0*</v>
      </c>
    </row>
    <row r="44" spans="1:23" s="158" customFormat="1" x14ac:dyDescent="0.2">
      <c r="A44" s="156">
        <f>A42+1</f>
        <v>37</v>
      </c>
      <c r="B44" s="156" t="str">
        <f t="shared" si="4"/>
        <v>IP37</v>
      </c>
      <c r="C44" s="157"/>
      <c r="D44" s="6">
        <v>43</v>
      </c>
      <c r="E44" s="236">
        <v>454416.6568</v>
      </c>
      <c r="F44" s="236">
        <v>3045349.5109000001</v>
      </c>
      <c r="G44" s="168">
        <v>2.4</v>
      </c>
      <c r="H44" s="7">
        <f t="shared" si="11"/>
        <v>28.981000000000002</v>
      </c>
      <c r="I44" s="7">
        <f t="shared" si="12"/>
        <v>0.62025767047178892</v>
      </c>
      <c r="J44" s="7">
        <f t="shared" si="13"/>
        <v>1.2139532892491438</v>
      </c>
      <c r="K44" s="7">
        <f t="shared" si="14"/>
        <v>32.584399703925413</v>
      </c>
      <c r="L44" s="7">
        <f t="shared" si="15"/>
        <v>2350.002741909047</v>
      </c>
      <c r="M44" s="7">
        <f t="shared" si="16"/>
        <v>2350.6097185536714</v>
      </c>
      <c r="N44" s="7">
        <f t="shared" si="17"/>
        <v>2351.2166951982963</v>
      </c>
      <c r="O44" s="7" t="str">
        <f t="shared" si="5"/>
        <v>c 454416.6568,3045349.5109 1</v>
      </c>
      <c r="P44" s="7"/>
      <c r="Q44" s="10">
        <f t="shared" si="6"/>
        <v>31.964142033453623</v>
      </c>
      <c r="R44" s="7">
        <f t="shared" si="7"/>
        <v>202.31701577154189</v>
      </c>
      <c r="S44" s="5">
        <f t="shared" si="18"/>
        <v>31.964142033453623</v>
      </c>
      <c r="T44" s="2" t="str">
        <f t="shared" si="8"/>
        <v>-text 454416.6568,3045349.5109 7 0 IP37</v>
      </c>
      <c r="U44" s="2" t="str">
        <f t="shared" si="9"/>
        <v>dt 454416.6568,3045349.5109 5 0 IP37(454416.6568,3045349.5109)*</v>
      </c>
      <c r="V44" s="12"/>
      <c r="W44" s="1" t="str">
        <f t="shared" si="10"/>
        <v>dt 454406.6568,3045339.5109 5 0 R=2.4*T=0.62*S=1.213*α=28.981*</v>
      </c>
    </row>
    <row r="45" spans="1:23" s="158" customFormat="1" x14ac:dyDescent="0.2">
      <c r="A45" s="156">
        <f>A44+1</f>
        <v>38</v>
      </c>
      <c r="B45" s="156" t="str">
        <f t="shared" si="4"/>
        <v>IP38</v>
      </c>
      <c r="C45" s="159"/>
      <c r="D45" s="6">
        <v>44</v>
      </c>
      <c r="E45" s="236">
        <v>454408.71460000001</v>
      </c>
      <c r="F45" s="236">
        <v>3045146.7291000001</v>
      </c>
      <c r="G45" s="168">
        <v>2.4</v>
      </c>
      <c r="H45" s="7">
        <f t="shared" si="11"/>
        <v>28.629000000000001</v>
      </c>
      <c r="I45" s="7">
        <f t="shared" si="12"/>
        <v>0.61239920790341085</v>
      </c>
      <c r="J45" s="7">
        <f t="shared" si="13"/>
        <v>1.1992087477282958</v>
      </c>
      <c r="K45" s="7">
        <f t="shared" si="14"/>
        <v>202.93727344201369</v>
      </c>
      <c r="L45" s="7">
        <f t="shared" si="15"/>
        <v>2552.9213117619342</v>
      </c>
      <c r="M45" s="7">
        <f t="shared" si="16"/>
        <v>2553.5209161357984</v>
      </c>
      <c r="N45" s="7">
        <f t="shared" si="17"/>
        <v>2554.1205205096626</v>
      </c>
      <c r="O45" s="7" t="str">
        <f t="shared" si="5"/>
        <v>c 454408.7146,3045146.7291 1</v>
      </c>
      <c r="P45" s="7"/>
      <c r="Q45" s="10">
        <f t="shared" si="6"/>
        <v>202.32487423411027</v>
      </c>
      <c r="R45" s="7">
        <f t="shared" si="7"/>
        <v>21.939333486051403</v>
      </c>
      <c r="S45" s="5">
        <f t="shared" si="18"/>
        <v>201.70461656363847</v>
      </c>
      <c r="T45" s="2" t="str">
        <f t="shared" si="8"/>
        <v>-text 454408.7146,3045146.7291 7 0 IP38</v>
      </c>
      <c r="U45" s="2" t="str">
        <f t="shared" si="9"/>
        <v>dt 454408.7146,3045146.7291 5 0 IP38(454408.7146,3045146.7291)*</v>
      </c>
      <c r="V45" s="12"/>
      <c r="W45" s="1" t="str">
        <f t="shared" si="10"/>
        <v>dt 454398.7146,3045136.7291 5 0 R=2.4*T=0.612*S=1.199*α=28.629*</v>
      </c>
    </row>
    <row r="46" spans="1:23" s="158" customFormat="1" x14ac:dyDescent="0.2">
      <c r="A46" s="156"/>
      <c r="B46" s="156" t="str">
        <f t="shared" si="4"/>
        <v>2#倒出</v>
      </c>
      <c r="C46" s="157" t="s">
        <v>139</v>
      </c>
      <c r="D46" s="6">
        <v>45</v>
      </c>
      <c r="E46" s="236">
        <v>454397.14279999997</v>
      </c>
      <c r="F46" s="236">
        <v>3045127.3725999999</v>
      </c>
      <c r="G46" s="9">
        <v>10</v>
      </c>
      <c r="H46" s="7">
        <f t="shared" si="11"/>
        <v>0</v>
      </c>
      <c r="I46" s="7">
        <f t="shared" si="12"/>
        <v>0</v>
      </c>
      <c r="J46" s="7">
        <f t="shared" si="13"/>
        <v>0</v>
      </c>
      <c r="K46" s="7">
        <f t="shared" si="14"/>
        <v>22.551732693954815</v>
      </c>
      <c r="L46" s="7">
        <f t="shared" si="15"/>
        <v>2576.0598539957141</v>
      </c>
      <c r="M46" s="7">
        <f t="shared" si="16"/>
        <v>2576.0598539957141</v>
      </c>
      <c r="N46" s="7">
        <f t="shared" si="17"/>
        <v>2576.0598539957141</v>
      </c>
      <c r="O46" s="7" t="str">
        <f t="shared" si="5"/>
        <v>c 454397.1428,3045127.3726 1</v>
      </c>
      <c r="P46" s="7"/>
      <c r="Q46" s="10">
        <f t="shared" si="6"/>
        <v>22.551732693954815</v>
      </c>
      <c r="R46" s="7">
        <f t="shared" si="7"/>
        <v>131.16772285719884</v>
      </c>
      <c r="S46" s="5">
        <f t="shared" si="18"/>
        <v>21.939333486051403</v>
      </c>
      <c r="T46" s="2" t="str">
        <f t="shared" si="8"/>
        <v>-text 454397.1428,3045127.3726 7 0 2#倒出</v>
      </c>
      <c r="U46" s="2" t="str">
        <f t="shared" si="9"/>
        <v>dt 454397.1428,3045127.3726 5 0 2#倒出(454397.1428,3045127.3726)*</v>
      </c>
      <c r="V46" s="12"/>
      <c r="W46" s="1" t="str">
        <f t="shared" si="10"/>
        <v>dt 454387.1428,3045117.3726 5 0 R=10*T=0*S=0*α=0*</v>
      </c>
    </row>
    <row r="47" spans="1:23" x14ac:dyDescent="0.2">
      <c r="A47" s="2">
        <f>A45+1</f>
        <v>39</v>
      </c>
      <c r="B47" s="2" t="str">
        <f t="shared" si="4"/>
        <v>IP39</v>
      </c>
      <c r="C47" s="8"/>
      <c r="D47" s="6">
        <v>46</v>
      </c>
      <c r="E47" s="236">
        <v>454329.83789999998</v>
      </c>
      <c r="F47" s="236">
        <v>3045014.7892</v>
      </c>
      <c r="G47" s="6">
        <v>10</v>
      </c>
      <c r="H47" s="7">
        <f t="shared" si="11"/>
        <v>19.556999999999999</v>
      </c>
      <c r="I47" s="7">
        <f t="shared" si="12"/>
        <v>1.7234357629181631</v>
      </c>
      <c r="J47" s="7">
        <f t="shared" si="13"/>
        <v>3.4133404181253102</v>
      </c>
      <c r="K47" s="7">
        <f t="shared" si="14"/>
        <v>131.16772285719884</v>
      </c>
      <c r="L47" s="7">
        <f t="shared" si="15"/>
        <v>2705.5041410899948</v>
      </c>
      <c r="M47" s="7">
        <f t="shared" si="16"/>
        <v>2707.2108112990577</v>
      </c>
      <c r="N47" s="7">
        <f t="shared" si="17"/>
        <v>2708.9174815081201</v>
      </c>
      <c r="O47" s="7" t="str">
        <f t="shared" si="5"/>
        <v>c 454329.8379,3045014.7892 1</v>
      </c>
      <c r="P47" s="7"/>
      <c r="Q47" s="10">
        <f t="shared" si="6"/>
        <v>129.44428709428067</v>
      </c>
      <c r="R47" s="7">
        <f t="shared" si="7"/>
        <v>93.730249120399307</v>
      </c>
      <c r="S47" s="5">
        <f t="shared" si="18"/>
        <v>129.44428709428067</v>
      </c>
      <c r="T47" s="2" t="str">
        <f t="shared" si="8"/>
        <v>-text 454329.8379,3045014.7892 7 0 IP39</v>
      </c>
      <c r="U47" s="2" t="str">
        <f t="shared" si="9"/>
        <v>dt 454329.8379,3045014.7892 5 0 IP39(454329.8379,3045014.7892)*</v>
      </c>
      <c r="V47" s="12"/>
      <c r="W47" s="1" t="str">
        <f t="shared" si="10"/>
        <v>dt 454319.8379,3045004.7892 5 0 R=10*T=1.723*S=3.413*α=19.557*</v>
      </c>
    </row>
    <row r="48" spans="1:23" s="213" customFormat="1" x14ac:dyDescent="0.2">
      <c r="A48" s="205"/>
      <c r="B48" s="205" t="s">
        <v>193</v>
      </c>
      <c r="C48" s="206" t="s">
        <v>193</v>
      </c>
      <c r="D48" s="6">
        <v>47</v>
      </c>
      <c r="E48" s="236">
        <v>454311.10969999997</v>
      </c>
      <c r="F48" s="236">
        <v>3044921.1908</v>
      </c>
      <c r="G48" s="207">
        <v>10</v>
      </c>
      <c r="H48" s="7">
        <f t="shared" si="11"/>
        <v>0</v>
      </c>
      <c r="I48" s="7">
        <f t="shared" si="12"/>
        <v>0</v>
      </c>
      <c r="J48" s="7">
        <f t="shared" si="13"/>
        <v>0</v>
      </c>
      <c r="K48" s="7">
        <f t="shared" si="14"/>
        <v>95.453684883317464</v>
      </c>
      <c r="L48" s="209">
        <f t="shared" si="15"/>
        <v>2802.6477306285196</v>
      </c>
      <c r="M48" s="209">
        <f t="shared" si="16"/>
        <v>2802.6477306285196</v>
      </c>
      <c r="N48" s="209">
        <f t="shared" si="17"/>
        <v>2802.6477306285196</v>
      </c>
      <c r="O48" s="209" t="str">
        <f t="shared" si="5"/>
        <v>c 454311.1097,3044921.1908 1</v>
      </c>
      <c r="P48" s="209"/>
      <c r="Q48" s="210">
        <f t="shared" si="6"/>
        <v>95.453684883317464</v>
      </c>
      <c r="R48" s="209">
        <f t="shared" si="7"/>
        <v>99.891832255331053</v>
      </c>
      <c r="S48" s="211">
        <f t="shared" si="18"/>
        <v>93.730249120399307</v>
      </c>
      <c r="T48" s="205" t="str">
        <f t="shared" si="8"/>
        <v>-text 454311.1097,3044921.1908 7 0 3#斗门</v>
      </c>
      <c r="U48" s="205" t="str">
        <f t="shared" si="9"/>
        <v>dt 454311.1097,3044921.1908 5 0 3#斗门(454311.1097,3044921.1908)*</v>
      </c>
      <c r="V48" s="212"/>
      <c r="W48" s="212" t="str">
        <f t="shared" si="10"/>
        <v>dt 454301.1097,3044911.1908 5 0 R=10*T=0*S=0*α=0*</v>
      </c>
    </row>
    <row r="49" spans="1:23" x14ac:dyDescent="0.2">
      <c r="A49" s="2">
        <f>A47+1</f>
        <v>40</v>
      </c>
      <c r="B49" s="2" t="str">
        <f t="shared" si="4"/>
        <v>IP40</v>
      </c>
      <c r="C49" s="8"/>
      <c r="D49" s="6">
        <v>48</v>
      </c>
      <c r="E49" s="236">
        <v>454291.51079999999</v>
      </c>
      <c r="F49" s="236">
        <v>3044823.2404999998</v>
      </c>
      <c r="G49" s="6">
        <v>10</v>
      </c>
      <c r="H49" s="7">
        <f t="shared" si="11"/>
        <v>63.279000000000003</v>
      </c>
      <c r="I49" s="7">
        <f t="shared" si="12"/>
        <v>6.1615483646589988</v>
      </c>
      <c r="J49" s="7">
        <f t="shared" si="13"/>
        <v>11.044268973694917</v>
      </c>
      <c r="K49" s="7">
        <f t="shared" si="14"/>
        <v>99.891832255331053</v>
      </c>
      <c r="L49" s="7">
        <f t="shared" si="15"/>
        <v>2896.3780145191913</v>
      </c>
      <c r="M49" s="7">
        <f t="shared" si="16"/>
        <v>2901.9001490060386</v>
      </c>
      <c r="N49" s="7">
        <f t="shared" si="17"/>
        <v>2907.4222834928864</v>
      </c>
      <c r="O49" s="7" t="str">
        <f t="shared" si="5"/>
        <v>c 454291.5108,3044823.2405 1</v>
      </c>
      <c r="P49" s="7"/>
      <c r="Q49" s="10">
        <f t="shared" si="6"/>
        <v>93.730283890672055</v>
      </c>
      <c r="R49" s="7">
        <f t="shared" si="7"/>
        <v>38.838405685020049</v>
      </c>
      <c r="S49" s="5">
        <f t="shared" si="18"/>
        <v>93.730283890672055</v>
      </c>
      <c r="T49" s="2" t="str">
        <f t="shared" si="8"/>
        <v>-text 454291.5108,3044823.2405 7 0 IP40</v>
      </c>
      <c r="U49" s="2" t="str">
        <f t="shared" si="9"/>
        <v>dt 454291.5108,3044823.2405 5 0 IP40(454291.5108,3044823.2405)*</v>
      </c>
      <c r="V49" s="12"/>
      <c r="W49" s="1" t="str">
        <f t="shared" si="10"/>
        <v>dt 454281.5108,3044813.2405 5 0 R=10*T=6.161*S=11.044*α=63.279*</v>
      </c>
    </row>
    <row r="50" spans="1:23" s="158" customFormat="1" x14ac:dyDescent="0.2">
      <c r="A50" s="156"/>
      <c r="B50" s="156" t="str">
        <f t="shared" si="4"/>
        <v>3#倒进</v>
      </c>
      <c r="C50" s="157" t="s">
        <v>137</v>
      </c>
      <c r="D50" s="6">
        <v>49</v>
      </c>
      <c r="E50" s="236">
        <v>454326.95400000003</v>
      </c>
      <c r="F50" s="236">
        <v>3044795.5137</v>
      </c>
      <c r="G50" s="9">
        <v>10</v>
      </c>
      <c r="H50" s="7">
        <f t="shared" si="11"/>
        <v>0</v>
      </c>
      <c r="I50" s="7">
        <f t="shared" si="12"/>
        <v>0</v>
      </c>
      <c r="J50" s="7">
        <f t="shared" si="13"/>
        <v>0</v>
      </c>
      <c r="K50" s="7">
        <f t="shared" si="14"/>
        <v>44.999954049679047</v>
      </c>
      <c r="L50" s="7">
        <f t="shared" si="15"/>
        <v>2946.260689177906</v>
      </c>
      <c r="M50" s="7">
        <f t="shared" si="16"/>
        <v>2946.260689177906</v>
      </c>
      <c r="N50" s="7">
        <f t="shared" si="17"/>
        <v>2946.260689177906</v>
      </c>
      <c r="O50" s="7" t="str">
        <f t="shared" si="5"/>
        <v>c 454326.954,3044795.5137 1</v>
      </c>
      <c r="P50" s="7"/>
      <c r="Q50" s="10">
        <f t="shared" si="6"/>
        <v>44.999954049679047</v>
      </c>
      <c r="R50" s="7">
        <f t="shared" si="7"/>
        <v>199.45167975573864</v>
      </c>
      <c r="S50" s="5">
        <f t="shared" si="18"/>
        <v>38.838405685020049</v>
      </c>
      <c r="T50" s="2" t="str">
        <f t="shared" si="8"/>
        <v>-text 454326.954,3044795.5137 7 0 3#倒进</v>
      </c>
      <c r="U50" s="2" t="str">
        <f t="shared" si="9"/>
        <v>dt 454326.954,3044795.5137 5 0 3#倒进(454326.954,3044795.5137)*</v>
      </c>
      <c r="V50" s="12"/>
      <c r="W50" s="1" t="str">
        <f t="shared" si="10"/>
        <v>dt 454316.954,3044785.5137 5 0 R=10*T=0*S=0*α=0*</v>
      </c>
    </row>
    <row r="51" spans="1:23" s="158" customFormat="1" x14ac:dyDescent="0.2">
      <c r="A51" s="156">
        <f>A49+1</f>
        <v>41</v>
      </c>
      <c r="B51" s="156" t="str">
        <f t="shared" si="4"/>
        <v>IP41</v>
      </c>
      <c r="C51" s="159"/>
      <c r="D51" s="6">
        <v>50</v>
      </c>
      <c r="E51" s="236">
        <v>454484.0477</v>
      </c>
      <c r="F51" s="236">
        <v>3044672.6213000002</v>
      </c>
      <c r="G51" s="168">
        <v>2.4</v>
      </c>
      <c r="H51" s="7">
        <f t="shared" si="11"/>
        <v>71.498999999999995</v>
      </c>
      <c r="I51" s="7">
        <f t="shared" si="12"/>
        <v>1.7277209746354174</v>
      </c>
      <c r="J51" s="7">
        <f t="shared" si="13"/>
        <v>2.9949431085202214</v>
      </c>
      <c r="K51" s="7">
        <f t="shared" si="14"/>
        <v>199.45167975573864</v>
      </c>
      <c r="L51" s="7">
        <f t="shared" si="15"/>
        <v>3143.9846479590092</v>
      </c>
      <c r="M51" s="7">
        <f t="shared" si="16"/>
        <v>3145.4821195132695</v>
      </c>
      <c r="N51" s="7">
        <f t="shared" si="17"/>
        <v>3146.9795910675293</v>
      </c>
      <c r="O51" s="7" t="str">
        <f t="shared" si="5"/>
        <v>c 454484.0477,3044672.6213 1</v>
      </c>
      <c r="P51" s="7"/>
      <c r="Q51" s="10">
        <f t="shared" si="6"/>
        <v>197.72395878110322</v>
      </c>
      <c r="R51" s="7">
        <f t="shared" si="7"/>
        <v>25.470974832371486</v>
      </c>
      <c r="S51" s="5">
        <f t="shared" si="18"/>
        <v>197.72395878110322</v>
      </c>
      <c r="T51" s="2" t="str">
        <f t="shared" si="8"/>
        <v>-text 454484.0477,3044672.6213 7 0 IP41</v>
      </c>
      <c r="U51" s="2" t="str">
        <f t="shared" si="9"/>
        <v>dt 454484.0477,3044672.6213 5 0 IP41(454484.0477,3044672.6213)*</v>
      </c>
      <c r="V51" s="12"/>
      <c r="W51" s="1" t="str">
        <f t="shared" si="10"/>
        <v>dt 454474.0477,3044662.6213 5 0 R=2.4*T=1.727*S=2.994*α=71.499*</v>
      </c>
    </row>
    <row r="52" spans="1:23" s="158" customFormat="1" x14ac:dyDescent="0.2">
      <c r="A52" s="156"/>
      <c r="B52" s="156" t="str">
        <f t="shared" si="4"/>
        <v>3#倒出</v>
      </c>
      <c r="C52" s="157" t="s">
        <v>138</v>
      </c>
      <c r="D52" s="6">
        <v>51</v>
      </c>
      <c r="E52" s="236">
        <v>454474.95329999999</v>
      </c>
      <c r="F52" s="236">
        <v>3044646.9881000002</v>
      </c>
      <c r="G52" s="9">
        <v>10</v>
      </c>
      <c r="H52" s="7">
        <f t="shared" si="11"/>
        <v>0</v>
      </c>
      <c r="I52" s="7">
        <f t="shared" si="12"/>
        <v>0</v>
      </c>
      <c r="J52" s="7">
        <f t="shared" si="13"/>
        <v>0</v>
      </c>
      <c r="K52" s="7">
        <f t="shared" si="14"/>
        <v>27.198695807006903</v>
      </c>
      <c r="L52" s="7">
        <f t="shared" si="15"/>
        <v>3172.4505658999014</v>
      </c>
      <c r="M52" s="7">
        <f t="shared" si="16"/>
        <v>3172.4505658999014</v>
      </c>
      <c r="N52" s="7">
        <f t="shared" si="17"/>
        <v>3172.4505658999014</v>
      </c>
      <c r="O52" s="7" t="str">
        <f t="shared" si="5"/>
        <v>c 454474.9533,3044646.9881 1</v>
      </c>
      <c r="P52" s="7"/>
      <c r="Q52" s="10">
        <f t="shared" si="6"/>
        <v>27.198695807006903</v>
      </c>
      <c r="R52" s="7">
        <f t="shared" si="7"/>
        <v>42.578672769766477</v>
      </c>
      <c r="S52" s="5">
        <f t="shared" si="18"/>
        <v>25.470974832371486</v>
      </c>
      <c r="T52" s="2" t="str">
        <f t="shared" si="8"/>
        <v>-text 454474.9533,3044646.9881 7 0 3#倒出</v>
      </c>
      <c r="U52" s="2" t="str">
        <f t="shared" si="9"/>
        <v>dt 454474.9533,3044646.9881 5 0 3#倒出(454474.9533,3044646.9881)*</v>
      </c>
      <c r="V52" s="12"/>
      <c r="W52" s="1" t="str">
        <f t="shared" si="10"/>
        <v>dt 454464.9533,3044636.9881 5 0 R=10*T=0*S=0*α=0*</v>
      </c>
    </row>
    <row r="53" spans="1:23" x14ac:dyDescent="0.2">
      <c r="A53" s="2">
        <f>A51+1</f>
        <v>42</v>
      </c>
      <c r="B53" s="2" t="str">
        <f t="shared" si="4"/>
        <v>IP42</v>
      </c>
      <c r="C53" s="8"/>
      <c r="D53" s="6">
        <v>52</v>
      </c>
      <c r="E53" s="236">
        <v>454460.71620000002</v>
      </c>
      <c r="F53" s="236">
        <v>3044606.8602</v>
      </c>
      <c r="G53" s="6">
        <v>10</v>
      </c>
      <c r="H53" s="7">
        <f t="shared" si="11"/>
        <v>41.322000000000003</v>
      </c>
      <c r="I53" s="7">
        <f t="shared" si="12"/>
        <v>3.7709084286672416</v>
      </c>
      <c r="J53" s="7">
        <f t="shared" si="13"/>
        <v>7.2120495350909692</v>
      </c>
      <c r="K53" s="7">
        <f t="shared" si="14"/>
        <v>42.578672769766477</v>
      </c>
      <c r="L53" s="7">
        <f t="shared" si="15"/>
        <v>3211.2583302410007</v>
      </c>
      <c r="M53" s="7">
        <f t="shared" si="16"/>
        <v>3214.8643550085462</v>
      </c>
      <c r="N53" s="7">
        <f t="shared" si="17"/>
        <v>3218.4703797760917</v>
      </c>
      <c r="O53" s="7" t="str">
        <f t="shared" si="5"/>
        <v>c 454460.7162,3044606.8602 1</v>
      </c>
      <c r="P53" s="7"/>
      <c r="Q53" s="10">
        <f t="shared" si="6"/>
        <v>38.807764341099237</v>
      </c>
      <c r="R53" s="7">
        <f t="shared" si="7"/>
        <v>82.972270417929181</v>
      </c>
      <c r="S53" s="5">
        <f t="shared" si="18"/>
        <v>38.807764341099237</v>
      </c>
      <c r="T53" s="2" t="str">
        <f t="shared" si="8"/>
        <v>-text 454460.7162,3044606.8602 7 0 IP42</v>
      </c>
      <c r="U53" s="2" t="str">
        <f t="shared" si="9"/>
        <v>dt 454460.7162,3044606.8602 5 0 IP42(454460.7162,3044606.8602)*</v>
      </c>
      <c r="V53" s="12"/>
      <c r="W53" s="1" t="str">
        <f t="shared" si="10"/>
        <v>dt 454450.7162,3044596.8602 5 0 R=10*T=3.77*S=7.212*α=41.322*</v>
      </c>
    </row>
    <row r="54" spans="1:23" x14ac:dyDescent="0.2">
      <c r="A54" s="2">
        <f>A53+1</f>
        <v>43</v>
      </c>
      <c r="B54" s="2" t="str">
        <f t="shared" si="4"/>
        <v>IP43</v>
      </c>
      <c r="C54" s="98"/>
      <c r="D54" s="6">
        <v>53</v>
      </c>
      <c r="E54" s="236">
        <v>454492.91210000002</v>
      </c>
      <c r="F54" s="236">
        <v>3044526.3133</v>
      </c>
      <c r="G54" s="6">
        <v>10</v>
      </c>
      <c r="H54" s="7">
        <f t="shared" si="11"/>
        <v>52.103000000000002</v>
      </c>
      <c r="I54" s="7">
        <f t="shared" si="12"/>
        <v>4.8884574134357281</v>
      </c>
      <c r="J54" s="7">
        <f t="shared" si="13"/>
        <v>9.0936890016660552</v>
      </c>
      <c r="K54" s="7">
        <f t="shared" si="14"/>
        <v>86.743178846596422</v>
      </c>
      <c r="L54" s="7">
        <f t="shared" si="15"/>
        <v>3296.5541927805853</v>
      </c>
      <c r="M54" s="7">
        <f t="shared" si="16"/>
        <v>3301.1010372814185</v>
      </c>
      <c r="N54" s="7">
        <f t="shared" si="17"/>
        <v>3305.6478817822513</v>
      </c>
      <c r="O54" s="7" t="str">
        <f t="shared" si="5"/>
        <v>c 454492.9121,3044526.3133 1</v>
      </c>
      <c r="P54" s="7"/>
      <c r="Q54" s="10">
        <f t="shared" si="6"/>
        <v>81.854721433160691</v>
      </c>
      <c r="R54" s="7">
        <f t="shared" si="7"/>
        <v>9.9999779604142098</v>
      </c>
      <c r="S54" s="5">
        <f t="shared" si="18"/>
        <v>78.08381300449345</v>
      </c>
      <c r="T54" s="2" t="str">
        <f t="shared" si="8"/>
        <v>-text 454492.9121,3044526.3133 7 0 IP43</v>
      </c>
      <c r="U54" s="2" t="str">
        <f t="shared" si="9"/>
        <v>dt 454492.9121,3044526.3133 5 0 IP43(454492.9121,3044526.3133)*</v>
      </c>
      <c r="V54" s="12"/>
      <c r="W54" s="1" t="str">
        <f t="shared" si="10"/>
        <v>dt 454482.9121,3044516.3133 5 0 R=10*T=4.888*S=9.093*α=52.103*</v>
      </c>
    </row>
    <row r="55" spans="1:23" s="213" customFormat="1" x14ac:dyDescent="0.2">
      <c r="A55" s="205"/>
      <c r="B55" s="205" t="s">
        <v>189</v>
      </c>
      <c r="C55" s="206" t="s">
        <v>188</v>
      </c>
      <c r="D55" s="6">
        <v>54</v>
      </c>
      <c r="E55" s="236">
        <v>454507.21590000001</v>
      </c>
      <c r="F55" s="236">
        <v>3044522.1820999999</v>
      </c>
      <c r="G55" s="207">
        <v>10</v>
      </c>
      <c r="H55" s="7">
        <f t="shared" si="11"/>
        <v>0</v>
      </c>
      <c r="I55" s="7">
        <f t="shared" si="12"/>
        <v>0</v>
      </c>
      <c r="J55" s="7">
        <f t="shared" si="13"/>
        <v>0</v>
      </c>
      <c r="K55" s="7">
        <f t="shared" si="14"/>
        <v>14.888435373849937</v>
      </c>
      <c r="L55" s="209">
        <f t="shared" si="15"/>
        <v>3315.6478597426658</v>
      </c>
      <c r="M55" s="209">
        <f t="shared" si="16"/>
        <v>3315.6478597426658</v>
      </c>
      <c r="N55" s="209">
        <f t="shared" si="17"/>
        <v>3315.6478597426658</v>
      </c>
      <c r="O55" s="209" t="str">
        <f t="shared" si="5"/>
        <v>c 454507.2159,3044522.1821 1</v>
      </c>
      <c r="P55" s="209"/>
      <c r="Q55" s="210">
        <f t="shared" si="6"/>
        <v>14.888435373849937</v>
      </c>
      <c r="R55" s="209">
        <f t="shared" si="7"/>
        <v>228.92748576094067</v>
      </c>
      <c r="S55" s="211">
        <f t="shared" si="18"/>
        <v>9.9999779604142098</v>
      </c>
      <c r="T55" s="205" t="str">
        <f t="shared" si="8"/>
        <v>-text 454507.2159,3044522.1821 7 0 石河东节制闸</v>
      </c>
      <c r="U55" s="205" t="str">
        <f t="shared" si="9"/>
        <v>dt 454507.2159,3044522.1821 5 0 石河东节制闸(454507.2159,3044522.1821)*</v>
      </c>
      <c r="V55" s="212"/>
      <c r="W55" s="212" t="str">
        <f t="shared" si="10"/>
        <v>dt 454497.2159,3044512.1821 5 0 R=10*T=0*S=0*α=0*</v>
      </c>
    </row>
    <row r="56" spans="1:23" x14ac:dyDescent="0.2">
      <c r="A56" s="2">
        <f>A54+1</f>
        <v>44</v>
      </c>
      <c r="B56" s="2" t="str">
        <f t="shared" si="4"/>
        <v>IP44</v>
      </c>
      <c r="C56" s="8"/>
      <c r="D56" s="6">
        <v>55</v>
      </c>
      <c r="E56" s="236">
        <v>454727.15389999998</v>
      </c>
      <c r="F56" s="236">
        <v>3044458.6598999999</v>
      </c>
      <c r="G56" s="6">
        <v>10</v>
      </c>
      <c r="H56" s="7">
        <f t="shared" si="11"/>
        <v>56.485999999999997</v>
      </c>
      <c r="I56" s="7">
        <f t="shared" si="12"/>
        <v>5.3716194658659111</v>
      </c>
      <c r="J56" s="7">
        <f t="shared" si="13"/>
        <v>9.8586668128151693</v>
      </c>
      <c r="K56" s="7">
        <f t="shared" si="14"/>
        <v>228.92748576094067</v>
      </c>
      <c r="L56" s="7">
        <f t="shared" si="15"/>
        <v>3539.2037260377406</v>
      </c>
      <c r="M56" s="7">
        <f t="shared" si="16"/>
        <v>3544.1330594441483</v>
      </c>
      <c r="N56" s="7">
        <f t="shared" si="17"/>
        <v>3549.0623928505556</v>
      </c>
      <c r="O56" s="7" t="str">
        <f t="shared" si="5"/>
        <v>c 454727.1539,3044458.6599 1</v>
      </c>
      <c r="P56" s="7"/>
      <c r="Q56" s="10">
        <f t="shared" si="6"/>
        <v>223.55586629507476</v>
      </c>
      <c r="R56" s="7">
        <f t="shared" si="7"/>
        <v>-2.0888626493897888E-3</v>
      </c>
      <c r="S56" s="5">
        <f t="shared" si="18"/>
        <v>223.55586629507476</v>
      </c>
      <c r="T56" s="2" t="str">
        <f t="shared" si="8"/>
        <v>-text 454727.1539,3044458.6599 7 0 IP44</v>
      </c>
      <c r="U56" s="2" t="str">
        <f t="shared" si="9"/>
        <v>dt 454727.1539,3044458.6599 5 0 IP44(454727.1539,3044458.6599)*</v>
      </c>
      <c r="V56" s="12"/>
      <c r="W56" s="1" t="str">
        <f t="shared" si="10"/>
        <v>dt 454717.1539,3044448.6599 5 0 R=10*T=5.371*S=9.858*α=56.486*</v>
      </c>
    </row>
    <row r="57" spans="1:23" s="158" customFormat="1" x14ac:dyDescent="0.2">
      <c r="A57" s="156"/>
      <c r="B57" s="156" t="str">
        <f t="shared" si="4"/>
        <v>4#倒进</v>
      </c>
      <c r="C57" s="157" t="s">
        <v>144</v>
      </c>
      <c r="D57" s="6">
        <v>56</v>
      </c>
      <c r="E57" s="236">
        <v>454728.76</v>
      </c>
      <c r="F57" s="236">
        <v>3044453.5362</v>
      </c>
      <c r="G57" s="9">
        <v>10</v>
      </c>
      <c r="H57" s="7">
        <f t="shared" si="11"/>
        <v>0</v>
      </c>
      <c r="I57" s="7">
        <f t="shared" si="12"/>
        <v>0</v>
      </c>
      <c r="J57" s="7">
        <f t="shared" si="13"/>
        <v>0</v>
      </c>
      <c r="K57" s="7">
        <f t="shared" si="14"/>
        <v>5.3695306032165213</v>
      </c>
      <c r="L57" s="7">
        <f t="shared" si="15"/>
        <v>3549.0603039879065</v>
      </c>
      <c r="M57" s="7">
        <f t="shared" si="16"/>
        <v>3549.0603039879065</v>
      </c>
      <c r="N57" s="7">
        <f t="shared" si="17"/>
        <v>3549.0603039879065</v>
      </c>
      <c r="O57" s="7" t="str">
        <f t="shared" si="5"/>
        <v>c 454728.76,3044453.5362 1</v>
      </c>
      <c r="P57" s="7"/>
      <c r="Q57" s="10">
        <f t="shared" si="6"/>
        <v>5.3695306032165213</v>
      </c>
      <c r="R57" s="7" t="e">
        <f>#REF!-I57</f>
        <v>#REF!</v>
      </c>
      <c r="S57" s="5">
        <f t="shared" si="18"/>
        <v>-2.0888626493897888E-3</v>
      </c>
      <c r="T57" s="2" t="str">
        <f t="shared" si="8"/>
        <v>-text 454728.76,3044453.5362 7 0 4#倒进</v>
      </c>
      <c r="U57" s="2" t="str">
        <f t="shared" si="9"/>
        <v>dt 454728.76,3044453.5362 5 0 4#倒进(454728.76,3044453.5362)*</v>
      </c>
      <c r="V57" s="12"/>
      <c r="W57" s="1" t="str">
        <f t="shared" si="10"/>
        <v>dt 454718.76,3044443.5362 5 0 R=10*T=0*S=0*α=0*</v>
      </c>
    </row>
    <row r="58" spans="1:23" s="158" customFormat="1" x14ac:dyDescent="0.2">
      <c r="A58" s="156"/>
      <c r="B58" s="156" t="str">
        <f t="shared" si="4"/>
        <v>4#倒出</v>
      </c>
      <c r="C58" s="157" t="s">
        <v>140</v>
      </c>
      <c r="D58" s="6">
        <v>58</v>
      </c>
      <c r="E58" s="236">
        <v>454787.41330000001</v>
      </c>
      <c r="F58" s="236">
        <v>3044266.4259000001</v>
      </c>
      <c r="G58" s="9">
        <v>10</v>
      </c>
      <c r="H58" s="7">
        <f t="shared" si="11"/>
        <v>0</v>
      </c>
      <c r="I58" s="7">
        <f t="shared" si="12"/>
        <v>0</v>
      </c>
      <c r="J58" s="7">
        <f t="shared" si="13"/>
        <v>0</v>
      </c>
      <c r="K58" s="7">
        <f t="shared" si="14"/>
        <v>196.08792407212482</v>
      </c>
      <c r="L58" s="7">
        <f t="shared" ref="L58:L119" si="22">M58-J58/2</f>
        <v>3745.1482280600312</v>
      </c>
      <c r="M58" s="7">
        <f t="shared" ref="M58:M119" si="23">M57+K58-I58+J58/2+J57/2-I57</f>
        <v>3745.1482280600312</v>
      </c>
      <c r="N58" s="7">
        <f t="shared" ref="N58:N119" si="24">L58+J58</f>
        <v>3745.1482280600312</v>
      </c>
      <c r="O58" s="7" t="str">
        <f t="shared" si="5"/>
        <v>c 454787.4133,3044266.4259 1</v>
      </c>
      <c r="P58" s="7"/>
      <c r="Q58" s="10">
        <f t="shared" si="6"/>
        <v>196.08792407212482</v>
      </c>
      <c r="R58" s="7">
        <f t="shared" si="7"/>
        <v>60.968136250027854</v>
      </c>
      <c r="S58" s="5" t="e">
        <f>K58-#REF!-I58</f>
        <v>#REF!</v>
      </c>
      <c r="T58" s="2" t="str">
        <f t="shared" si="8"/>
        <v>-text 454787.4133,3044266.4259 7 0 4#倒出</v>
      </c>
      <c r="U58" s="2" t="str">
        <f t="shared" si="9"/>
        <v>dt 454787.4133,3044266.4259 5 0 4#倒出(454787.4133,3044266.4259)*</v>
      </c>
      <c r="V58" s="12"/>
      <c r="W58" s="1" t="str">
        <f t="shared" si="10"/>
        <v>dt 454777.4133,3044256.4259 5 0 R=10*T=0*S=0*α=0*</v>
      </c>
    </row>
    <row r="59" spans="1:23" x14ac:dyDescent="0.2">
      <c r="A59" s="2">
        <f>A56+1</f>
        <v>45</v>
      </c>
      <c r="B59" s="2" t="str">
        <f t="shared" si="4"/>
        <v>IP45</v>
      </c>
      <c r="C59" s="8"/>
      <c r="D59" s="6">
        <v>59</v>
      </c>
      <c r="E59" s="236">
        <v>454805.64990000002</v>
      </c>
      <c r="F59" s="236">
        <v>3044208.2491000001</v>
      </c>
      <c r="G59" s="6">
        <v>10</v>
      </c>
      <c r="H59" s="7">
        <f t="shared" si="11"/>
        <v>67.454999999999998</v>
      </c>
      <c r="I59" s="7">
        <f t="shared" si="12"/>
        <v>6.6761076232583916</v>
      </c>
      <c r="J59" s="7">
        <f t="shared" si="13"/>
        <v>11.77311846932775</v>
      </c>
      <c r="K59" s="7">
        <f t="shared" si="14"/>
        <v>60.968136250027854</v>
      </c>
      <c r="L59" s="7">
        <f t="shared" si="22"/>
        <v>3799.4402566868007</v>
      </c>
      <c r="M59" s="7">
        <f t="shared" si="23"/>
        <v>3805.3268159214645</v>
      </c>
      <c r="N59" s="7">
        <f t="shared" si="24"/>
        <v>3811.2133751561282</v>
      </c>
      <c r="O59" s="7" t="str">
        <f t="shared" si="5"/>
        <v>c 454805.6499,3044208.2491 1</v>
      </c>
      <c r="P59" s="7"/>
      <c r="Q59" s="10">
        <f t="shared" si="6"/>
        <v>54.292028626769465</v>
      </c>
      <c r="R59" s="7">
        <f t="shared" si="7"/>
        <v>20.248635129958075</v>
      </c>
      <c r="S59" s="5">
        <f t="shared" si="18"/>
        <v>54.292028626769465</v>
      </c>
      <c r="T59" s="2" t="str">
        <f t="shared" si="8"/>
        <v>-text 454805.6499,3044208.2491 7 0 IP45</v>
      </c>
      <c r="U59" s="2" t="str">
        <f t="shared" si="9"/>
        <v>dt 454805.6499,3044208.2491 5 0 IP45(454805.6499,3044208.2491)*</v>
      </c>
      <c r="V59" s="12"/>
      <c r="W59" s="1" t="str">
        <f t="shared" si="10"/>
        <v>dt 454795.6499,3044198.2491 5 0 R=10*T=6.676*S=11.773*α=67.455*</v>
      </c>
    </row>
    <row r="60" spans="1:23" x14ac:dyDescent="0.2">
      <c r="A60" s="2">
        <f>A59+1</f>
        <v>46</v>
      </c>
      <c r="B60" s="2" t="str">
        <f t="shared" si="4"/>
        <v>IP46</v>
      </c>
      <c r="C60" s="8"/>
      <c r="D60" s="6">
        <v>60</v>
      </c>
      <c r="E60" s="236">
        <v>454785.00910000002</v>
      </c>
      <c r="F60" s="236">
        <v>3044190.9604000002</v>
      </c>
      <c r="G60" s="6">
        <v>10</v>
      </c>
      <c r="H60" s="7">
        <f t="shared" si="11"/>
        <v>11.757</v>
      </c>
      <c r="I60" s="7">
        <f t="shared" si="12"/>
        <v>1.0296070898265286</v>
      </c>
      <c r="J60" s="7">
        <f t="shared" si="13"/>
        <v>2.0519836015697335</v>
      </c>
      <c r="K60" s="7">
        <f t="shared" si="14"/>
        <v>26.924742753216467</v>
      </c>
      <c r="L60" s="7">
        <f t="shared" si="22"/>
        <v>3830.4324031962597</v>
      </c>
      <c r="M60" s="7">
        <f t="shared" si="23"/>
        <v>3831.4583949970447</v>
      </c>
      <c r="N60" s="7">
        <f t="shared" si="24"/>
        <v>3832.4843867978293</v>
      </c>
      <c r="O60" s="7" t="str">
        <f t="shared" si="5"/>
        <v>c 454785.0091,3044190.9604 1</v>
      </c>
      <c r="P60" s="7"/>
      <c r="Q60" s="10">
        <f t="shared" si="6"/>
        <v>25.89513566338994</v>
      </c>
      <c r="R60" s="7">
        <f t="shared" si="7"/>
        <v>12.05271146492127</v>
      </c>
      <c r="S60" s="5">
        <f t="shared" si="18"/>
        <v>19.219028040131548</v>
      </c>
      <c r="T60" s="2" t="str">
        <f t="shared" si="8"/>
        <v>-text 454785.0091,3044190.9604 7 0 IP46</v>
      </c>
      <c r="U60" s="2" t="str">
        <f t="shared" si="9"/>
        <v>dt 454785.0091,3044190.9604 5 0 IP46(454785.0091,3044190.9604)*</v>
      </c>
      <c r="V60" s="12"/>
      <c r="W60" s="1" t="str">
        <f t="shared" si="10"/>
        <v>dt 454775.0091,3044180.9604 5 0 R=10*T=1.029*S=2.051*α=11.757*</v>
      </c>
    </row>
    <row r="61" spans="1:23" x14ac:dyDescent="0.2">
      <c r="A61" s="2">
        <f t="shared" ref="A61:A62" si="25">A60+1</f>
        <v>47</v>
      </c>
      <c r="B61" s="2" t="str">
        <f t="shared" si="4"/>
        <v>IP47</v>
      </c>
      <c r="C61" s="98"/>
      <c r="D61" s="6">
        <v>61</v>
      </c>
      <c r="E61" s="236">
        <v>454776.90210000001</v>
      </c>
      <c r="F61" s="236">
        <v>3044180.6927999998</v>
      </c>
      <c r="G61" s="6">
        <v>10</v>
      </c>
      <c r="H61" s="7">
        <f t="shared" si="11"/>
        <v>28.210999999999999</v>
      </c>
      <c r="I61" s="7">
        <f t="shared" si="12"/>
        <v>2.5128469051481699</v>
      </c>
      <c r="J61" s="7">
        <f t="shared" si="13"/>
        <v>4.9237483528012023</v>
      </c>
      <c r="K61" s="7">
        <f t="shared" si="14"/>
        <v>13.082318554747799</v>
      </c>
      <c r="L61" s="7">
        <f t="shared" si="22"/>
        <v>3842.0242513576027</v>
      </c>
      <c r="M61" s="7">
        <f t="shared" si="23"/>
        <v>3844.4861255340033</v>
      </c>
      <c r="N61" s="7">
        <f t="shared" si="24"/>
        <v>3846.947999710404</v>
      </c>
      <c r="O61" s="7" t="str">
        <f t="shared" si="5"/>
        <v>c 454776.9021,3044180.6928 1</v>
      </c>
      <c r="P61" s="7"/>
      <c r="Q61" s="10">
        <f t="shared" si="6"/>
        <v>10.569471649599629</v>
      </c>
      <c r="R61" s="7">
        <f t="shared" si="7"/>
        <v>26.249403000039724</v>
      </c>
      <c r="S61" s="5">
        <f t="shared" si="18"/>
        <v>9.5398645597731004</v>
      </c>
      <c r="T61" s="2" t="str">
        <f t="shared" si="8"/>
        <v>-text 454776.9021,3044180.6928 7 0 IP47</v>
      </c>
      <c r="U61" s="2" t="str">
        <f t="shared" si="9"/>
        <v>dt 454776.9021,3044180.6928 5 0 IP47(454776.9021,3044180.6928)*</v>
      </c>
      <c r="V61" s="12"/>
      <c r="W61" s="1" t="str">
        <f t="shared" si="10"/>
        <v>dt 454766.9021,3044170.6928 5 0 R=10*T=2.512*S=4.923*α=28.211*</v>
      </c>
    </row>
    <row r="62" spans="1:23" x14ac:dyDescent="0.2">
      <c r="A62" s="2">
        <f t="shared" si="25"/>
        <v>48</v>
      </c>
      <c r="B62" s="2" t="str">
        <f t="shared" si="4"/>
        <v>IP48</v>
      </c>
      <c r="C62" s="98"/>
      <c r="D62" s="6">
        <v>62</v>
      </c>
      <c r="E62" s="236">
        <v>454771.86700000003</v>
      </c>
      <c r="F62" s="236">
        <v>3044152.3747</v>
      </c>
      <c r="G62" s="6">
        <v>10</v>
      </c>
      <c r="H62" s="7">
        <f t="shared" si="11"/>
        <v>59.933999999999997</v>
      </c>
      <c r="I62" s="7">
        <f t="shared" si="12"/>
        <v>5.7658257951361858</v>
      </c>
      <c r="J62" s="7">
        <f t="shared" si="13"/>
        <v>10.460456338902814</v>
      </c>
      <c r="K62" s="7">
        <f t="shared" si="14"/>
        <v>28.762249905187893</v>
      </c>
      <c r="L62" s="7">
        <f t="shared" si="22"/>
        <v>3867.4315769153072</v>
      </c>
      <c r="M62" s="7">
        <f t="shared" si="23"/>
        <v>3872.6618050847587</v>
      </c>
      <c r="N62" s="7">
        <f t="shared" si="24"/>
        <v>3877.8920332542102</v>
      </c>
      <c r="O62" s="7" t="str">
        <f t="shared" si="5"/>
        <v>c 454771.867,3044152.3747 1</v>
      </c>
      <c r="P62" s="7"/>
      <c r="Q62" s="10">
        <f t="shared" si="6"/>
        <v>22.996424110051706</v>
      </c>
      <c r="R62" s="7">
        <f t="shared" si="7"/>
        <v>16.894225111355098</v>
      </c>
      <c r="S62" s="5">
        <f t="shared" si="18"/>
        <v>20.48357720490354</v>
      </c>
      <c r="T62" s="2" t="str">
        <f t="shared" si="8"/>
        <v>-text 454771.867,3044152.3747 7 0 IP48</v>
      </c>
      <c r="U62" s="2" t="str">
        <f t="shared" si="9"/>
        <v>dt 454771.867,3044152.3747 5 0 IP48(454771.867,3044152.3747)*</v>
      </c>
      <c r="V62" s="12"/>
      <c r="W62" s="1" t="str">
        <f t="shared" si="10"/>
        <v>dt 454761.867,3044142.3747 5 0 R=10*T=5.765*S=10.46*α=59.934*</v>
      </c>
    </row>
    <row r="63" spans="1:23" s="158" customFormat="1" x14ac:dyDescent="0.2">
      <c r="A63" s="156"/>
      <c r="B63" s="156" t="str">
        <f t="shared" si="4"/>
        <v>1#隧进</v>
      </c>
      <c r="C63" s="157" t="s">
        <v>141</v>
      </c>
      <c r="D63" s="6">
        <v>63</v>
      </c>
      <c r="E63" s="236">
        <v>454789.18800000002</v>
      </c>
      <c r="F63" s="236">
        <v>3044137.7644000002</v>
      </c>
      <c r="G63" s="9">
        <v>10</v>
      </c>
      <c r="H63" s="7">
        <f t="shared" si="11"/>
        <v>0</v>
      </c>
      <c r="I63" s="7">
        <f t="shared" si="12"/>
        <v>0</v>
      </c>
      <c r="J63" s="7">
        <f t="shared" si="13"/>
        <v>0</v>
      </c>
      <c r="K63" s="7">
        <f t="shared" si="14"/>
        <v>22.660050906491286</v>
      </c>
      <c r="L63" s="7">
        <f t="shared" si="22"/>
        <v>3894.7862583655656</v>
      </c>
      <c r="M63" s="7">
        <f t="shared" si="23"/>
        <v>3894.7862583655656</v>
      </c>
      <c r="N63" s="7">
        <f t="shared" si="24"/>
        <v>3894.7862583655656</v>
      </c>
      <c r="O63" s="7" t="str">
        <f t="shared" si="5"/>
        <v>c 454789.188,3044137.7644 1</v>
      </c>
      <c r="P63" s="7"/>
      <c r="Q63" s="10">
        <f t="shared" si="6"/>
        <v>22.660050906491286</v>
      </c>
      <c r="R63" s="7">
        <f t="shared" si="7"/>
        <v>219.87987658001882</v>
      </c>
      <c r="S63" s="5">
        <f t="shared" si="18"/>
        <v>16.894225111355098</v>
      </c>
      <c r="T63" s="2" t="str">
        <f t="shared" si="8"/>
        <v>-text 454789.188,3044137.7644 7 0 1#隧进</v>
      </c>
      <c r="U63" s="2" t="str">
        <f t="shared" si="9"/>
        <v>dt 454789.188,3044137.7644 5 0 1#隧进(454789.188,3044137.7644)*</v>
      </c>
      <c r="V63" s="12"/>
      <c r="W63" s="1" t="str">
        <f t="shared" si="10"/>
        <v>dt 454779.188,3044127.7644 5 0 R=10*T=0*S=0*α=0*</v>
      </c>
    </row>
    <row r="64" spans="1:23" s="158" customFormat="1" x14ac:dyDescent="0.2">
      <c r="A64" s="156"/>
      <c r="B64" s="156" t="str">
        <f t="shared" si="4"/>
        <v>1#隧出</v>
      </c>
      <c r="C64" s="157" t="s">
        <v>142</v>
      </c>
      <c r="D64" s="6">
        <v>64</v>
      </c>
      <c r="E64" s="236">
        <v>454957.26059999998</v>
      </c>
      <c r="F64" s="236">
        <v>3043995.9942999999</v>
      </c>
      <c r="G64" s="9">
        <v>10</v>
      </c>
      <c r="H64" s="7">
        <f t="shared" si="11"/>
        <v>0</v>
      </c>
      <c r="I64" s="7">
        <f t="shared" si="12"/>
        <v>0</v>
      </c>
      <c r="J64" s="7">
        <f t="shared" si="13"/>
        <v>0</v>
      </c>
      <c r="K64" s="7">
        <f t="shared" si="14"/>
        <v>219.87987658001882</v>
      </c>
      <c r="L64" s="7">
        <f t="shared" si="22"/>
        <v>4114.6661349455844</v>
      </c>
      <c r="M64" s="7">
        <f t="shared" si="23"/>
        <v>4114.6661349455844</v>
      </c>
      <c r="N64" s="7">
        <f t="shared" si="24"/>
        <v>4114.6661349455844</v>
      </c>
      <c r="O64" s="7" t="str">
        <f t="shared" si="5"/>
        <v>c 454957.2606,3043995.9943 1</v>
      </c>
      <c r="P64" s="7"/>
      <c r="Q64" s="10">
        <f t="shared" si="6"/>
        <v>219.87987658001882</v>
      </c>
      <c r="R64" s="7">
        <f t="shared" si="7"/>
        <v>61.79129041891084</v>
      </c>
      <c r="S64" s="5">
        <f t="shared" si="18"/>
        <v>219.87987658001882</v>
      </c>
      <c r="T64" s="2" t="str">
        <f t="shared" si="8"/>
        <v>-text 454957.2606,3043995.9943 7 0 1#隧出</v>
      </c>
      <c r="U64" s="2" t="str">
        <f t="shared" si="9"/>
        <v>dt 454957.2606,3043995.9943 5 0 1#隧出(454957.2606,3043995.9943)*</v>
      </c>
      <c r="V64" s="12"/>
      <c r="W64" s="1" t="str">
        <f t="shared" si="10"/>
        <v>dt 454947.2606,3043985.9943 5 0 R=10*T=0*S=0*α=0*</v>
      </c>
    </row>
    <row r="65" spans="1:23" x14ac:dyDescent="0.2">
      <c r="A65" s="2">
        <f>A62+1</f>
        <v>49</v>
      </c>
      <c r="B65" s="2" t="str">
        <f t="shared" si="4"/>
        <v>IP49</v>
      </c>
      <c r="C65" s="8"/>
      <c r="D65" s="6">
        <v>65</v>
      </c>
      <c r="E65" s="236">
        <v>455004.49290000001</v>
      </c>
      <c r="F65" s="236">
        <v>3043956.1537000001</v>
      </c>
      <c r="G65" s="6">
        <v>10</v>
      </c>
      <c r="H65" s="7">
        <f t="shared" si="11"/>
        <v>5.3310000000000004</v>
      </c>
      <c r="I65" s="7">
        <f t="shared" si="12"/>
        <v>0.46555342220819795</v>
      </c>
      <c r="J65" s="7">
        <f t="shared" si="13"/>
        <v>0.93043502423817714</v>
      </c>
      <c r="K65" s="7">
        <f t="shared" si="14"/>
        <v>61.79129041891084</v>
      </c>
      <c r="L65" s="7">
        <f t="shared" si="22"/>
        <v>4175.9918719422867</v>
      </c>
      <c r="M65" s="7">
        <f t="shared" si="23"/>
        <v>4176.4570894544058</v>
      </c>
      <c r="N65" s="7">
        <f t="shared" si="24"/>
        <v>4176.922306966525</v>
      </c>
      <c r="O65" s="7" t="str">
        <f t="shared" si="5"/>
        <v>c 455004.4929,3043956.1537 1</v>
      </c>
      <c r="P65" s="7"/>
      <c r="Q65" s="10">
        <f t="shared" si="6"/>
        <v>61.325736996702645</v>
      </c>
      <c r="R65" s="7">
        <f t="shared" si="7"/>
        <v>-3.3161490123817527E-4</v>
      </c>
      <c r="S65" s="5">
        <f t="shared" si="18"/>
        <v>61.325736996702645</v>
      </c>
      <c r="T65" s="2" t="str">
        <f t="shared" si="8"/>
        <v>-text 455004.4929,3043956.1537 7 0 IP49</v>
      </c>
      <c r="U65" s="2" t="str">
        <f t="shared" si="9"/>
        <v>dt 455004.4929,3043956.1537 5 0 IP49(455004.4929,3043956.1537)*</v>
      </c>
      <c r="V65" s="12"/>
      <c r="W65" s="1" t="str">
        <f t="shared" si="10"/>
        <v>dt 454994.4929,3043946.1537 5 0 R=10*T=0.465*S=0.93*α=5.331*</v>
      </c>
    </row>
    <row r="66" spans="1:23" s="158" customFormat="1" x14ac:dyDescent="0.2">
      <c r="A66" s="156"/>
      <c r="B66" s="156" t="str">
        <f t="shared" si="4"/>
        <v>5#倒进</v>
      </c>
      <c r="C66" s="157" t="s">
        <v>143</v>
      </c>
      <c r="D66" s="6">
        <v>66</v>
      </c>
      <c r="E66" s="236">
        <v>455004.81910000002</v>
      </c>
      <c r="F66" s="236">
        <v>3043955.8220000002</v>
      </c>
      <c r="G66" s="9">
        <v>10</v>
      </c>
      <c r="H66" s="7">
        <f t="shared" si="11"/>
        <v>4.0000000000000001E-3</v>
      </c>
      <c r="I66" s="7">
        <f t="shared" si="12"/>
        <v>3.490658505406413E-4</v>
      </c>
      <c r="J66" s="7">
        <f t="shared" si="13"/>
        <v>6.9813170079773186E-4</v>
      </c>
      <c r="K66" s="7">
        <f t="shared" si="14"/>
        <v>0.46522180730695978</v>
      </c>
      <c r="L66" s="7">
        <f t="shared" si="22"/>
        <v>4176.9216262857726</v>
      </c>
      <c r="M66" s="7">
        <f t="shared" si="23"/>
        <v>4176.9219753516227</v>
      </c>
      <c r="N66" s="7">
        <f t="shared" si="24"/>
        <v>4176.9223244174736</v>
      </c>
      <c r="O66" s="7" t="str">
        <f t="shared" ref="O66:O119" si="26">"c "&amp;E66&amp;","&amp;F66&amp;" 1"</f>
        <v>c 455004.8191,3043955.822 1</v>
      </c>
      <c r="P66" s="7"/>
      <c r="Q66" s="10">
        <f t="shared" ref="Q66:Q119" si="27">K66-I66</f>
        <v>0.46487274145641916</v>
      </c>
      <c r="R66" s="7">
        <f t="shared" ref="R66:R119" si="28">K67-I66</f>
        <v>164.92044963491045</v>
      </c>
      <c r="S66" s="5">
        <f t="shared" ref="S66:S119" si="29">K66-I65-I66</f>
        <v>-6.8068075177881663E-4</v>
      </c>
      <c r="T66" s="2" t="str">
        <f t="shared" ref="T66:T119" si="30">"-text"&amp;" "&amp;E66&amp;","&amp;F66&amp;" "&amp;"7"&amp;" "&amp;"0"&amp;" "&amp;B66</f>
        <v>-text 455004.8191,3043955.822 7 0 5#倒进</v>
      </c>
      <c r="U66" s="2" t="str">
        <f t="shared" ref="U66:U119" si="31">"dt"&amp;" "&amp;E66&amp;","&amp;F66&amp;" "&amp;"5"&amp;" "&amp;"0"&amp;" "&amp;B66&amp;"("&amp;E66&amp;","&amp;F66&amp;")*"</f>
        <v>dt 455004.8191,3043955.822 5 0 5#倒进(455004.8191,3043955.822)*</v>
      </c>
      <c r="V66" s="12"/>
      <c r="W66" s="1" t="str">
        <f t="shared" ref="W66:W119" si="32">"dt"&amp;" "&amp;E66-10&amp;","&amp;F66-10&amp;" "&amp;"5 "&amp;"0 "&amp;"R="&amp;G66&amp;"*"&amp;"T="&amp;INT(I66*1000)/1000&amp;"*"&amp;"S="&amp;INT(J66*1000)/1000&amp;"*"&amp;"α="&amp;INT(H66*1000)/1000&amp;"*"</f>
        <v>dt 454994.8191,3043945.822 5 0 R=10*T=0*S=0*α=0.004*</v>
      </c>
    </row>
    <row r="67" spans="1:23" s="158" customFormat="1" x14ac:dyDescent="0.2">
      <c r="A67" s="156">
        <f>A65+1</f>
        <v>50</v>
      </c>
      <c r="B67" s="156" t="str">
        <f t="shared" si="4"/>
        <v>IP50</v>
      </c>
      <c r="C67" s="159"/>
      <c r="D67" s="6">
        <v>67</v>
      </c>
      <c r="E67" s="236">
        <v>455120.46399999998</v>
      </c>
      <c r="F67" s="236">
        <v>3043838.2417000001</v>
      </c>
      <c r="G67" s="168">
        <v>2.4</v>
      </c>
      <c r="H67" s="7">
        <f t="shared" si="11"/>
        <v>34.020000000000003</v>
      </c>
      <c r="I67" s="7">
        <f t="shared" si="12"/>
        <v>0.73421169211331672</v>
      </c>
      <c r="J67" s="7">
        <f t="shared" si="13"/>
        <v>1.4250264276683302</v>
      </c>
      <c r="K67" s="7">
        <f t="shared" si="14"/>
        <v>164.920798700761</v>
      </c>
      <c r="L67" s="7">
        <f t="shared" si="22"/>
        <v>4341.1085623602694</v>
      </c>
      <c r="M67" s="7">
        <f t="shared" si="23"/>
        <v>4341.8210755741038</v>
      </c>
      <c r="N67" s="7">
        <f t="shared" si="24"/>
        <v>4342.5335887879373</v>
      </c>
      <c r="O67" s="7" t="str">
        <f t="shared" si="26"/>
        <v>c 455120.464,3043838.2417 1</v>
      </c>
      <c r="P67" s="7"/>
      <c r="Q67" s="10">
        <f t="shared" si="27"/>
        <v>164.18658700864768</v>
      </c>
      <c r="R67" s="7">
        <f t="shared" si="28"/>
        <v>214.43594550272633</v>
      </c>
      <c r="S67" s="5">
        <f t="shared" si="29"/>
        <v>164.18623794279713</v>
      </c>
      <c r="T67" s="2" t="str">
        <f t="shared" si="30"/>
        <v>-text 455120.464,3043838.2417 7 0 IP50</v>
      </c>
      <c r="U67" s="2" t="str">
        <f t="shared" si="31"/>
        <v>dt 455120.464,3043838.2417 5 0 IP50(455120.464,3043838.2417)*</v>
      </c>
      <c r="V67" s="12"/>
      <c r="W67" s="1" t="str">
        <f t="shared" si="32"/>
        <v>dt 455110.464,3043828.2417 5 0 R=2.4*T=0.734*S=1.425*α=34.02*</v>
      </c>
    </row>
    <row r="68" spans="1:23" s="158" customFormat="1" x14ac:dyDescent="0.2">
      <c r="A68" s="156">
        <f>A67+1</f>
        <v>51</v>
      </c>
      <c r="B68" s="156" t="str">
        <f t="shared" si="4"/>
        <v>IP51</v>
      </c>
      <c r="C68" s="159"/>
      <c r="D68" s="6">
        <v>68</v>
      </c>
      <c r="E68" s="236">
        <v>455159.69189999998</v>
      </c>
      <c r="F68" s="236">
        <v>3043626.6776000001</v>
      </c>
      <c r="G68" s="168">
        <v>2.4</v>
      </c>
      <c r="H68" s="7">
        <f t="shared" ref="H68:H119" si="33">ROUND(IF((2*SQRT((E67-E68)^2+(F67-F68)^2)*SQRT((E69-E68)^2+(F69-F68)^2))=0,0,180-ACOS(((E67-E68)^2+(F67-F68)^2+(E69-E68)^2+(F69-F68)^2-(E69-E67)^2-(F69-F67)^2)/(2*SQRT((E67-E68)^2+(F67-F68)^2)*SQRT((E69-E68)^2+(F69-F68)^2)))/PI()*180),3)</f>
        <v>53.015999999999998</v>
      </c>
      <c r="I68" s="7">
        <f t="shared" ref="I68:I119" si="34">G68*TAN(PI()/180*H68/2)</f>
        <v>1.1970142928472045</v>
      </c>
      <c r="J68" s="7">
        <f t="shared" ref="J68:J119" si="35">H68*PI()*G68/180</f>
        <v>2.2207290149695531</v>
      </c>
      <c r="K68" s="7">
        <f t="shared" ref="K68:K119" si="36">SQRT((E68-E67)^2+(F68-F67)^2)</f>
        <v>215.17015719483965</v>
      </c>
      <c r="L68" s="7">
        <f t="shared" si="22"/>
        <v>4555.7725199978167</v>
      </c>
      <c r="M68" s="7">
        <f t="shared" si="23"/>
        <v>4556.8828845053013</v>
      </c>
      <c r="N68" s="7">
        <f t="shared" si="24"/>
        <v>4557.9932490127867</v>
      </c>
      <c r="O68" s="7" t="str">
        <f t="shared" si="26"/>
        <v>c 455159.6919,3043626.6776 1</v>
      </c>
      <c r="P68" s="7"/>
      <c r="Q68" s="10">
        <f t="shared" si="27"/>
        <v>213.97314290199245</v>
      </c>
      <c r="R68" s="7">
        <f>K70-I68</f>
        <v>10.64489396645418</v>
      </c>
      <c r="S68" s="5">
        <f t="shared" si="29"/>
        <v>213.23893120987913</v>
      </c>
      <c r="T68" s="2" t="str">
        <f t="shared" si="30"/>
        <v>-text 455159.6919,3043626.6776 7 0 IP51</v>
      </c>
      <c r="U68" s="2" t="str">
        <f t="shared" si="31"/>
        <v>dt 455159.6919,3043626.6776 5 0 IP51(455159.6919,3043626.6776)*</v>
      </c>
      <c r="V68" s="12"/>
      <c r="W68" s="1" t="str">
        <f t="shared" si="32"/>
        <v>dt 455149.6919,3043616.6776 5 0 R=2.4*T=1.197*S=2.22*α=53.016*</v>
      </c>
    </row>
    <row r="69" spans="1:23" s="158" customFormat="1" x14ac:dyDescent="0.2">
      <c r="A69" s="156"/>
      <c r="B69" s="156" t="str">
        <f t="shared" si="4"/>
        <v>5#倒出</v>
      </c>
      <c r="C69" s="157" t="s">
        <v>145</v>
      </c>
      <c r="D69" s="6"/>
      <c r="E69" s="236">
        <v>455149.07789999997</v>
      </c>
      <c r="F69" s="236">
        <v>3043615.0992999999</v>
      </c>
      <c r="G69" s="9">
        <v>10</v>
      </c>
      <c r="H69" s="7">
        <f t="shared" si="33"/>
        <v>0</v>
      </c>
      <c r="I69" s="7">
        <f t="shared" si="34"/>
        <v>0</v>
      </c>
      <c r="J69" s="7">
        <f t="shared" si="35"/>
        <v>0</v>
      </c>
      <c r="K69" s="7">
        <f t="shared" si="36"/>
        <v>15.707132994086757</v>
      </c>
      <c r="L69" s="7">
        <f t="shared" ref="L69:L72" si="37">M69-J69/2</f>
        <v>4572.5033677140245</v>
      </c>
      <c r="M69" s="7">
        <f t="shared" ref="M69:M72" si="38">M68+K69-I69+J69/2+J68/2-I68</f>
        <v>4572.5033677140245</v>
      </c>
      <c r="N69" s="7">
        <f t="shared" ref="N69:N72" si="39">L69+J69</f>
        <v>4572.5033677140245</v>
      </c>
      <c r="O69" s="7" t="str">
        <f t="shared" ref="O69:O72" si="40">"c "&amp;E69&amp;","&amp;F69&amp;" 1"</f>
        <v>c 455149.0779,3043615.0993 1</v>
      </c>
      <c r="P69" s="7"/>
      <c r="Q69" s="10">
        <f t="shared" ref="Q69:Q72" si="41">K69-I69</f>
        <v>15.707132994086757</v>
      </c>
      <c r="R69" s="7">
        <f t="shared" ref="R69:R72" si="42">K71-I69</f>
        <v>42.856540515922731</v>
      </c>
      <c r="S69" s="5">
        <f t="shared" ref="S69:S72" si="43">K69-I68-I69</f>
        <v>14.510118701239552</v>
      </c>
      <c r="T69" s="2" t="str">
        <f t="shared" ref="T69:T72" si="44">"-text"&amp;" "&amp;E69&amp;","&amp;F69&amp;" "&amp;"7"&amp;" "&amp;"0"&amp;" "&amp;B69</f>
        <v>-text 455149.0779,3043615.0993 7 0 5#倒出</v>
      </c>
      <c r="U69" s="2" t="str">
        <f t="shared" ref="U69:U72" si="45">"dt"&amp;" "&amp;E69&amp;","&amp;F69&amp;" "&amp;"5"&amp;" "&amp;"0"&amp;" "&amp;B69&amp;"("&amp;E69&amp;","&amp;F69&amp;")*"</f>
        <v>dt 455149.0779,3043615.0993 5 0 5#倒出(455149.0779,3043615.0993)*</v>
      </c>
      <c r="V69" s="12"/>
      <c r="W69" s="1" t="str">
        <f t="shared" ref="W69:W72" si="46">"dt"&amp;" "&amp;E69-10&amp;","&amp;F69-10&amp;" "&amp;"5 "&amp;"0 "&amp;"R="&amp;G69&amp;"*"&amp;"T="&amp;INT(I69*1000)/1000&amp;"*"&amp;"S="&amp;INT(J69*1000)/1000&amp;"*"&amp;"α="&amp;INT(H69*1000)/1000&amp;"*"</f>
        <v>dt 455139.0779,3043605.0993 5 0 R=10*T=0*S=0*α=0*</v>
      </c>
    </row>
    <row r="70" spans="1:23" s="158" customFormat="1" x14ac:dyDescent="0.2">
      <c r="A70" s="2">
        <f>A68+1</f>
        <v>52</v>
      </c>
      <c r="B70" s="2" t="str">
        <f t="shared" ref="B70:B73" si="47">IF(C70=0,"IP"&amp;A70,C70)</f>
        <v>IP52</v>
      </c>
      <c r="C70" s="46"/>
      <c r="D70" s="6">
        <v>69</v>
      </c>
      <c r="E70" s="236">
        <v>455141.07579999999</v>
      </c>
      <c r="F70" s="236">
        <v>3043606.3701999998</v>
      </c>
      <c r="G70" s="6">
        <v>10</v>
      </c>
      <c r="H70" s="7">
        <f t="shared" si="33"/>
        <v>20.872</v>
      </c>
      <c r="I70" s="7">
        <f t="shared" si="34"/>
        <v>1.8418390292834914</v>
      </c>
      <c r="J70" s="7">
        <f t="shared" si="35"/>
        <v>3.6428512147625649</v>
      </c>
      <c r="K70" s="7">
        <f t="shared" si="36"/>
        <v>11.841908259301384</v>
      </c>
      <c r="L70" s="7">
        <f t="shared" si="37"/>
        <v>4582.5034369440427</v>
      </c>
      <c r="M70" s="7">
        <f t="shared" si="38"/>
        <v>4584.3248625514243</v>
      </c>
      <c r="N70" s="7">
        <f t="shared" si="39"/>
        <v>4586.146288158805</v>
      </c>
      <c r="O70" s="7" t="str">
        <f t="shared" si="40"/>
        <v>c 455141.0758,3043606.3702 1</v>
      </c>
      <c r="P70" s="7"/>
      <c r="Q70" s="10">
        <f t="shared" si="41"/>
        <v>10.000069230017893</v>
      </c>
      <c r="R70" s="7">
        <f t="shared" si="42"/>
        <v>36.594034208361855</v>
      </c>
      <c r="S70" s="5">
        <f t="shared" si="43"/>
        <v>10.000069230017893</v>
      </c>
      <c r="T70" s="2" t="str">
        <f t="shared" si="44"/>
        <v>-text 455141.0758,3043606.3702 7 0 IP52</v>
      </c>
      <c r="U70" s="2" t="str">
        <f t="shared" si="45"/>
        <v>dt 455141.0758,3043606.3702 5 0 IP52(455141.0758,3043606.3702)*</v>
      </c>
      <c r="V70" s="12"/>
      <c r="W70" s="1" t="str">
        <f t="shared" si="46"/>
        <v>dt 455131.0758,3043596.3702 5 0 R=10*T=1.841*S=3.642*α=20.872*</v>
      </c>
    </row>
    <row r="71" spans="1:23" s="158" customFormat="1" x14ac:dyDescent="0.2">
      <c r="A71" s="2">
        <f t="shared" ref="A71" si="48">A70+1</f>
        <v>53</v>
      </c>
      <c r="B71" s="2" t="str">
        <f t="shared" si="47"/>
        <v>IP53</v>
      </c>
      <c r="C71" s="46"/>
      <c r="D71" s="6">
        <v>70</v>
      </c>
      <c r="E71" s="236">
        <v>455102.76079999999</v>
      </c>
      <c r="F71" s="236">
        <v>3043587.1701000002</v>
      </c>
      <c r="G71" s="6">
        <v>10</v>
      </c>
      <c r="H71" s="7">
        <f t="shared" si="33"/>
        <v>57.258000000000003</v>
      </c>
      <c r="I71" s="7">
        <f t="shared" si="34"/>
        <v>5.4587448413626047</v>
      </c>
      <c r="J71" s="7">
        <f t="shared" si="35"/>
        <v>9.9934062310691321</v>
      </c>
      <c r="K71" s="7">
        <f t="shared" si="36"/>
        <v>42.856540515922731</v>
      </c>
      <c r="L71" s="7">
        <f t="shared" si="37"/>
        <v>4621.7022448040825</v>
      </c>
      <c r="M71" s="7">
        <f t="shared" si="38"/>
        <v>4626.6989479196172</v>
      </c>
      <c r="N71" s="7">
        <f t="shared" si="39"/>
        <v>4631.695651035152</v>
      </c>
      <c r="O71" s="7" t="str">
        <f t="shared" si="40"/>
        <v>c 455102.7608,3043587.1701 1</v>
      </c>
      <c r="P71" s="7"/>
      <c r="Q71" s="10">
        <f t="shared" si="41"/>
        <v>37.397795674560129</v>
      </c>
      <c r="R71" s="7">
        <f t="shared" si="42"/>
        <v>32.107866049211289</v>
      </c>
      <c r="S71" s="5">
        <f t="shared" si="43"/>
        <v>35.555956645276638</v>
      </c>
      <c r="T71" s="2" t="str">
        <f t="shared" si="44"/>
        <v>-text 455102.7608,3043587.1701 7 0 IP53</v>
      </c>
      <c r="U71" s="2" t="str">
        <f t="shared" si="45"/>
        <v>dt 455102.7608,3043587.1701 5 0 IP53(455102.7608,3043587.1701)*</v>
      </c>
      <c r="V71" s="12"/>
      <c r="W71" s="1" t="str">
        <f t="shared" si="46"/>
        <v>dt 455092.7608,3043577.1701 5 0 R=10*T=5.458*S=9.993*α=57.258*</v>
      </c>
    </row>
    <row r="72" spans="1:23" x14ac:dyDescent="0.2">
      <c r="A72" s="2">
        <f>A71+1</f>
        <v>54</v>
      </c>
      <c r="B72" s="2" t="str">
        <f t="shared" si="47"/>
        <v>IP54</v>
      </c>
      <c r="C72" s="8"/>
      <c r="D72" s="6">
        <v>72</v>
      </c>
      <c r="E72" s="236">
        <v>455098.65919999999</v>
      </c>
      <c r="F72" s="236">
        <v>3043548.9537</v>
      </c>
      <c r="G72" s="6">
        <v>10</v>
      </c>
      <c r="H72" s="7">
        <f t="shared" si="33"/>
        <v>41.024000000000001</v>
      </c>
      <c r="I72" s="7">
        <f t="shared" si="34"/>
        <v>3.7412341519054708</v>
      </c>
      <c r="J72" s="7">
        <f t="shared" si="35"/>
        <v>7.1600387233815379</v>
      </c>
      <c r="K72" s="7">
        <f t="shared" si="36"/>
        <v>38.435873237645346</v>
      </c>
      <c r="L72" s="7">
        <f t="shared" si="37"/>
        <v>4660.931545279529</v>
      </c>
      <c r="M72" s="7">
        <f t="shared" si="38"/>
        <v>4664.5115646412196</v>
      </c>
      <c r="N72" s="7">
        <f t="shared" si="39"/>
        <v>4668.0915840029102</v>
      </c>
      <c r="O72" s="7" t="str">
        <f t="shared" si="40"/>
        <v>c 455098.6592,3043548.9537 1</v>
      </c>
      <c r="P72" s="7"/>
      <c r="Q72" s="10">
        <f t="shared" si="41"/>
        <v>34.694639085739873</v>
      </c>
      <c r="R72" s="7">
        <f t="shared" si="42"/>
        <v>18.545367500468121</v>
      </c>
      <c r="S72" s="5">
        <f t="shared" si="43"/>
        <v>29.235894244377274</v>
      </c>
      <c r="T72" s="2" t="str">
        <f t="shared" si="44"/>
        <v>-text 455098.6592,3043548.9537 7 0 IP54</v>
      </c>
      <c r="U72" s="2" t="str">
        <f t="shared" si="45"/>
        <v>dt 455098.6592,3043548.9537 5 0 IP54(455098.6592,3043548.9537)*</v>
      </c>
      <c r="V72" s="12"/>
      <c r="W72" s="1" t="str">
        <f t="shared" si="46"/>
        <v>dt 455088.6592,3043538.9537 5 0 R=10*T=3.741*S=7.16*α=41.024*</v>
      </c>
    </row>
    <row r="73" spans="1:23" x14ac:dyDescent="0.2">
      <c r="A73" s="2">
        <f>A72+1</f>
        <v>55</v>
      </c>
      <c r="B73" s="2" t="str">
        <f t="shared" si="47"/>
        <v>IP55</v>
      </c>
      <c r="C73" s="8"/>
      <c r="D73" s="6">
        <v>73</v>
      </c>
      <c r="E73" s="236">
        <v>455071.1176</v>
      </c>
      <c r="F73" s="236">
        <v>3043523.4054999999</v>
      </c>
      <c r="G73" s="6">
        <v>10</v>
      </c>
      <c r="H73" s="7">
        <f t="shared" si="33"/>
        <v>54.869</v>
      </c>
      <c r="I73" s="7">
        <f t="shared" si="34"/>
        <v>5.1911493012786245</v>
      </c>
      <c r="J73" s="7">
        <f t="shared" si="35"/>
        <v>9.5764470727676851</v>
      </c>
      <c r="K73" s="7">
        <f t="shared" si="36"/>
        <v>37.566610890573891</v>
      </c>
      <c r="L73" s="7">
        <f t="shared" si="22"/>
        <v>4696.7258114403003</v>
      </c>
      <c r="M73" s="7">
        <f t="shared" si="23"/>
        <v>4701.5140349766843</v>
      </c>
      <c r="N73" s="7">
        <f t="shared" si="24"/>
        <v>4706.3022585130684</v>
      </c>
      <c r="O73" s="7" t="str">
        <f t="shared" si="26"/>
        <v>c 455071.1176,3043523.4055 1</v>
      </c>
      <c r="P73" s="7"/>
      <c r="Q73" s="10">
        <f t="shared" si="27"/>
        <v>32.37546158929527</v>
      </c>
      <c r="R73" s="7">
        <f t="shared" si="28"/>
        <v>17.095452351094966</v>
      </c>
      <c r="S73" s="5">
        <f t="shared" si="29"/>
        <v>28.634227437389793</v>
      </c>
      <c r="T73" s="2" t="str">
        <f t="shared" si="30"/>
        <v>-text 455071.1176,3043523.4055 7 0 IP55</v>
      </c>
      <c r="U73" s="2" t="str">
        <f t="shared" si="31"/>
        <v>dt 455071.1176,3043523.4055 5 0 IP55(455071.1176,3043523.4055)*</v>
      </c>
      <c r="V73" s="12"/>
      <c r="W73" s="1" t="str">
        <f t="shared" si="32"/>
        <v>dt 455061.1176,3043513.4055 5 0 R=10*T=5.191*S=9.576*α=54.869*</v>
      </c>
    </row>
    <row r="74" spans="1:23" x14ac:dyDescent="0.2">
      <c r="A74" s="2">
        <f t="shared" ref="A74:A77" si="49">A73+1</f>
        <v>56</v>
      </c>
      <c r="B74" s="2" t="str">
        <f>IF(C74=0,"IP"&amp;A74,C74)</f>
        <v>IP56</v>
      </c>
      <c r="C74" s="8"/>
      <c r="D74" s="6">
        <v>74</v>
      </c>
      <c r="E74" s="236">
        <v>455049.31959999999</v>
      </c>
      <c r="F74" s="236">
        <v>3043528.0466</v>
      </c>
      <c r="G74" s="6">
        <v>10</v>
      </c>
      <c r="H74" s="7">
        <f t="shared" si="33"/>
        <v>65.125</v>
      </c>
      <c r="I74" s="7">
        <f t="shared" si="34"/>
        <v>6.3860488162560785</v>
      </c>
      <c r="J74" s="7">
        <f t="shared" si="35"/>
        <v>11.366456753613072</v>
      </c>
      <c r="K74" s="7">
        <f t="shared" si="36"/>
        <v>22.286601652373591</v>
      </c>
      <c r="L74" s="7">
        <f t="shared" si="22"/>
        <v>4717.0116620479075</v>
      </c>
      <c r="M74" s="7">
        <f t="shared" si="23"/>
        <v>4722.6948904247138</v>
      </c>
      <c r="N74" s="7">
        <f t="shared" si="24"/>
        <v>4728.3781188015209</v>
      </c>
      <c r="O74" s="7" t="str">
        <f t="shared" si="26"/>
        <v>c 455049.3196,3043528.0466 1</v>
      </c>
      <c r="P74" s="7"/>
      <c r="Q74" s="10">
        <f t="shared" si="27"/>
        <v>15.900552836117512</v>
      </c>
      <c r="R74" s="7">
        <f t="shared" si="28"/>
        <v>3.4843321377885292</v>
      </c>
      <c r="S74" s="5">
        <f t="shared" si="29"/>
        <v>10.709403534838888</v>
      </c>
      <c r="T74" s="2" t="str">
        <f t="shared" si="30"/>
        <v>-text 455049.3196,3043528.0466 7 0 IP56</v>
      </c>
      <c r="U74" s="2" t="str">
        <f t="shared" si="31"/>
        <v>dt 455049.3196,3043528.0466 5 0 IP56(455049.3196,3043528.0466)*</v>
      </c>
      <c r="V74" s="12"/>
      <c r="W74" s="1" t="str">
        <f t="shared" si="32"/>
        <v>dt 455039.3196,3043518.0466 5 0 R=10*T=6.386*S=11.366*α=65.125*</v>
      </c>
    </row>
    <row r="75" spans="1:23" s="213" customFormat="1" x14ac:dyDescent="0.2">
      <c r="A75" s="205"/>
      <c r="B75" s="205" t="s">
        <v>194</v>
      </c>
      <c r="C75" s="206" t="s">
        <v>194</v>
      </c>
      <c r="D75" s="6">
        <v>75</v>
      </c>
      <c r="E75" s="236">
        <v>455043.39390000002</v>
      </c>
      <c r="F75" s="236">
        <v>3043520.1529000001</v>
      </c>
      <c r="G75" s="207">
        <v>10</v>
      </c>
      <c r="H75" s="7">
        <f t="shared" si="33"/>
        <v>0</v>
      </c>
      <c r="I75" s="7">
        <f t="shared" si="34"/>
        <v>0</v>
      </c>
      <c r="J75" s="7">
        <f t="shared" si="35"/>
        <v>0</v>
      </c>
      <c r="K75" s="7">
        <f t="shared" si="36"/>
        <v>9.8703809540446077</v>
      </c>
      <c r="L75" s="7">
        <f t="shared" si="22"/>
        <v>4731.8624509393085</v>
      </c>
      <c r="M75" s="7">
        <f t="shared" si="23"/>
        <v>4731.8624509393085</v>
      </c>
      <c r="N75" s="7">
        <f t="shared" si="24"/>
        <v>4731.8624509393085</v>
      </c>
      <c r="O75" s="209" t="str">
        <f t="shared" si="26"/>
        <v>c 455043.3939,3043520.1529 1</v>
      </c>
      <c r="P75" s="209"/>
      <c r="Q75" s="210">
        <f t="shared" si="27"/>
        <v>9.8703809540446077</v>
      </c>
      <c r="R75" s="209">
        <f t="shared" si="28"/>
        <v>9.8703209192305437</v>
      </c>
      <c r="S75" s="211">
        <f t="shared" si="29"/>
        <v>3.4843321377885292</v>
      </c>
      <c r="T75" s="205" t="str">
        <f t="shared" si="30"/>
        <v>-text 455043.3939,3043520.1529 7 0 4#斗门</v>
      </c>
      <c r="U75" s="205" t="str">
        <f t="shared" si="31"/>
        <v>dt 455043.3939,3043520.1529 5 0 4#斗门(455043.3939,3043520.1529)*</v>
      </c>
      <c r="V75" s="212"/>
      <c r="W75" s="212" t="str">
        <f t="shared" si="32"/>
        <v>dt 455033.3939,3043510.1529 5 0 R=10*T=0*S=0*α=0*</v>
      </c>
    </row>
    <row r="76" spans="1:23" x14ac:dyDescent="0.2">
      <c r="A76" s="2">
        <f>A74+1</f>
        <v>57</v>
      </c>
      <c r="B76" s="2" t="str">
        <f t="shared" ref="B76:B87" si="50">IF(C76=0,"IP"&amp;A76,C76)</f>
        <v>IP57</v>
      </c>
      <c r="C76" s="8"/>
      <c r="D76" s="6">
        <v>76</v>
      </c>
      <c r="E76" s="236">
        <v>455037.46830000001</v>
      </c>
      <c r="F76" s="236">
        <v>3043512.2592000002</v>
      </c>
      <c r="G76" s="6">
        <v>10</v>
      </c>
      <c r="H76" s="7">
        <f t="shared" si="33"/>
        <v>56.975000000000001</v>
      </c>
      <c r="I76" s="7">
        <f t="shared" si="34"/>
        <v>5.4267325135725279</v>
      </c>
      <c r="J76" s="7">
        <f t="shared" si="35"/>
        <v>9.9440134132376929</v>
      </c>
      <c r="K76" s="7">
        <f t="shared" si="36"/>
        <v>9.8703209192305437</v>
      </c>
      <c r="L76" s="7">
        <f t="shared" si="22"/>
        <v>4736.3060393449668</v>
      </c>
      <c r="M76" s="7">
        <f t="shared" si="23"/>
        <v>4741.278046051586</v>
      </c>
      <c r="N76" s="7">
        <f t="shared" si="24"/>
        <v>4746.2500527582042</v>
      </c>
      <c r="O76" s="7" t="str">
        <f t="shared" si="26"/>
        <v>c 455037.4683,3043512.2592 1</v>
      </c>
      <c r="P76" s="7"/>
      <c r="Q76" s="10">
        <f t="shared" si="27"/>
        <v>4.4435884056580157</v>
      </c>
      <c r="R76" s="7">
        <f t="shared" si="28"/>
        <v>8.2131632957680427</v>
      </c>
      <c r="S76" s="5">
        <f t="shared" si="29"/>
        <v>4.4435884056580157</v>
      </c>
      <c r="T76" s="2" t="str">
        <f t="shared" si="30"/>
        <v>-text 455037.4683,3043512.2592 7 0 IP57</v>
      </c>
      <c r="U76" s="2" t="str">
        <f t="shared" si="31"/>
        <v>dt 455037.4683,3043512.2592 5 0 IP57(455037.4683,3043512.2592)*</v>
      </c>
      <c r="V76" s="12"/>
      <c r="W76" s="1" t="str">
        <f t="shared" si="32"/>
        <v>dt 455027.4683,3043502.2592 5 0 R=10*T=5.426*S=9.944*α=56.975*</v>
      </c>
    </row>
    <row r="77" spans="1:23" x14ac:dyDescent="0.2">
      <c r="A77" s="2">
        <f t="shared" si="49"/>
        <v>58</v>
      </c>
      <c r="B77" s="2" t="str">
        <f t="shared" si="50"/>
        <v>IP58</v>
      </c>
      <c r="C77" s="8"/>
      <c r="D77" s="6">
        <v>77</v>
      </c>
      <c r="E77" s="236">
        <v>455023.85950000002</v>
      </c>
      <c r="F77" s="236">
        <v>3043513.1797000002</v>
      </c>
      <c r="G77" s="6">
        <v>10</v>
      </c>
      <c r="H77" s="7">
        <f t="shared" si="33"/>
        <v>48.761000000000003</v>
      </c>
      <c r="I77" s="7">
        <f t="shared" si="34"/>
        <v>4.5320981027847367</v>
      </c>
      <c r="J77" s="7">
        <f t="shared" si="35"/>
        <v>8.510399965649551</v>
      </c>
      <c r="K77" s="7">
        <f t="shared" si="36"/>
        <v>13.639895809340571</v>
      </c>
      <c r="L77" s="7">
        <f t="shared" si="22"/>
        <v>4749.9311179511888</v>
      </c>
      <c r="M77" s="7">
        <f t="shared" si="23"/>
        <v>4754.1863179340135</v>
      </c>
      <c r="N77" s="7">
        <f t="shared" si="24"/>
        <v>4758.4415179168382</v>
      </c>
      <c r="O77" s="7" t="str">
        <f t="shared" si="26"/>
        <v>c 455023.8595,3043513.1797 1</v>
      </c>
      <c r="P77" s="7"/>
      <c r="Q77" s="10">
        <f t="shared" si="27"/>
        <v>9.107797706555834</v>
      </c>
      <c r="R77" s="7">
        <f t="shared" si="28"/>
        <v>1.10887368849788E-4</v>
      </c>
      <c r="S77" s="5">
        <f t="shared" si="29"/>
        <v>3.681065192983306</v>
      </c>
      <c r="T77" s="2" t="str">
        <f t="shared" si="30"/>
        <v>-text 455023.8595,3043513.1797 7 0 IP58</v>
      </c>
      <c r="U77" s="2" t="str">
        <f t="shared" si="31"/>
        <v>dt 455023.8595,3043513.1797 5 0 IP58(455023.8595,3043513.1797)*</v>
      </c>
      <c r="V77" s="12"/>
      <c r="W77" s="1" t="str">
        <f t="shared" si="32"/>
        <v>dt 455013.8595,3043503.1797 5 0 R=10*T=4.532*S=8.51*α=48.761*</v>
      </c>
    </row>
    <row r="78" spans="1:23" s="158" customFormat="1" x14ac:dyDescent="0.2">
      <c r="A78" s="156"/>
      <c r="B78" s="156" t="str">
        <f t="shared" si="50"/>
        <v>6#倒进</v>
      </c>
      <c r="C78" s="157" t="s">
        <v>146</v>
      </c>
      <c r="D78" s="6">
        <v>78</v>
      </c>
      <c r="E78" s="236">
        <v>455020.64870000002</v>
      </c>
      <c r="F78" s="236">
        <v>3043509.9810000001</v>
      </c>
      <c r="G78" s="9">
        <v>10</v>
      </c>
      <c r="H78" s="7">
        <f t="shared" si="33"/>
        <v>0</v>
      </c>
      <c r="I78" s="7">
        <f t="shared" si="34"/>
        <v>0</v>
      </c>
      <c r="J78" s="7">
        <f t="shared" si="35"/>
        <v>0</v>
      </c>
      <c r="K78" s="7">
        <f t="shared" si="36"/>
        <v>4.5322089901535865</v>
      </c>
      <c r="L78" s="7">
        <f t="shared" si="22"/>
        <v>4758.4416288042075</v>
      </c>
      <c r="M78" s="7">
        <f t="shared" si="23"/>
        <v>4758.4416288042075</v>
      </c>
      <c r="N78" s="7">
        <f t="shared" si="24"/>
        <v>4758.4416288042075</v>
      </c>
      <c r="O78" s="7" t="str">
        <f t="shared" si="26"/>
        <v>c 455020.6487,3043509.981 1</v>
      </c>
      <c r="P78" s="7"/>
      <c r="Q78" s="10">
        <f t="shared" si="27"/>
        <v>4.5322089901535865</v>
      </c>
      <c r="R78" s="7">
        <f t="shared" si="28"/>
        <v>25.030775826986755</v>
      </c>
      <c r="S78" s="5">
        <f t="shared" si="29"/>
        <v>1.10887368849788E-4</v>
      </c>
      <c r="T78" s="2" t="str">
        <f t="shared" si="30"/>
        <v>-text 455020.6487,3043509.981 7 0 6#倒进</v>
      </c>
      <c r="U78" s="2" t="str">
        <f t="shared" si="31"/>
        <v>dt 455020.6487,3043509.981 5 0 6#倒进(455020.6487,3043509.981)*</v>
      </c>
      <c r="V78" s="12"/>
      <c r="W78" s="1" t="str">
        <f t="shared" si="32"/>
        <v>dt 455010.6487,3043499.981 5 0 R=10*T=0*S=0*α=0*</v>
      </c>
    </row>
    <row r="79" spans="1:23" s="158" customFormat="1" x14ac:dyDescent="0.2">
      <c r="A79" s="156">
        <f>A77+1</f>
        <v>59</v>
      </c>
      <c r="B79" s="156" t="str">
        <f t="shared" si="50"/>
        <v>IP59</v>
      </c>
      <c r="C79" s="157"/>
      <c r="D79" s="6">
        <v>79</v>
      </c>
      <c r="E79" s="236">
        <v>455002.91600000003</v>
      </c>
      <c r="F79" s="236">
        <v>3043492.3149000001</v>
      </c>
      <c r="G79" s="168">
        <v>2.4</v>
      </c>
      <c r="H79" s="7">
        <f t="shared" si="33"/>
        <v>12.672000000000001</v>
      </c>
      <c r="I79" s="7">
        <f t="shared" si="34"/>
        <v>0.26648891697235277</v>
      </c>
      <c r="J79" s="7">
        <f t="shared" si="35"/>
        <v>0.53080349475053146</v>
      </c>
      <c r="K79" s="7">
        <f t="shared" si="36"/>
        <v>25.030775826986755</v>
      </c>
      <c r="L79" s="7">
        <f t="shared" si="22"/>
        <v>4783.2059157142212</v>
      </c>
      <c r="M79" s="7">
        <f t="shared" si="23"/>
        <v>4783.4713174615963</v>
      </c>
      <c r="N79" s="7">
        <f t="shared" si="24"/>
        <v>4783.7367192089714</v>
      </c>
      <c r="O79" s="7" t="str">
        <f t="shared" si="26"/>
        <v>c 455002.916,3043492.3149 1</v>
      </c>
      <c r="P79" s="7"/>
      <c r="Q79" s="10">
        <f t="shared" si="27"/>
        <v>24.764286910014402</v>
      </c>
      <c r="R79" s="7">
        <f t="shared" si="28"/>
        <v>288.15355889513438</v>
      </c>
      <c r="S79" s="5">
        <f t="shared" si="29"/>
        <v>24.764286910014402</v>
      </c>
      <c r="T79" s="2" t="str">
        <f t="shared" si="30"/>
        <v>-text 455002.916,3043492.3149 7 0 IP59</v>
      </c>
      <c r="U79" s="2" t="str">
        <f t="shared" si="31"/>
        <v>dt 455002.916,3043492.3149 5 0 IP59(455002.916,3043492.3149)*</v>
      </c>
      <c r="V79" s="12"/>
      <c r="W79" s="1" t="str">
        <f t="shared" si="32"/>
        <v>dt 454992.916,3043482.3149 5 0 R=2.4*T=0.266*S=0.53*α=12.672*</v>
      </c>
    </row>
    <row r="80" spans="1:23" s="158" customFormat="1" x14ac:dyDescent="0.2">
      <c r="A80" s="156">
        <f>A79+1</f>
        <v>60</v>
      </c>
      <c r="B80" s="156" t="str">
        <f t="shared" si="50"/>
        <v>IP60</v>
      </c>
      <c r="C80" s="159"/>
      <c r="D80" s="6">
        <v>80</v>
      </c>
      <c r="E80" s="236">
        <v>454758.9106</v>
      </c>
      <c r="F80" s="236">
        <v>3043338.5375000001</v>
      </c>
      <c r="G80" s="168">
        <v>2.4</v>
      </c>
      <c r="H80" s="7">
        <f t="shared" si="33"/>
        <v>28.038</v>
      </c>
      <c r="I80" s="7">
        <f t="shared" si="34"/>
        <v>0.59923262172453295</v>
      </c>
      <c r="J80" s="7">
        <f t="shared" si="35"/>
        <v>1.1744529976180083</v>
      </c>
      <c r="K80" s="7">
        <f t="shared" si="36"/>
        <v>288.42004781210676</v>
      </c>
      <c r="L80" s="7">
        <f t="shared" si="22"/>
        <v>5071.2910454823805</v>
      </c>
      <c r="M80" s="7">
        <f t="shared" si="23"/>
        <v>5071.8782719811898</v>
      </c>
      <c r="N80" s="7">
        <f t="shared" si="24"/>
        <v>5072.4654984799981</v>
      </c>
      <c r="O80" s="7" t="str">
        <f t="shared" si="26"/>
        <v>c 454758.9106,3043338.5375 1</v>
      </c>
      <c r="P80" s="7"/>
      <c r="Q80" s="10">
        <f t="shared" si="27"/>
        <v>287.82081519038223</v>
      </c>
      <c r="R80" s="7">
        <f t="shared" si="28"/>
        <v>211.46243237244099</v>
      </c>
      <c r="S80" s="5">
        <f t="shared" si="29"/>
        <v>287.55432627340986</v>
      </c>
      <c r="T80" s="2" t="str">
        <f t="shared" si="30"/>
        <v>-text 454758.9106,3043338.5375 7 0 IP60</v>
      </c>
      <c r="U80" s="2" t="str">
        <f t="shared" si="31"/>
        <v>dt 454758.9106,3043338.5375 5 0 IP60(454758.9106,3043338.5375)*</v>
      </c>
      <c r="V80" s="12"/>
      <c r="W80" s="1" t="str">
        <f t="shared" si="32"/>
        <v>dt 454748.9106,3043328.5375 5 0 R=2.4*T=0.599*S=1.174*α=28.038*</v>
      </c>
    </row>
    <row r="81" spans="1:23" s="158" customFormat="1" x14ac:dyDescent="0.2">
      <c r="A81" s="156">
        <f t="shared" ref="A81" si="51">A80+1</f>
        <v>61</v>
      </c>
      <c r="B81" s="156" t="str">
        <f t="shared" si="50"/>
        <v>IP61</v>
      </c>
      <c r="C81" s="157"/>
      <c r="D81" s="6">
        <v>81</v>
      </c>
      <c r="E81" s="236">
        <v>454653.70679999999</v>
      </c>
      <c r="F81" s="236">
        <v>3043154.4117000001</v>
      </c>
      <c r="G81" s="168">
        <v>2.4</v>
      </c>
      <c r="H81" s="7">
        <f t="shared" si="33"/>
        <v>15.22</v>
      </c>
      <c r="I81" s="7">
        <f t="shared" si="34"/>
        <v>0.32065471616645519</v>
      </c>
      <c r="J81" s="7">
        <f t="shared" si="35"/>
        <v>0.63753386916848875</v>
      </c>
      <c r="K81" s="7">
        <f t="shared" si="36"/>
        <v>212.06166499416551</v>
      </c>
      <c r="L81" s="7">
        <f t="shared" si="22"/>
        <v>5283.6072761362739</v>
      </c>
      <c r="M81" s="7">
        <f t="shared" si="23"/>
        <v>5283.9260430708582</v>
      </c>
      <c r="N81" s="7">
        <f t="shared" si="24"/>
        <v>5284.2448100054426</v>
      </c>
      <c r="O81" s="7" t="str">
        <f t="shared" si="26"/>
        <v>c 454653.7068,3043154.4117 1</v>
      </c>
      <c r="P81" s="7"/>
      <c r="Q81" s="10">
        <f t="shared" si="27"/>
        <v>211.74101027799907</v>
      </c>
      <c r="R81" s="7">
        <f t="shared" si="28"/>
        <v>108.37069312063858</v>
      </c>
      <c r="S81" s="5">
        <f t="shared" si="29"/>
        <v>211.14177765627454</v>
      </c>
      <c r="T81" s="2" t="str">
        <f t="shared" si="30"/>
        <v>-text 454653.7068,3043154.4117 7 0 IP61</v>
      </c>
      <c r="U81" s="2" t="str">
        <f t="shared" si="31"/>
        <v>dt 454653.7068,3043154.4117 5 0 IP61(454653.7068,3043154.4117)*</v>
      </c>
      <c r="V81" s="12"/>
      <c r="W81" s="1" t="str">
        <f t="shared" si="32"/>
        <v>dt 454643.7068,3043144.4117 5 0 R=2.4*T=0.32*S=0.637*α=15.22*</v>
      </c>
    </row>
    <row r="82" spans="1:23" s="158" customFormat="1" x14ac:dyDescent="0.2">
      <c r="A82" s="156"/>
      <c r="B82" s="156" t="str">
        <f t="shared" si="50"/>
        <v>6#倒出</v>
      </c>
      <c r="C82" s="157" t="s">
        <v>147</v>
      </c>
      <c r="D82" s="6">
        <v>82</v>
      </c>
      <c r="E82" s="236">
        <v>454626.4522</v>
      </c>
      <c r="F82" s="236">
        <v>3043049.1929000001</v>
      </c>
      <c r="G82" s="9">
        <v>10</v>
      </c>
      <c r="H82" s="7">
        <f t="shared" si="33"/>
        <v>0</v>
      </c>
      <c r="I82" s="7">
        <f t="shared" si="34"/>
        <v>0</v>
      </c>
      <c r="J82" s="7">
        <f t="shared" si="35"/>
        <v>0</v>
      </c>
      <c r="K82" s="7">
        <f t="shared" si="36"/>
        <v>108.69134783680504</v>
      </c>
      <c r="L82" s="7">
        <f t="shared" si="22"/>
        <v>5392.6155031260814</v>
      </c>
      <c r="M82" s="7">
        <f t="shared" si="23"/>
        <v>5392.6155031260814</v>
      </c>
      <c r="N82" s="7">
        <f t="shared" si="24"/>
        <v>5392.6155031260814</v>
      </c>
      <c r="O82" s="7" t="str">
        <f t="shared" si="26"/>
        <v>c 454626.4522,3043049.1929 1</v>
      </c>
      <c r="P82" s="7"/>
      <c r="Q82" s="10">
        <f t="shared" si="27"/>
        <v>108.69134783680504</v>
      </c>
      <c r="R82" s="7">
        <f t="shared" si="28"/>
        <v>4.4202252839518872</v>
      </c>
      <c r="S82" s="5">
        <f t="shared" si="29"/>
        <v>108.37069312063858</v>
      </c>
      <c r="T82" s="2" t="str">
        <f t="shared" si="30"/>
        <v>-text 454626.4522,3043049.1929 7 0 6#倒出</v>
      </c>
      <c r="U82" s="2" t="str">
        <f t="shared" si="31"/>
        <v>dt 454626.4522,3043049.1929 5 0 6#倒出(454626.4522,3043049.1929)*</v>
      </c>
      <c r="V82" s="12"/>
      <c r="W82" s="1" t="str">
        <f t="shared" si="32"/>
        <v>dt 454616.4522,3043039.1929 5 0 R=10*T=0*S=0*α=0*</v>
      </c>
    </row>
    <row r="83" spans="1:23" s="20" customFormat="1" x14ac:dyDescent="0.2">
      <c r="A83" s="2">
        <f>A81+1</f>
        <v>62</v>
      </c>
      <c r="B83" s="2" t="str">
        <f t="shared" si="50"/>
        <v>IP62</v>
      </c>
      <c r="C83" s="167"/>
      <c r="D83" s="6">
        <v>83</v>
      </c>
      <c r="E83" s="236">
        <v>454625.34379999997</v>
      </c>
      <c r="F83" s="236">
        <v>3043044.9139</v>
      </c>
      <c r="G83" s="6">
        <v>10</v>
      </c>
      <c r="H83" s="7">
        <f t="shared" si="33"/>
        <v>47.694000000000003</v>
      </c>
      <c r="I83" s="7">
        <f t="shared" si="34"/>
        <v>4.4203278318340997</v>
      </c>
      <c r="J83" s="7">
        <f t="shared" si="35"/>
        <v>8.3241733344617543</v>
      </c>
      <c r="K83" s="7">
        <f t="shared" si="36"/>
        <v>4.4202252839518872</v>
      </c>
      <c r="L83" s="7">
        <f t="shared" si="22"/>
        <v>5392.6154005782</v>
      </c>
      <c r="M83" s="7">
        <f t="shared" si="23"/>
        <v>5396.7774872454311</v>
      </c>
      <c r="N83" s="7">
        <f t="shared" si="24"/>
        <v>5400.9395739126621</v>
      </c>
      <c r="O83" s="7" t="str">
        <f t="shared" si="26"/>
        <v>c 454625.3438,3043044.9139 1</v>
      </c>
      <c r="P83" s="7"/>
      <c r="Q83" s="10">
        <f t="shared" si="27"/>
        <v>-1.0254788221253364E-4</v>
      </c>
      <c r="R83" s="7">
        <f t="shared" si="28"/>
        <v>57.055560728976651</v>
      </c>
      <c r="S83" s="5">
        <f t="shared" si="29"/>
        <v>-1.0254788221253364E-4</v>
      </c>
      <c r="T83" s="2" t="str">
        <f t="shared" si="30"/>
        <v>-text 454625.3438,3043044.9139 7 0 IP62</v>
      </c>
      <c r="U83" s="2" t="str">
        <f t="shared" si="31"/>
        <v>dt 454625.3438,3043044.9139 5 0 IP62(454625.3438,3043044.9139)*</v>
      </c>
      <c r="V83" s="12"/>
      <c r="W83" s="1" t="str">
        <f t="shared" si="32"/>
        <v>dt 454615.3438,3043034.9139 5 0 R=10*T=4.42*S=8.324*α=47.694*</v>
      </c>
    </row>
    <row r="84" spans="1:23" x14ac:dyDescent="0.2">
      <c r="A84" s="2">
        <f>A83+1</f>
        <v>63</v>
      </c>
      <c r="B84" s="2" t="str">
        <f t="shared" si="50"/>
        <v>IP63</v>
      </c>
      <c r="C84" s="8"/>
      <c r="D84" s="6">
        <v>84</v>
      </c>
      <c r="E84" s="236">
        <v>454658.9804</v>
      </c>
      <c r="F84" s="236">
        <v>3042993.4564999999</v>
      </c>
      <c r="G84" s="6">
        <v>10</v>
      </c>
      <c r="H84" s="7">
        <f t="shared" si="33"/>
        <v>8.1449999999999996</v>
      </c>
      <c r="I84" s="7">
        <f t="shared" si="34"/>
        <v>0.71198476174002312</v>
      </c>
      <c r="J84" s="7">
        <f t="shared" si="35"/>
        <v>1.4215706757493813</v>
      </c>
      <c r="K84" s="7">
        <f t="shared" si="36"/>
        <v>61.475888560810752</v>
      </c>
      <c r="L84" s="7">
        <f t="shared" si="22"/>
        <v>5457.2831498798996</v>
      </c>
      <c r="M84" s="7">
        <f t="shared" si="23"/>
        <v>5457.9939352177744</v>
      </c>
      <c r="N84" s="7">
        <f t="shared" si="24"/>
        <v>5458.7047205556491</v>
      </c>
      <c r="O84" s="7" t="str">
        <f t="shared" si="26"/>
        <v>c 454658.9804,3042993.4565 1</v>
      </c>
      <c r="P84" s="7"/>
      <c r="Q84" s="10">
        <f t="shared" si="27"/>
        <v>60.763903799070732</v>
      </c>
      <c r="R84" s="7">
        <f t="shared" si="28"/>
        <v>99.556190541077072</v>
      </c>
      <c r="S84" s="5">
        <f t="shared" si="29"/>
        <v>56.343575967236632</v>
      </c>
      <c r="T84" s="2" t="str">
        <f t="shared" si="30"/>
        <v>-text 454658.9804,3042993.4565 7 0 IP63</v>
      </c>
      <c r="U84" s="2" t="str">
        <f t="shared" si="31"/>
        <v>dt 454658.9804,3042993.4565 5 0 IP63(454658.9804,3042993.4565)*</v>
      </c>
      <c r="V84" s="12"/>
      <c r="W84" s="1" t="str">
        <f t="shared" si="32"/>
        <v>dt 454648.9804,3042983.4565 5 0 R=10*T=0.711*S=1.421*α=8.145*</v>
      </c>
    </row>
    <row r="85" spans="1:23" x14ac:dyDescent="0.2">
      <c r="A85" s="2">
        <f>A84+1</f>
        <v>64</v>
      </c>
      <c r="B85" s="2" t="str">
        <f t="shared" si="50"/>
        <v>IP64</v>
      </c>
      <c r="C85" s="98"/>
      <c r="D85" s="6">
        <v>85</v>
      </c>
      <c r="E85" s="236">
        <v>454701.39870000002</v>
      </c>
      <c r="F85" s="236">
        <v>3042902.6028</v>
      </c>
      <c r="G85" s="6">
        <v>10</v>
      </c>
      <c r="H85" s="7">
        <f t="shared" si="33"/>
        <v>53.948999999999998</v>
      </c>
      <c r="I85" s="7">
        <f t="shared" si="34"/>
        <v>5.0896497308824706</v>
      </c>
      <c r="J85" s="7">
        <f t="shared" si="35"/>
        <v>9.4158767815842079</v>
      </c>
      <c r="K85" s="7">
        <f t="shared" si="36"/>
        <v>100.2681753028171</v>
      </c>
      <c r="L85" s="7">
        <f t="shared" si="22"/>
        <v>5553.1712613658447</v>
      </c>
      <c r="M85" s="7">
        <f t="shared" si="23"/>
        <v>5557.8791997566368</v>
      </c>
      <c r="N85" s="7">
        <f t="shared" si="24"/>
        <v>5562.587138147429</v>
      </c>
      <c r="O85" s="7" t="str">
        <f t="shared" si="26"/>
        <v>c 454701.3987,3042902.6028 1</v>
      </c>
      <c r="P85" s="7"/>
      <c r="Q85" s="10">
        <f t="shared" si="27"/>
        <v>95.178525571934628</v>
      </c>
      <c r="R85" s="7">
        <f t="shared" si="28"/>
        <v>11.004687843980033</v>
      </c>
      <c r="S85" s="5">
        <f t="shared" si="29"/>
        <v>94.466540810194601</v>
      </c>
      <c r="T85" s="2" t="str">
        <f t="shared" si="30"/>
        <v>-text 454701.3987,3042902.6028 7 0 IP64</v>
      </c>
      <c r="U85" s="2" t="str">
        <f t="shared" si="31"/>
        <v>dt 454701.3987,3042902.6028 5 0 IP64(454701.3987,3042902.6028)*</v>
      </c>
      <c r="V85" s="12"/>
      <c r="W85" s="1" t="str">
        <f t="shared" si="32"/>
        <v>dt 454691.3987,3042892.6028 5 0 R=10*T=5.089*S=9.415*α=53.949*</v>
      </c>
    </row>
    <row r="86" spans="1:23" s="213" customFormat="1" x14ac:dyDescent="0.2">
      <c r="A86" s="205"/>
      <c r="B86" s="205" t="s">
        <v>195</v>
      </c>
      <c r="C86" s="206" t="s">
        <v>195</v>
      </c>
      <c r="D86" s="6">
        <v>86</v>
      </c>
      <c r="E86" s="236">
        <v>454693.6153</v>
      </c>
      <c r="F86" s="236">
        <v>3042888.5156999999</v>
      </c>
      <c r="G86" s="207">
        <v>10</v>
      </c>
      <c r="H86" s="7">
        <f t="shared" si="33"/>
        <v>0</v>
      </c>
      <c r="I86" s="7">
        <f t="shared" si="34"/>
        <v>0</v>
      </c>
      <c r="J86" s="7">
        <f t="shared" si="35"/>
        <v>0</v>
      </c>
      <c r="K86" s="7">
        <f t="shared" si="36"/>
        <v>16.094337574862504</v>
      </c>
      <c r="L86" s="7">
        <f t="shared" si="22"/>
        <v>5573.5918259914097</v>
      </c>
      <c r="M86" s="7">
        <f t="shared" si="23"/>
        <v>5573.5918259914097</v>
      </c>
      <c r="N86" s="7">
        <f t="shared" si="24"/>
        <v>5573.5918259914097</v>
      </c>
      <c r="O86" s="209" t="str">
        <f t="shared" si="26"/>
        <v>c 454693.6153,3042888.5157 1</v>
      </c>
      <c r="P86" s="209"/>
      <c r="Q86" s="210">
        <f t="shared" si="27"/>
        <v>16.094337574862504</v>
      </c>
      <c r="R86" s="209">
        <f t="shared" si="28"/>
        <v>28.501372362883739</v>
      </c>
      <c r="S86" s="211">
        <f t="shared" si="29"/>
        <v>11.004687843980033</v>
      </c>
      <c r="T86" s="205" t="str">
        <f t="shared" si="30"/>
        <v>-text 454693.6153,3042888.5157 7 0 5#斗门</v>
      </c>
      <c r="U86" s="205" t="str">
        <f t="shared" si="31"/>
        <v>dt 454693.6153,3042888.5157 5 0 5#斗门(454693.6153,3042888.5157)*</v>
      </c>
      <c r="V86" s="212"/>
      <c r="W86" s="212" t="str">
        <f t="shared" si="32"/>
        <v>dt 454683.6153,3042878.5157 5 0 R=10*T=0*S=0*α=0*</v>
      </c>
    </row>
    <row r="87" spans="1:23" s="158" customFormat="1" x14ac:dyDescent="0.2">
      <c r="A87" s="156"/>
      <c r="B87" s="156" t="str">
        <f t="shared" si="50"/>
        <v>2#隧进</v>
      </c>
      <c r="C87" s="157" t="s">
        <v>148</v>
      </c>
      <c r="D87" s="6">
        <v>87</v>
      </c>
      <c r="E87" s="236">
        <v>454679.83159999998</v>
      </c>
      <c r="F87" s="236">
        <v>3042863.5690000001</v>
      </c>
      <c r="G87" s="9">
        <v>10</v>
      </c>
      <c r="H87" s="7">
        <f t="shared" si="33"/>
        <v>0</v>
      </c>
      <c r="I87" s="7">
        <f t="shared" si="34"/>
        <v>0</v>
      </c>
      <c r="J87" s="7">
        <f t="shared" si="35"/>
        <v>0</v>
      </c>
      <c r="K87" s="7">
        <f t="shared" si="36"/>
        <v>28.501372362883739</v>
      </c>
      <c r="L87" s="7">
        <f t="shared" si="22"/>
        <v>5602.0931983542932</v>
      </c>
      <c r="M87" s="7">
        <f t="shared" si="23"/>
        <v>5602.0931983542932</v>
      </c>
      <c r="N87" s="7">
        <f t="shared" si="24"/>
        <v>5602.0931983542932</v>
      </c>
      <c r="O87" s="7" t="str">
        <f t="shared" si="26"/>
        <v>c 454679.8316,3042863.569 1</v>
      </c>
      <c r="P87" s="7"/>
      <c r="Q87" s="10">
        <f t="shared" si="27"/>
        <v>28.501372362883739</v>
      </c>
      <c r="R87" s="7">
        <f t="shared" si="28"/>
        <v>269.03448496873983</v>
      </c>
      <c r="S87" s="5">
        <f t="shared" si="29"/>
        <v>28.501372362883739</v>
      </c>
      <c r="T87" s="2" t="str">
        <f t="shared" si="30"/>
        <v>-text 454679.8316,3042863.569 7 0 2#隧进</v>
      </c>
      <c r="U87" s="2" t="str">
        <f t="shared" si="31"/>
        <v>dt 454679.8316,3042863.569 5 0 2#隧进(454679.8316,3042863.569)*</v>
      </c>
      <c r="V87" s="12"/>
      <c r="W87" s="1" t="str">
        <f t="shared" si="32"/>
        <v>dt 454669.8316,3042853.569 5 0 R=10*T=0*S=0*α=0*</v>
      </c>
    </row>
    <row r="88" spans="1:23" s="158" customFormat="1" x14ac:dyDescent="0.2">
      <c r="A88" s="156"/>
      <c r="B88" s="156" t="str">
        <f t="shared" ref="B88:B119" si="52">IF(C88=0,"IP"&amp;A88,C88)</f>
        <v>2#隧出</v>
      </c>
      <c r="C88" s="157" t="s">
        <v>149</v>
      </c>
      <c r="D88" s="6">
        <v>88</v>
      </c>
      <c r="E88" s="236">
        <v>454549.72279999999</v>
      </c>
      <c r="F88" s="236">
        <v>3042628.0880999998</v>
      </c>
      <c r="G88" s="9">
        <v>10</v>
      </c>
      <c r="H88" s="7">
        <f t="shared" si="33"/>
        <v>0</v>
      </c>
      <c r="I88" s="7">
        <f t="shared" si="34"/>
        <v>0</v>
      </c>
      <c r="J88" s="7">
        <f t="shared" si="35"/>
        <v>0</v>
      </c>
      <c r="K88" s="7">
        <f t="shared" si="36"/>
        <v>269.03448496873983</v>
      </c>
      <c r="L88" s="7">
        <f t="shared" si="22"/>
        <v>5871.1276833230331</v>
      </c>
      <c r="M88" s="7">
        <f t="shared" si="23"/>
        <v>5871.1276833230331</v>
      </c>
      <c r="N88" s="7">
        <f t="shared" si="24"/>
        <v>5871.1276833230331</v>
      </c>
      <c r="O88" s="7" t="str">
        <f t="shared" si="26"/>
        <v>c 454549.7228,3042628.0881 1</v>
      </c>
      <c r="P88" s="7"/>
      <c r="Q88" s="10">
        <f t="shared" si="27"/>
        <v>269.03448496873983</v>
      </c>
      <c r="R88" s="7">
        <f t="shared" si="28"/>
        <v>35.412595103830718</v>
      </c>
      <c r="S88" s="5">
        <f t="shared" si="29"/>
        <v>269.03448496873983</v>
      </c>
      <c r="T88" s="2" t="str">
        <f t="shared" si="30"/>
        <v>-text 454549.7228,3042628.0881 7 0 2#隧出</v>
      </c>
      <c r="U88" s="2" t="str">
        <f t="shared" si="31"/>
        <v>dt 454549.7228,3042628.0881 5 0 2#隧出(454549.7228,3042628.0881)*</v>
      </c>
      <c r="V88" s="12"/>
      <c r="W88" s="1" t="str">
        <f t="shared" si="32"/>
        <v>dt 454539.7228,3042618.0881 5 0 R=10*T=0*S=0*α=0*</v>
      </c>
    </row>
    <row r="89" spans="1:23" x14ac:dyDescent="0.2">
      <c r="A89" s="2">
        <f>A85+1</f>
        <v>65</v>
      </c>
      <c r="B89" s="2" t="str">
        <f t="shared" si="52"/>
        <v>IP65</v>
      </c>
      <c r="C89" s="8"/>
      <c r="D89" s="6">
        <v>89</v>
      </c>
      <c r="E89" s="236">
        <v>454532.5968</v>
      </c>
      <c r="F89" s="236">
        <v>3042597.0921</v>
      </c>
      <c r="G89" s="6">
        <v>10</v>
      </c>
      <c r="H89" s="7">
        <f t="shared" si="33"/>
        <v>23.591000000000001</v>
      </c>
      <c r="I89" s="7">
        <f t="shared" si="34"/>
        <v>2.0882891809975974</v>
      </c>
      <c r="J89" s="7">
        <f t="shared" si="35"/>
        <v>4.1174062383798233</v>
      </c>
      <c r="K89" s="7">
        <f t="shared" si="36"/>
        <v>35.412595103830718</v>
      </c>
      <c r="L89" s="7">
        <f t="shared" si="22"/>
        <v>5904.4519892458657</v>
      </c>
      <c r="M89" s="7">
        <f t="shared" si="23"/>
        <v>5906.5106923650555</v>
      </c>
      <c r="N89" s="7">
        <f t="shared" si="24"/>
        <v>5908.5693954842454</v>
      </c>
      <c r="O89" s="7" t="str">
        <f t="shared" si="26"/>
        <v>c 454532.5968,3042597.0921 1</v>
      </c>
      <c r="P89" s="7"/>
      <c r="Q89" s="10">
        <f t="shared" si="27"/>
        <v>33.324305922833119</v>
      </c>
      <c r="R89" s="7">
        <f t="shared" si="28"/>
        <v>47.232476884720739</v>
      </c>
      <c r="S89" s="5">
        <f t="shared" si="29"/>
        <v>33.324305922833119</v>
      </c>
      <c r="T89" s="2" t="str">
        <f t="shared" si="30"/>
        <v>-text 454532.5968,3042597.0921 7 0 IP65</v>
      </c>
      <c r="U89" s="2" t="str">
        <f t="shared" si="31"/>
        <v>dt 454532.5968,3042597.0921 5 0 IP65(454532.5968,3042597.0921)*</v>
      </c>
      <c r="V89" s="12"/>
      <c r="W89" s="1" t="str">
        <f t="shared" si="32"/>
        <v>dt 454522.5968,3042587.0921 5 0 R=10*T=2.088*S=4.117*α=23.591*</v>
      </c>
    </row>
    <row r="90" spans="1:23" x14ac:dyDescent="0.2">
      <c r="A90" s="2">
        <f>A89+1</f>
        <v>66</v>
      </c>
      <c r="B90" s="2" t="str">
        <f t="shared" si="52"/>
        <v>IP66</v>
      </c>
      <c r="C90" s="8"/>
      <c r="D90" s="6">
        <v>90</v>
      </c>
      <c r="E90" s="236">
        <v>454493.46149999998</v>
      </c>
      <c r="F90" s="236">
        <v>3042567.0759999999</v>
      </c>
      <c r="G90" s="6">
        <v>10</v>
      </c>
      <c r="H90" s="7">
        <f t="shared" si="33"/>
        <v>7.327</v>
      </c>
      <c r="I90" s="7">
        <f t="shared" si="34"/>
        <v>0.64027416244645052</v>
      </c>
      <c r="J90" s="7">
        <f t="shared" si="35"/>
        <v>1.2788027429362452</v>
      </c>
      <c r="K90" s="7">
        <f t="shared" si="36"/>
        <v>49.320766065718338</v>
      </c>
      <c r="L90" s="7">
        <f t="shared" si="22"/>
        <v>5955.1615982065196</v>
      </c>
      <c r="M90" s="7">
        <f t="shared" si="23"/>
        <v>5955.8009995779876</v>
      </c>
      <c r="N90" s="7">
        <f t="shared" si="24"/>
        <v>5956.4404009494556</v>
      </c>
      <c r="O90" s="7" t="str">
        <f t="shared" si="26"/>
        <v>c 454493.4615,3042567.076 1</v>
      </c>
      <c r="P90" s="7"/>
      <c r="Q90" s="10">
        <f t="shared" si="27"/>
        <v>48.680491903271886</v>
      </c>
      <c r="R90" s="7">
        <f t="shared" si="28"/>
        <v>40.835078869010474</v>
      </c>
      <c r="S90" s="5">
        <f t="shared" si="29"/>
        <v>46.592202722274287</v>
      </c>
      <c r="T90" s="2" t="str">
        <f t="shared" si="30"/>
        <v>-text 454493.4615,3042567.076 7 0 IP66</v>
      </c>
      <c r="U90" s="2" t="str">
        <f t="shared" si="31"/>
        <v>dt 454493.4615,3042567.076 5 0 IP66(454493.4615,3042567.076)*</v>
      </c>
      <c r="V90" s="12"/>
      <c r="W90" s="1" t="str">
        <f t="shared" si="32"/>
        <v>dt 454483.4615,3042557.076 5 0 R=10*T=0.64*S=1.278*α=7.327*</v>
      </c>
    </row>
    <row r="91" spans="1:23" x14ac:dyDescent="0.2">
      <c r="A91" s="2">
        <f t="shared" ref="A91:A103" si="53">A90+1</f>
        <v>67</v>
      </c>
      <c r="B91" s="2" t="str">
        <f t="shared" si="52"/>
        <v>IP67</v>
      </c>
      <c r="C91" s="8"/>
      <c r="D91" s="6">
        <v>91</v>
      </c>
      <c r="E91" s="236">
        <v>454464.0393</v>
      </c>
      <c r="F91" s="236">
        <v>3042537.8435</v>
      </c>
      <c r="G91" s="6">
        <v>10</v>
      </c>
      <c r="H91" s="7">
        <f t="shared" si="33"/>
        <v>3.371</v>
      </c>
      <c r="I91" s="7">
        <f t="shared" si="34"/>
        <v>0.29426013365380355</v>
      </c>
      <c r="J91" s="7">
        <f t="shared" si="35"/>
        <v>0.58835049084728852</v>
      </c>
      <c r="K91" s="7">
        <f t="shared" si="36"/>
        <v>41.475353031456926</v>
      </c>
      <c r="L91" s="7">
        <f t="shared" si="22"/>
        <v>5996.9812196848125</v>
      </c>
      <c r="M91" s="7">
        <f t="shared" si="23"/>
        <v>5997.275394930236</v>
      </c>
      <c r="N91" s="7">
        <f t="shared" si="24"/>
        <v>5997.5695701756595</v>
      </c>
      <c r="O91" s="7" t="str">
        <f t="shared" si="26"/>
        <v>c 454464.0393,3042537.8435 1</v>
      </c>
      <c r="P91" s="7"/>
      <c r="Q91" s="10">
        <f t="shared" si="27"/>
        <v>41.181092897803126</v>
      </c>
      <c r="R91" s="7">
        <f t="shared" si="28"/>
        <v>78.426311801733036</v>
      </c>
      <c r="S91" s="5">
        <f t="shared" si="29"/>
        <v>40.540818735356673</v>
      </c>
      <c r="T91" s="2" t="str">
        <f t="shared" si="30"/>
        <v>-text 454464.0393,3042537.8435 7 0 IP67</v>
      </c>
      <c r="U91" s="2" t="str">
        <f t="shared" si="31"/>
        <v>dt 454464.0393,3042537.8435 5 0 IP67(454464.0393,3042537.8435)*</v>
      </c>
      <c r="V91" s="12"/>
      <c r="W91" s="1" t="str">
        <f t="shared" si="32"/>
        <v>dt 454454.0393,3042527.8435 5 0 R=10*T=0.294*S=0.588*α=3.371*</v>
      </c>
    </row>
    <row r="92" spans="1:23" x14ac:dyDescent="0.2">
      <c r="A92" s="2">
        <f t="shared" si="53"/>
        <v>68</v>
      </c>
      <c r="B92" s="2" t="str">
        <f t="shared" si="52"/>
        <v>IP68</v>
      </c>
      <c r="C92" s="8"/>
      <c r="D92" s="6">
        <v>92</v>
      </c>
      <c r="E92" s="236">
        <v>454405.02970000001</v>
      </c>
      <c r="F92" s="236">
        <v>3042485.7398000001</v>
      </c>
      <c r="G92" s="6">
        <v>10</v>
      </c>
      <c r="H92" s="7">
        <f t="shared" si="33"/>
        <v>19.864999999999998</v>
      </c>
      <c r="I92" s="7">
        <f t="shared" si="34"/>
        <v>1.751125067226621</v>
      </c>
      <c r="J92" s="7">
        <f t="shared" si="35"/>
        <v>3.4670965590867353</v>
      </c>
      <c r="K92" s="7">
        <f t="shared" si="36"/>
        <v>78.720571935386843</v>
      </c>
      <c r="L92" s="7">
        <f t="shared" si="22"/>
        <v>6074.244756910166</v>
      </c>
      <c r="M92" s="7">
        <f t="shared" si="23"/>
        <v>6075.9783051897093</v>
      </c>
      <c r="N92" s="7">
        <f t="shared" si="24"/>
        <v>6077.7118534692527</v>
      </c>
      <c r="O92" s="7" t="str">
        <f t="shared" si="26"/>
        <v>c 454405.0297,3042485.7398 1</v>
      </c>
      <c r="P92" s="7"/>
      <c r="Q92" s="10">
        <f t="shared" si="27"/>
        <v>76.969446868160219</v>
      </c>
      <c r="R92" s="7">
        <f t="shared" si="28"/>
        <v>14.157496814779924</v>
      </c>
      <c r="S92" s="5">
        <f t="shared" si="29"/>
        <v>76.675186734506411</v>
      </c>
      <c r="T92" s="2" t="str">
        <f t="shared" si="30"/>
        <v>-text 454405.0297,3042485.7398 7 0 IP68</v>
      </c>
      <c r="U92" s="2" t="str">
        <f t="shared" si="31"/>
        <v>dt 454405.0297,3042485.7398 5 0 IP68(454405.0297,3042485.7398)*</v>
      </c>
      <c r="V92" s="12"/>
      <c r="W92" s="1" t="str">
        <f t="shared" si="32"/>
        <v>dt 454395.0297,3042475.7398 5 0 R=10*T=1.751*S=3.467*α=19.865*</v>
      </c>
    </row>
    <row r="93" spans="1:23" x14ac:dyDescent="0.2">
      <c r="A93" s="2">
        <f t="shared" si="53"/>
        <v>69</v>
      </c>
      <c r="B93" s="2" t="str">
        <f t="shared" si="52"/>
        <v>IP69</v>
      </c>
      <c r="C93" s="8"/>
      <c r="D93" s="6">
        <v>93</v>
      </c>
      <c r="E93" s="236">
        <v>454390.23599999998</v>
      </c>
      <c r="F93" s="236">
        <v>3042479.8890999998</v>
      </c>
      <c r="G93" s="6">
        <v>10</v>
      </c>
      <c r="H93" s="7">
        <f t="shared" si="33"/>
        <v>24.672000000000001</v>
      </c>
      <c r="I93" s="7">
        <f t="shared" si="34"/>
        <v>2.186935390997701</v>
      </c>
      <c r="J93" s="7">
        <f t="shared" si="35"/>
        <v>4.3060763305204102</v>
      </c>
      <c r="K93" s="7">
        <f t="shared" si="36"/>
        <v>15.908621882006544</v>
      </c>
      <c r="L93" s="7">
        <f t="shared" si="22"/>
        <v>6089.6824148930345</v>
      </c>
      <c r="M93" s="7">
        <f t="shared" si="23"/>
        <v>6091.8354530582947</v>
      </c>
      <c r="N93" s="7">
        <f t="shared" si="24"/>
        <v>6093.9884912235548</v>
      </c>
      <c r="O93" s="7" t="str">
        <f t="shared" si="26"/>
        <v>c 454390.236,3042479.8891 1</v>
      </c>
      <c r="P93" s="7"/>
      <c r="Q93" s="10">
        <f t="shared" si="27"/>
        <v>13.721686491008843</v>
      </c>
      <c r="R93" s="7">
        <f t="shared" si="28"/>
        <v>10.372667251196301</v>
      </c>
      <c r="S93" s="5">
        <f t="shared" si="29"/>
        <v>11.970561423782222</v>
      </c>
      <c r="T93" s="2" t="str">
        <f t="shared" si="30"/>
        <v>-text 454390.236,3042479.8891 7 0 IP69</v>
      </c>
      <c r="U93" s="2" t="str">
        <f t="shared" si="31"/>
        <v>dt 454390.236,3042479.8891 5 0 IP69(454390.236,3042479.8891)*</v>
      </c>
      <c r="V93" s="12"/>
      <c r="W93" s="1" t="str">
        <f t="shared" si="32"/>
        <v>dt 454380.236,3042469.8891 5 0 R=10*T=2.186*S=4.306*α=24.672*</v>
      </c>
    </row>
    <row r="94" spans="1:23" x14ac:dyDescent="0.2">
      <c r="A94" s="2">
        <f t="shared" si="53"/>
        <v>70</v>
      </c>
      <c r="B94" s="2" t="str">
        <f t="shared" si="52"/>
        <v>IP70</v>
      </c>
      <c r="C94" s="8"/>
      <c r="D94" s="6">
        <v>94</v>
      </c>
      <c r="E94" s="236">
        <v>454377.69469999999</v>
      </c>
      <c r="F94" s="236">
        <v>3042480.5669</v>
      </c>
      <c r="G94" s="6">
        <v>10</v>
      </c>
      <c r="H94" s="7">
        <f t="shared" si="33"/>
        <v>58.84</v>
      </c>
      <c r="I94" s="7">
        <f t="shared" si="34"/>
        <v>5.6393102622375038</v>
      </c>
      <c r="J94" s="7">
        <f t="shared" si="35"/>
        <v>10.269517318734636</v>
      </c>
      <c r="K94" s="7">
        <f t="shared" si="36"/>
        <v>12.559602642194003</v>
      </c>
      <c r="L94" s="7">
        <f t="shared" si="22"/>
        <v>6098.7218482125127</v>
      </c>
      <c r="M94" s="7">
        <f t="shared" si="23"/>
        <v>6103.8566068718801</v>
      </c>
      <c r="N94" s="7">
        <f t="shared" si="24"/>
        <v>6108.9913655312475</v>
      </c>
      <c r="O94" s="7" t="str">
        <f t="shared" si="26"/>
        <v>c 454377.6947,3042480.5669 1</v>
      </c>
      <c r="P94" s="7"/>
      <c r="Q94" s="10">
        <f t="shared" si="27"/>
        <v>6.920292379956499</v>
      </c>
      <c r="R94" s="7">
        <f t="shared" si="28"/>
        <v>45.176094939946069</v>
      </c>
      <c r="S94" s="5">
        <f t="shared" si="29"/>
        <v>4.7333569889587972</v>
      </c>
      <c r="T94" s="2" t="str">
        <f t="shared" si="30"/>
        <v>-text 454377.6947,3042480.5669 7 0 IP70</v>
      </c>
      <c r="U94" s="2" t="str">
        <f t="shared" si="31"/>
        <v>dt 454377.6947,3042480.5669 5 0 IP70(454377.6947,3042480.5669)*</v>
      </c>
      <c r="V94" s="12"/>
      <c r="W94" s="1" t="str">
        <f t="shared" si="32"/>
        <v>dt 454367.6947,3042470.5669 5 0 R=10*T=5.639*S=10.269*α=58.84*</v>
      </c>
    </row>
    <row r="95" spans="1:23" x14ac:dyDescent="0.2">
      <c r="A95" s="2">
        <f t="shared" si="53"/>
        <v>71</v>
      </c>
      <c r="B95" s="2" t="str">
        <f t="shared" si="52"/>
        <v>IP71</v>
      </c>
      <c r="C95" s="8"/>
      <c r="D95" s="6">
        <v>95</v>
      </c>
      <c r="E95" s="236">
        <v>454349.0932</v>
      </c>
      <c r="F95" s="236">
        <v>3042438.5649999999</v>
      </c>
      <c r="G95" s="6">
        <v>10</v>
      </c>
      <c r="H95" s="7">
        <f t="shared" si="33"/>
        <v>103.065</v>
      </c>
      <c r="I95" s="7">
        <f t="shared" si="34"/>
        <v>12.586370757115656</v>
      </c>
      <c r="J95" s="7">
        <f t="shared" si="35"/>
        <v>17.988235935679555</v>
      </c>
      <c r="K95" s="7">
        <f t="shared" si="36"/>
        <v>50.81540520218357</v>
      </c>
      <c r="L95" s="7">
        <f t="shared" si="22"/>
        <v>6141.5810897140782</v>
      </c>
      <c r="M95" s="7">
        <f t="shared" si="23"/>
        <v>6150.5752076819181</v>
      </c>
      <c r="N95" s="7">
        <f t="shared" si="24"/>
        <v>6159.569325649758</v>
      </c>
      <c r="O95" s="7" t="str">
        <f t="shared" si="26"/>
        <v>c 454349.0932,3042438.565 1</v>
      </c>
      <c r="P95" s="7"/>
      <c r="Q95" s="10">
        <f t="shared" si="27"/>
        <v>38.22903444506791</v>
      </c>
      <c r="R95" s="7">
        <f t="shared" si="28"/>
        <v>36.734345855767032</v>
      </c>
      <c r="S95" s="5">
        <f t="shared" si="29"/>
        <v>32.589724182830409</v>
      </c>
      <c r="T95" s="2" t="str">
        <f t="shared" si="30"/>
        <v>-text 454349.0932,3042438.565 7 0 IP71</v>
      </c>
      <c r="U95" s="2" t="str">
        <f t="shared" si="31"/>
        <v>dt 454349.0932,3042438.565 5 0 IP71(454349.0932,3042438.565)*</v>
      </c>
      <c r="V95" s="12"/>
      <c r="W95" s="1" t="str">
        <f t="shared" si="32"/>
        <v>dt 454339.0932,3042428.565 5 0 R=10*T=12.586*S=17.988*α=103.065*</v>
      </c>
    </row>
    <row r="96" spans="1:23" x14ac:dyDescent="0.2">
      <c r="A96" s="2">
        <f t="shared" si="53"/>
        <v>72</v>
      </c>
      <c r="B96" s="2" t="str">
        <f t="shared" si="52"/>
        <v>IP72</v>
      </c>
      <c r="C96" s="8"/>
      <c r="D96" s="6">
        <v>96</v>
      </c>
      <c r="E96" s="236">
        <v>454395.0796</v>
      </c>
      <c r="F96" s="236">
        <v>3042420.7385</v>
      </c>
      <c r="G96" s="6">
        <v>10</v>
      </c>
      <c r="H96" s="7">
        <f t="shared" si="33"/>
        <v>13.429</v>
      </c>
      <c r="I96" s="7">
        <f t="shared" si="34"/>
        <v>1.1772957415041176</v>
      </c>
      <c r="J96" s="7">
        <f t="shared" si="35"/>
        <v>2.343802652503185</v>
      </c>
      <c r="K96" s="7">
        <f t="shared" si="36"/>
        <v>49.320716612882684</v>
      </c>
      <c r="L96" s="7">
        <f t="shared" si="22"/>
        <v>6195.1263757640208</v>
      </c>
      <c r="M96" s="7">
        <f t="shared" si="23"/>
        <v>6196.2982770902727</v>
      </c>
      <c r="N96" s="7">
        <f t="shared" si="24"/>
        <v>6197.4701784165236</v>
      </c>
      <c r="O96" s="7" t="str">
        <f t="shared" si="26"/>
        <v>c 454395.0796,3042420.7385 1</v>
      </c>
      <c r="P96" s="7"/>
      <c r="Q96" s="10">
        <f t="shared" si="27"/>
        <v>48.143420871378567</v>
      </c>
      <c r="R96" s="7">
        <f t="shared" si="28"/>
        <v>63.74810634331633</v>
      </c>
      <c r="S96" s="5">
        <f t="shared" si="29"/>
        <v>35.557050114262914</v>
      </c>
      <c r="T96" s="2" t="str">
        <f t="shared" si="30"/>
        <v>-text 454395.0796,3042420.7385 7 0 IP72</v>
      </c>
      <c r="U96" s="2" t="str">
        <f t="shared" si="31"/>
        <v>dt 454395.0796,3042420.7385 5 0 IP72(454395.0796,3042420.7385)*</v>
      </c>
      <c r="V96" s="12"/>
      <c r="W96" s="1" t="str">
        <f t="shared" si="32"/>
        <v>dt 454385.0796,3042410.7385 5 0 R=10*T=1.177*S=2.343*α=13.429*</v>
      </c>
    </row>
    <row r="97" spans="1:23" x14ac:dyDescent="0.2">
      <c r="A97" s="2">
        <f t="shared" si="53"/>
        <v>73</v>
      </c>
      <c r="B97" s="2" t="str">
        <f t="shared" si="52"/>
        <v>IP73</v>
      </c>
      <c r="C97" s="8"/>
      <c r="D97" s="6">
        <v>97</v>
      </c>
      <c r="E97" s="236">
        <v>454448.51079999999</v>
      </c>
      <c r="F97" s="236">
        <v>3042383.8547</v>
      </c>
      <c r="G97" s="6">
        <v>10</v>
      </c>
      <c r="H97" s="7">
        <f t="shared" si="33"/>
        <v>15.891</v>
      </c>
      <c r="I97" s="7">
        <f t="shared" si="34"/>
        <v>1.3957097169208503</v>
      </c>
      <c r="J97" s="7">
        <f t="shared" si="35"/>
        <v>2.7735027143441888</v>
      </c>
      <c r="K97" s="7">
        <f t="shared" si="36"/>
        <v>64.925402084820448</v>
      </c>
      <c r="L97" s="7">
        <f t="shared" si="22"/>
        <v>6259.8225750429201</v>
      </c>
      <c r="M97" s="7">
        <f t="shared" si="23"/>
        <v>6261.2093264000923</v>
      </c>
      <c r="N97" s="7">
        <f t="shared" si="24"/>
        <v>6262.5960777572645</v>
      </c>
      <c r="O97" s="7" t="str">
        <f t="shared" si="26"/>
        <v>c 454448.5108,3042383.8547 1</v>
      </c>
      <c r="P97" s="7"/>
      <c r="Q97" s="10">
        <f t="shared" si="27"/>
        <v>63.5296923678996</v>
      </c>
      <c r="R97" s="7">
        <f t="shared" si="28"/>
        <v>71.133868326577755</v>
      </c>
      <c r="S97" s="5">
        <f t="shared" si="29"/>
        <v>62.352396626395482</v>
      </c>
      <c r="T97" s="2" t="str">
        <f t="shared" si="30"/>
        <v>-text 454448.5108,3042383.8547 7 0 IP73</v>
      </c>
      <c r="U97" s="2" t="str">
        <f t="shared" si="31"/>
        <v>dt 454448.5108,3042383.8547 5 0 IP73(454448.5108,3042383.8547)*</v>
      </c>
      <c r="V97" s="12"/>
      <c r="W97" s="1" t="str">
        <f t="shared" si="32"/>
        <v>dt 454438.5108,3042373.8547 5 0 R=10*T=1.395*S=2.773*α=15.891*</v>
      </c>
    </row>
    <row r="98" spans="1:23" x14ac:dyDescent="0.2">
      <c r="A98" s="2">
        <f t="shared" si="53"/>
        <v>74</v>
      </c>
      <c r="B98" s="2" t="str">
        <f t="shared" si="52"/>
        <v>IP74</v>
      </c>
      <c r="C98" s="8"/>
      <c r="D98" s="6">
        <v>98</v>
      </c>
      <c r="E98" s="236">
        <v>454517.2009</v>
      </c>
      <c r="F98" s="236">
        <v>3042360.5693000001</v>
      </c>
      <c r="G98" s="6">
        <v>10</v>
      </c>
      <c r="H98" s="7">
        <f t="shared" si="33"/>
        <v>148.124</v>
      </c>
      <c r="I98" s="7">
        <f t="shared" si="34"/>
        <v>35.017111204712904</v>
      </c>
      <c r="J98" s="7">
        <f t="shared" si="35"/>
        <v>25.852515012240808</v>
      </c>
      <c r="K98" s="7">
        <f t="shared" si="36"/>
        <v>72.529578043498603</v>
      </c>
      <c r="L98" s="7">
        <f t="shared" si="22"/>
        <v>6298.7128348791302</v>
      </c>
      <c r="M98" s="7">
        <f t="shared" si="23"/>
        <v>6311.6390923852505</v>
      </c>
      <c r="N98" s="7">
        <f t="shared" si="24"/>
        <v>6324.5653498913707</v>
      </c>
      <c r="O98" s="7" t="str">
        <f t="shared" si="26"/>
        <v>c 454517.2009,3042360.5693 1</v>
      </c>
      <c r="P98" s="7"/>
      <c r="Q98" s="10">
        <f t="shared" si="27"/>
        <v>37.512466838785699</v>
      </c>
      <c r="R98" s="7">
        <f t="shared" si="28"/>
        <v>18.439826409579659</v>
      </c>
      <c r="S98" s="5">
        <f t="shared" si="29"/>
        <v>36.11675712186485</v>
      </c>
      <c r="T98" s="2" t="str">
        <f t="shared" si="30"/>
        <v>-text 454517.2009,3042360.5693 7 0 IP74</v>
      </c>
      <c r="U98" s="2" t="str">
        <f t="shared" si="31"/>
        <v>dt 454517.2009,3042360.5693 5 0 IP74(454517.2009,3042360.5693)*</v>
      </c>
      <c r="V98" s="12"/>
      <c r="W98" s="1" t="str">
        <f t="shared" si="32"/>
        <v>dt 454507.2009,3042350.5693 5 0 R=10*T=35.017*S=25.852*α=148.124*</v>
      </c>
    </row>
    <row r="99" spans="1:23" s="213" customFormat="1" x14ac:dyDescent="0.2">
      <c r="A99" s="205"/>
      <c r="B99" s="205" t="s">
        <v>196</v>
      </c>
      <c r="C99" s="206" t="s">
        <v>196</v>
      </c>
      <c r="D99" s="6">
        <v>99</v>
      </c>
      <c r="E99" s="236">
        <v>454465.14559999999</v>
      </c>
      <c r="F99" s="236">
        <v>3042348.4082999998</v>
      </c>
      <c r="G99" s="207">
        <v>10</v>
      </c>
      <c r="H99" s="7">
        <v>0</v>
      </c>
      <c r="I99" s="7">
        <f t="shared" ref="I99:I100" si="54">G99*TAN(PI()/180*H99/2)</f>
        <v>0</v>
      </c>
      <c r="J99" s="7">
        <f t="shared" ref="J99:J100" si="55">H99*PI()*G99/180</f>
        <v>0</v>
      </c>
      <c r="K99" s="7">
        <f t="shared" si="36"/>
        <v>53.456937614292563</v>
      </c>
      <c r="L99" s="7">
        <f t="shared" si="22"/>
        <v>6343.0051763009506</v>
      </c>
      <c r="M99" s="7">
        <f t="shared" si="23"/>
        <v>6343.0051763009506</v>
      </c>
      <c r="N99" s="7">
        <f t="shared" si="24"/>
        <v>6343.0051763009506</v>
      </c>
      <c r="O99" s="209" t="str">
        <f t="shared" si="26"/>
        <v>c 454465.1456,3042348.4083 1</v>
      </c>
      <c r="P99" s="209"/>
      <c r="Q99" s="210">
        <f t="shared" si="27"/>
        <v>53.456937614292563</v>
      </c>
      <c r="R99" s="209">
        <f t="shared" si="28"/>
        <v>34.713382710934411</v>
      </c>
      <c r="S99" s="211">
        <f t="shared" si="29"/>
        <v>18.439826409579659</v>
      </c>
      <c r="T99" s="205" t="str">
        <f t="shared" si="30"/>
        <v>-text 454465.1456,3042348.4083 7 0 6#斗门</v>
      </c>
      <c r="U99" s="205" t="str">
        <f t="shared" si="31"/>
        <v>dt 454465.1456,3042348.4083 5 0 6#斗门(454465.1456,3042348.4083)*</v>
      </c>
      <c r="V99" s="212"/>
      <c r="W99" s="212" t="str">
        <f t="shared" si="32"/>
        <v>dt 454455.1456,3042338.4083 5 0 R=10*T=0*S=0*α=0*</v>
      </c>
    </row>
    <row r="100" spans="1:23" x14ac:dyDescent="0.2">
      <c r="A100" s="2">
        <f>A98+1</f>
        <v>75</v>
      </c>
      <c r="B100" s="2" t="str">
        <f t="shared" si="52"/>
        <v>IP75</v>
      </c>
      <c r="C100" s="8"/>
      <c r="D100" s="6">
        <v>100</v>
      </c>
      <c r="E100" s="236">
        <v>454431.34240000002</v>
      </c>
      <c r="F100" s="236">
        <v>3042340.5112999999</v>
      </c>
      <c r="G100" s="6">
        <v>10</v>
      </c>
      <c r="H100" s="7">
        <f t="shared" ref="H99:H100" si="56">ROUND(IF((2*SQRT((E99-E100)^2+(F99-F100)^2)*SQRT((E101-E100)^2+(F101-F100)^2))=0,0,180-ACOS(((E99-E100)^2+(F99-F100)^2+(E101-E100)^2+(F101-F100)^2-(E101-E99)^2-(F101-F99)^2)/(2*SQRT((E99-E100)^2+(F99-F100)^2)*SQRT((E101-E100)^2+(F101-F100)^2)))/PI()*180),3)</f>
        <v>116.86</v>
      </c>
      <c r="I100" s="7">
        <f t="shared" si="54"/>
        <v>16.273854637957136</v>
      </c>
      <c r="J100" s="7">
        <f t="shared" si="55"/>
        <v>20.395917638805734</v>
      </c>
      <c r="K100" s="7">
        <f t="shared" si="36"/>
        <v>34.713382710934411</v>
      </c>
      <c r="L100" s="7">
        <f t="shared" si="22"/>
        <v>6361.4447043739283</v>
      </c>
      <c r="M100" s="7">
        <f t="shared" si="23"/>
        <v>6371.6426631933309</v>
      </c>
      <c r="N100" s="7">
        <f t="shared" si="24"/>
        <v>6381.8406220127345</v>
      </c>
      <c r="O100" s="7" t="str">
        <f t="shared" si="26"/>
        <v>c 454431.3424,3042340.5113 1</v>
      </c>
      <c r="P100" s="7"/>
      <c r="Q100" s="10">
        <f t="shared" si="27"/>
        <v>18.439528072977275</v>
      </c>
      <c r="R100" s="7">
        <f t="shared" si="28"/>
        <v>37.763684020034475</v>
      </c>
      <c r="S100" s="5">
        <f t="shared" si="29"/>
        <v>18.439528072977275</v>
      </c>
      <c r="T100" s="2" t="str">
        <f t="shared" si="30"/>
        <v>-text 454431.3424,3042340.5113 7 0 IP75</v>
      </c>
      <c r="U100" s="2" t="str">
        <f t="shared" si="31"/>
        <v>dt 454431.3424,3042340.5113 5 0 IP75(454431.3424,3042340.5113)*</v>
      </c>
      <c r="V100" s="12"/>
      <c r="W100" s="1" t="str">
        <f t="shared" si="32"/>
        <v>dt 454421.3424,3042330.5113 5 0 R=10*T=16.273*S=20.395*α=116.86*</v>
      </c>
    </row>
    <row r="101" spans="1:23" x14ac:dyDescent="0.2">
      <c r="A101" s="2">
        <f t="shared" si="53"/>
        <v>76</v>
      </c>
      <c r="B101" s="2" t="str">
        <f t="shared" si="52"/>
        <v>IP76</v>
      </c>
      <c r="C101" s="8"/>
      <c r="D101" s="6">
        <v>101</v>
      </c>
      <c r="E101" s="236">
        <v>454466.08380000002</v>
      </c>
      <c r="F101" s="236">
        <v>3042299.1217999998</v>
      </c>
      <c r="G101" s="6">
        <v>10</v>
      </c>
      <c r="H101" s="7">
        <f t="shared" si="33"/>
        <v>12.614000000000001</v>
      </c>
      <c r="I101" s="7">
        <f t="shared" si="34"/>
        <v>1.1052469162443359</v>
      </c>
      <c r="J101" s="7">
        <f t="shared" si="35"/>
        <v>2.2015583184656475</v>
      </c>
      <c r="K101" s="7">
        <f t="shared" si="36"/>
        <v>54.037538657991611</v>
      </c>
      <c r="L101" s="7">
        <f t="shared" si="22"/>
        <v>6418.4990591165242</v>
      </c>
      <c r="M101" s="7">
        <f t="shared" si="23"/>
        <v>6419.5998382757571</v>
      </c>
      <c r="N101" s="7">
        <f t="shared" si="24"/>
        <v>6420.7006174349899</v>
      </c>
      <c r="O101" s="7" t="str">
        <f t="shared" si="26"/>
        <v>c 454466.0838,3042299.1218 1</v>
      </c>
      <c r="P101" s="7"/>
      <c r="Q101" s="10">
        <f t="shared" si="27"/>
        <v>52.932291741747278</v>
      </c>
      <c r="R101" s="7">
        <f t="shared" si="28"/>
        <v>45.499517935587583</v>
      </c>
      <c r="S101" s="5">
        <f t="shared" si="29"/>
        <v>36.658437103790142</v>
      </c>
      <c r="T101" s="2" t="str">
        <f t="shared" si="30"/>
        <v>-text 454466.0838,3042299.1218 7 0 IP76</v>
      </c>
      <c r="U101" s="2" t="str">
        <f t="shared" si="31"/>
        <v>dt 454466.0838,3042299.1218 5 0 IP76(454466.0838,3042299.1218)*</v>
      </c>
      <c r="V101" s="12"/>
      <c r="W101" s="1" t="str">
        <f t="shared" si="32"/>
        <v>dt 454456.0838,3042289.1218 5 0 R=10*T=1.105*S=2.201*α=12.614*</v>
      </c>
    </row>
    <row r="102" spans="1:23" x14ac:dyDescent="0.2">
      <c r="A102" s="2">
        <f t="shared" si="53"/>
        <v>77</v>
      </c>
      <c r="B102" s="2" t="str">
        <f t="shared" si="52"/>
        <v>IP77</v>
      </c>
      <c r="C102" s="8"/>
      <c r="D102" s="6">
        <v>102</v>
      </c>
      <c r="E102" s="236">
        <v>454503.11869999999</v>
      </c>
      <c r="F102" s="236">
        <v>3042270.8300999999</v>
      </c>
      <c r="G102" s="6">
        <v>10</v>
      </c>
      <c r="H102" s="7">
        <f t="shared" si="33"/>
        <v>128.548</v>
      </c>
      <c r="I102" s="7">
        <f t="shared" si="34"/>
        <v>20.754358159144104</v>
      </c>
      <c r="J102" s="7">
        <f t="shared" si="35"/>
        <v>22.435858468536708</v>
      </c>
      <c r="K102" s="7">
        <f t="shared" si="36"/>
        <v>46.604764851831916</v>
      </c>
      <c r="L102" s="7">
        <f t="shared" si="22"/>
        <v>6445.4457772114329</v>
      </c>
      <c r="M102" s="7">
        <f t="shared" si="23"/>
        <v>6456.6637064457009</v>
      </c>
      <c r="N102" s="7">
        <f t="shared" si="24"/>
        <v>6467.8816356799698</v>
      </c>
      <c r="O102" s="7" t="str">
        <f t="shared" si="26"/>
        <v>c 454503.1187,3042270.8301 1</v>
      </c>
      <c r="P102" s="7"/>
      <c r="Q102" s="10">
        <f t="shared" si="27"/>
        <v>25.850406692687812</v>
      </c>
      <c r="R102" s="7">
        <f t="shared" si="28"/>
        <v>18.994402300143577</v>
      </c>
      <c r="S102" s="5">
        <f t="shared" si="29"/>
        <v>24.745159776443479</v>
      </c>
      <c r="T102" s="2" t="str">
        <f t="shared" si="30"/>
        <v>-text 454503.1187,3042270.8301 7 0 IP77</v>
      </c>
      <c r="U102" s="2" t="str">
        <f t="shared" si="31"/>
        <v>dt 454503.1187,3042270.8301 5 0 IP77(454503.1187,3042270.8301)*</v>
      </c>
      <c r="V102" s="12"/>
      <c r="W102" s="1" t="str">
        <f t="shared" si="32"/>
        <v>dt 454493.1187,3042260.8301 5 0 R=10*T=20.754*S=22.435*α=128.548*</v>
      </c>
    </row>
    <row r="103" spans="1:23" x14ac:dyDescent="0.2">
      <c r="A103" s="2">
        <f t="shared" si="53"/>
        <v>78</v>
      </c>
      <c r="B103" s="2" t="str">
        <f t="shared" si="52"/>
        <v>IP78</v>
      </c>
      <c r="C103" s="8"/>
      <c r="D103" s="6">
        <v>103</v>
      </c>
      <c r="E103" s="236">
        <v>454464.56329999998</v>
      </c>
      <c r="F103" s="236">
        <v>3042261.1634</v>
      </c>
      <c r="G103" s="6">
        <v>10</v>
      </c>
      <c r="H103" s="7">
        <f t="shared" si="33"/>
        <v>51.872</v>
      </c>
      <c r="I103" s="7">
        <f t="shared" si="34"/>
        <v>4.8635061222554299</v>
      </c>
      <c r="J103" s="7">
        <f t="shared" si="35"/>
        <v>9.0533718959449878</v>
      </c>
      <c r="K103" s="7">
        <f t="shared" si="36"/>
        <v>39.748760459287681</v>
      </c>
      <c r="L103" s="7">
        <f t="shared" si="22"/>
        <v>6482.0125318578566</v>
      </c>
      <c r="M103" s="7">
        <f t="shared" si="23"/>
        <v>6486.5392178058291</v>
      </c>
      <c r="N103" s="7">
        <f t="shared" si="24"/>
        <v>6491.0659037538016</v>
      </c>
      <c r="O103" s="7" t="str">
        <f t="shared" si="26"/>
        <v>c 454464.5633,3042261.1634 1</v>
      </c>
      <c r="P103" s="7"/>
      <c r="Q103" s="10">
        <f t="shared" si="27"/>
        <v>34.885254337032251</v>
      </c>
      <c r="R103" s="7">
        <f t="shared" si="28"/>
        <v>18.802658591465139</v>
      </c>
      <c r="S103" s="5">
        <f t="shared" si="29"/>
        <v>14.130896177888147</v>
      </c>
      <c r="T103" s="2" t="str">
        <f t="shared" si="30"/>
        <v>-text 454464.5633,3042261.1634 7 0 IP78</v>
      </c>
      <c r="U103" s="2" t="str">
        <f t="shared" si="31"/>
        <v>dt 454464.5633,3042261.1634 5 0 IP78(454464.5633,3042261.1634)*</v>
      </c>
      <c r="V103" s="12"/>
      <c r="W103" s="1" t="str">
        <f t="shared" si="32"/>
        <v>dt 454454.5633,3042251.1634 5 0 R=10*T=4.863*S=9.053*α=51.872*</v>
      </c>
    </row>
    <row r="104" spans="1:23" s="158" customFormat="1" x14ac:dyDescent="0.2">
      <c r="A104" s="156"/>
      <c r="B104" s="156" t="str">
        <f t="shared" si="52"/>
        <v>3#隧进</v>
      </c>
      <c r="C104" s="157" t="s">
        <v>150</v>
      </c>
      <c r="D104" s="6">
        <v>104</v>
      </c>
      <c r="E104" s="236">
        <v>454454.91739999998</v>
      </c>
      <c r="F104" s="236">
        <v>3042239.5521999998</v>
      </c>
      <c r="G104" s="9">
        <v>10</v>
      </c>
      <c r="H104" s="7">
        <f t="shared" si="33"/>
        <v>0</v>
      </c>
      <c r="I104" s="7">
        <f t="shared" si="34"/>
        <v>0</v>
      </c>
      <c r="J104" s="7">
        <f t="shared" si="35"/>
        <v>0</v>
      </c>
      <c r="K104" s="7">
        <f t="shared" si="36"/>
        <v>23.666164713720569</v>
      </c>
      <c r="L104" s="7">
        <f t="shared" si="22"/>
        <v>6509.8685623452666</v>
      </c>
      <c r="M104" s="7">
        <f t="shared" si="23"/>
        <v>6509.8685623452666</v>
      </c>
      <c r="N104" s="7">
        <f t="shared" si="24"/>
        <v>6509.8685623452666</v>
      </c>
      <c r="O104" s="7" t="str">
        <f t="shared" si="26"/>
        <v>c 454454.9174,3042239.5522 1</v>
      </c>
      <c r="P104" s="7"/>
      <c r="Q104" s="10">
        <f t="shared" si="27"/>
        <v>23.666164713720569</v>
      </c>
      <c r="R104" s="7">
        <f t="shared" si="28"/>
        <v>152.30191234977289</v>
      </c>
      <c r="S104" s="5">
        <f t="shared" si="29"/>
        <v>18.802658591465139</v>
      </c>
      <c r="T104" s="2" t="str">
        <f t="shared" si="30"/>
        <v>-text 454454.9174,3042239.5522 7 0 3#隧进</v>
      </c>
      <c r="U104" s="2" t="str">
        <f t="shared" si="31"/>
        <v>dt 454454.9174,3042239.5522 5 0 3#隧进(454454.9174,3042239.5522)*</v>
      </c>
      <c r="V104" s="12"/>
      <c r="W104" s="1" t="str">
        <f t="shared" si="32"/>
        <v>dt 454444.9174,3042229.5522 5 0 R=10*T=0*S=0*α=0*</v>
      </c>
    </row>
    <row r="105" spans="1:23" s="158" customFormat="1" x14ac:dyDescent="0.2">
      <c r="A105" s="156"/>
      <c r="B105" s="156" t="str">
        <f t="shared" si="52"/>
        <v>3#隧出</v>
      </c>
      <c r="C105" s="157" t="s">
        <v>151</v>
      </c>
      <c r="D105" s="6">
        <v>105</v>
      </c>
      <c r="E105" s="236">
        <v>454392.84159999999</v>
      </c>
      <c r="F105" s="236">
        <v>3042100.4750000001</v>
      </c>
      <c r="G105" s="9">
        <v>10</v>
      </c>
      <c r="H105" s="7">
        <f t="shared" si="33"/>
        <v>0</v>
      </c>
      <c r="I105" s="7">
        <f t="shared" si="34"/>
        <v>0</v>
      </c>
      <c r="J105" s="7">
        <f t="shared" si="35"/>
        <v>0</v>
      </c>
      <c r="K105" s="7">
        <f t="shared" si="36"/>
        <v>152.30191234977289</v>
      </c>
      <c r="L105" s="7">
        <f t="shared" si="22"/>
        <v>6662.170474695039</v>
      </c>
      <c r="M105" s="7">
        <f t="shared" si="23"/>
        <v>6662.170474695039</v>
      </c>
      <c r="N105" s="7">
        <f t="shared" si="24"/>
        <v>6662.170474695039</v>
      </c>
      <c r="O105" s="7" t="str">
        <f t="shared" si="26"/>
        <v>c 454392.8416,3042100.475 1</v>
      </c>
      <c r="P105" s="7"/>
      <c r="Q105" s="10">
        <f t="shared" si="27"/>
        <v>152.30191234977289</v>
      </c>
      <c r="R105" s="7">
        <f t="shared" si="28"/>
        <v>48.780590570717962</v>
      </c>
      <c r="S105" s="5">
        <f t="shared" si="29"/>
        <v>152.30191234977289</v>
      </c>
      <c r="T105" s="2" t="str">
        <f t="shared" si="30"/>
        <v>-text 454392.8416,3042100.475 7 0 3#隧出</v>
      </c>
      <c r="U105" s="2" t="str">
        <f t="shared" si="31"/>
        <v>dt 454392.8416,3042100.475 5 0 3#隧出(454392.8416,3042100.475)*</v>
      </c>
      <c r="V105" s="12"/>
      <c r="W105" s="1" t="str">
        <f t="shared" si="32"/>
        <v>dt 454382.8416,3042090.475 5 0 R=10*T=0*S=0*α=0*</v>
      </c>
    </row>
    <row r="106" spans="1:23" s="158" customFormat="1" x14ac:dyDescent="0.2">
      <c r="A106" s="156"/>
      <c r="B106" s="156" t="str">
        <f t="shared" si="52"/>
        <v>7#倒进</v>
      </c>
      <c r="C106" s="157" t="s">
        <v>152</v>
      </c>
      <c r="D106" s="6">
        <v>106</v>
      </c>
      <c r="E106" s="236">
        <v>454372.9595</v>
      </c>
      <c r="F106" s="236">
        <v>3042055.9301</v>
      </c>
      <c r="G106" s="9">
        <v>10</v>
      </c>
      <c r="H106" s="7">
        <f t="shared" si="33"/>
        <v>0</v>
      </c>
      <c r="I106" s="7">
        <f t="shared" si="34"/>
        <v>0</v>
      </c>
      <c r="J106" s="7">
        <f t="shared" si="35"/>
        <v>0</v>
      </c>
      <c r="K106" s="7">
        <f t="shared" si="36"/>
        <v>48.780590570717962</v>
      </c>
      <c r="L106" s="7">
        <f t="shared" si="22"/>
        <v>6710.9510652657573</v>
      </c>
      <c r="M106" s="7">
        <f t="shared" si="23"/>
        <v>6710.9510652657573</v>
      </c>
      <c r="N106" s="7">
        <f t="shared" si="24"/>
        <v>6710.9510652657573</v>
      </c>
      <c r="O106" s="7" t="str">
        <f t="shared" si="26"/>
        <v>c 454372.9595,3042055.9301 1</v>
      </c>
      <c r="P106" s="7"/>
      <c r="Q106" s="10">
        <f t="shared" si="27"/>
        <v>48.780590570717962</v>
      </c>
      <c r="R106" s="7">
        <f t="shared" si="28"/>
        <v>27.189877382108449</v>
      </c>
      <c r="S106" s="5">
        <f t="shared" si="29"/>
        <v>48.780590570717962</v>
      </c>
      <c r="T106" s="2" t="str">
        <f t="shared" si="30"/>
        <v>-text 454372.9595,3042055.9301 7 0 7#倒进</v>
      </c>
      <c r="U106" s="2" t="str">
        <f t="shared" si="31"/>
        <v>dt 454372.9595,3042055.9301 5 0 7#倒进(454372.9595,3042055.9301)*</v>
      </c>
      <c r="V106" s="12"/>
      <c r="W106" s="1" t="str">
        <f t="shared" si="32"/>
        <v>dt 454362.9595,3042045.9301 5 0 R=10*T=0*S=0*α=0*</v>
      </c>
    </row>
    <row r="107" spans="1:23" s="158" customFormat="1" x14ac:dyDescent="0.2">
      <c r="A107" s="156">
        <f>A103+1</f>
        <v>79</v>
      </c>
      <c r="B107" s="156" t="str">
        <f t="shared" si="52"/>
        <v>IP79</v>
      </c>
      <c r="C107" s="159"/>
      <c r="D107" s="6">
        <v>107</v>
      </c>
      <c r="E107" s="236">
        <v>454361.87729999999</v>
      </c>
      <c r="F107" s="236">
        <v>3042031.1011999999</v>
      </c>
      <c r="G107" s="168">
        <v>2.4</v>
      </c>
      <c r="H107" s="7">
        <f t="shared" si="33"/>
        <v>24.399000000000001</v>
      </c>
      <c r="I107" s="7">
        <f t="shared" si="34"/>
        <v>0.51887644411926237</v>
      </c>
      <c r="J107" s="7">
        <f t="shared" si="35"/>
        <v>1.0220229220658317</v>
      </c>
      <c r="K107" s="7">
        <f t="shared" si="36"/>
        <v>27.189877382108449</v>
      </c>
      <c r="L107" s="7">
        <f t="shared" si="22"/>
        <v>6737.6220662037467</v>
      </c>
      <c r="M107" s="7">
        <f t="shared" si="23"/>
        <v>6738.1330776647792</v>
      </c>
      <c r="N107" s="7">
        <f t="shared" si="24"/>
        <v>6738.6440891258126</v>
      </c>
      <c r="O107" s="7" t="str">
        <f t="shared" si="26"/>
        <v>c 454361.8773,3042031.1012 1</v>
      </c>
      <c r="P107" s="7"/>
      <c r="Q107" s="10">
        <f t="shared" si="27"/>
        <v>26.671000937989188</v>
      </c>
      <c r="R107" s="7">
        <f t="shared" si="28"/>
        <v>167.50250634796825</v>
      </c>
      <c r="S107" s="5">
        <f t="shared" si="29"/>
        <v>26.671000937989188</v>
      </c>
      <c r="T107" s="2" t="str">
        <f t="shared" si="30"/>
        <v>-text 454361.8773,3042031.1012 7 0 IP79</v>
      </c>
      <c r="U107" s="2" t="str">
        <f t="shared" si="31"/>
        <v>dt 454361.8773,3042031.1012 5 0 IP79(454361.8773,3042031.1012)*</v>
      </c>
      <c r="V107" s="12"/>
      <c r="W107" s="1" t="str">
        <f t="shared" si="32"/>
        <v>dt 454351.8773,3042021.1012 5 0 R=2.4*T=0.518*S=1.022*α=24.399*</v>
      </c>
    </row>
    <row r="108" spans="1:23" s="158" customFormat="1" x14ac:dyDescent="0.2">
      <c r="A108" s="156">
        <f>A107+1</f>
        <v>80</v>
      </c>
      <c r="B108" s="156" t="str">
        <f t="shared" si="52"/>
        <v>IP80</v>
      </c>
      <c r="C108" s="159"/>
      <c r="D108" s="6">
        <v>108</v>
      </c>
      <c r="E108" s="236">
        <v>454236.12939999998</v>
      </c>
      <c r="F108" s="236">
        <v>3041919.6622000001</v>
      </c>
      <c r="G108" s="168">
        <v>2.4</v>
      </c>
      <c r="H108" s="7">
        <f t="shared" si="33"/>
        <v>7.8810000000000002</v>
      </c>
      <c r="I108" s="7">
        <f t="shared" si="34"/>
        <v>0.16532001255564768</v>
      </c>
      <c r="J108" s="7">
        <f t="shared" si="35"/>
        <v>0.33011855603921547</v>
      </c>
      <c r="K108" s="7">
        <f t="shared" si="36"/>
        <v>168.02138279208751</v>
      </c>
      <c r="L108" s="7">
        <f t="shared" si="22"/>
        <v>6905.9812754612249</v>
      </c>
      <c r="M108" s="7">
        <f t="shared" si="23"/>
        <v>6906.1463347392446</v>
      </c>
      <c r="N108" s="7">
        <f t="shared" si="24"/>
        <v>6906.3113940172643</v>
      </c>
      <c r="O108" s="7" t="str">
        <f t="shared" si="26"/>
        <v>c 454236.1294,3041919.6622 1</v>
      </c>
      <c r="P108" s="7"/>
      <c r="Q108" s="10">
        <f t="shared" si="27"/>
        <v>167.85606277953187</v>
      </c>
      <c r="R108" s="7">
        <f t="shared" si="28"/>
        <v>189.70804673972563</v>
      </c>
      <c r="S108" s="5">
        <f t="shared" si="29"/>
        <v>167.33718633541261</v>
      </c>
      <c r="T108" s="2" t="str">
        <f t="shared" si="30"/>
        <v>-text 454236.1294,3041919.6622 7 0 IP80</v>
      </c>
      <c r="U108" s="2" t="str">
        <f t="shared" si="31"/>
        <v>dt 454236.1294,3041919.6622 5 0 IP80(454236.1294,3041919.6622)*</v>
      </c>
      <c r="V108" s="12"/>
      <c r="W108" s="1" t="str">
        <f t="shared" si="32"/>
        <v>dt 454226.1294,3041909.6622 5 0 R=2.4*T=0.165*S=0.33*α=7.881*</v>
      </c>
    </row>
    <row r="109" spans="1:23" s="158" customFormat="1" x14ac:dyDescent="0.2">
      <c r="A109" s="156"/>
      <c r="B109" s="156" t="str">
        <f t="shared" si="52"/>
        <v>7#倒出</v>
      </c>
      <c r="C109" s="157" t="s">
        <v>153</v>
      </c>
      <c r="D109" s="6">
        <v>109</v>
      </c>
      <c r="E109" s="236">
        <v>454112.63789999997</v>
      </c>
      <c r="F109" s="236">
        <v>3041775.4341000002</v>
      </c>
      <c r="G109" s="9">
        <v>10</v>
      </c>
      <c r="H109" s="7">
        <f t="shared" si="33"/>
        <v>0</v>
      </c>
      <c r="I109" s="7">
        <f t="shared" si="34"/>
        <v>0</v>
      </c>
      <c r="J109" s="7">
        <f t="shared" si="35"/>
        <v>0</v>
      </c>
      <c r="K109" s="7">
        <f t="shared" si="36"/>
        <v>189.87336675228127</v>
      </c>
      <c r="L109" s="7">
        <f t="shared" si="22"/>
        <v>7096.0194407569898</v>
      </c>
      <c r="M109" s="7">
        <f t="shared" si="23"/>
        <v>7096.0194407569898</v>
      </c>
      <c r="N109" s="7">
        <f t="shared" si="24"/>
        <v>7096.0194407569898</v>
      </c>
      <c r="O109" s="7" t="str">
        <f t="shared" si="26"/>
        <v>c 454112.6379,3041775.4341 1</v>
      </c>
      <c r="P109" s="7"/>
      <c r="Q109" s="10">
        <f t="shared" si="27"/>
        <v>189.87336675228127</v>
      </c>
      <c r="R109" s="7">
        <f t="shared" si="28"/>
        <v>11.999943841783789</v>
      </c>
      <c r="S109" s="5">
        <f t="shared" si="29"/>
        <v>189.70804673972563</v>
      </c>
      <c r="T109" s="2" t="str">
        <f t="shared" si="30"/>
        <v>-text 454112.6379,3041775.4341 7 0 7#倒出</v>
      </c>
      <c r="U109" s="2" t="str">
        <f t="shared" si="31"/>
        <v>dt 454112.6379,3041775.4341 5 0 7#倒出(454112.6379,3041775.4341)*</v>
      </c>
      <c r="V109" s="12"/>
      <c r="W109" s="1" t="str">
        <f t="shared" si="32"/>
        <v>dt 454102.6379,3041765.4341 5 0 R=10*T=0*S=0*α=0*</v>
      </c>
    </row>
    <row r="110" spans="1:23" x14ac:dyDescent="0.2">
      <c r="A110" s="2">
        <f>A108+1</f>
        <v>81</v>
      </c>
      <c r="B110" s="2" t="str">
        <f t="shared" si="52"/>
        <v>IP81</v>
      </c>
      <c r="C110" s="8"/>
      <c r="D110" s="6">
        <v>110</v>
      </c>
      <c r="E110" s="236">
        <v>454104.8333</v>
      </c>
      <c r="F110" s="236">
        <v>3041766.3188999998</v>
      </c>
      <c r="G110" s="6">
        <v>10</v>
      </c>
      <c r="H110" s="7">
        <f t="shared" si="33"/>
        <v>23.254000000000001</v>
      </c>
      <c r="I110" s="7">
        <f t="shared" si="34"/>
        <v>2.0576166284662181</v>
      </c>
      <c r="J110" s="7">
        <f t="shared" si="35"/>
        <v>4.0585886425876136</v>
      </c>
      <c r="K110" s="7">
        <f t="shared" si="36"/>
        <v>11.999943841783789</v>
      </c>
      <c r="L110" s="7">
        <f t="shared" si="22"/>
        <v>7105.9617679703069</v>
      </c>
      <c r="M110" s="7">
        <f t="shared" si="23"/>
        <v>7107.9910622916004</v>
      </c>
      <c r="N110" s="7">
        <f t="shared" si="24"/>
        <v>7110.0203566128948</v>
      </c>
      <c r="O110" s="7" t="str">
        <f t="shared" si="26"/>
        <v>c 454104.8333,3041766.3189 1</v>
      </c>
      <c r="P110" s="7"/>
      <c r="Q110" s="10">
        <f t="shared" si="27"/>
        <v>9.9423272133175722</v>
      </c>
      <c r="R110" s="7">
        <f t="shared" si="28"/>
        <v>34.607940007090804</v>
      </c>
      <c r="S110" s="5">
        <f t="shared" si="29"/>
        <v>9.9423272133175722</v>
      </c>
      <c r="T110" s="2" t="str">
        <f t="shared" si="30"/>
        <v>-text 454104.8333,3041766.3189 7 0 IP81</v>
      </c>
      <c r="U110" s="2" t="str">
        <f t="shared" si="31"/>
        <v>dt 454104.8333,3041766.3189 5 0 IP81(454104.8333,3041766.3189)*</v>
      </c>
      <c r="V110" s="12"/>
      <c r="W110" s="1" t="str">
        <f t="shared" si="32"/>
        <v>dt 454094.8333,3041756.3189 5 0 R=10*T=2.057*S=4.058*α=23.254*</v>
      </c>
    </row>
    <row r="111" spans="1:23" x14ac:dyDescent="0.2">
      <c r="A111" s="2">
        <f>A110+1</f>
        <v>82</v>
      </c>
      <c r="B111" s="2" t="str">
        <f t="shared" si="52"/>
        <v>IP82</v>
      </c>
      <c r="C111" s="8"/>
      <c r="D111" s="6">
        <v>111</v>
      </c>
      <c r="E111" s="236">
        <v>454093.91950000002</v>
      </c>
      <c r="F111" s="236">
        <v>3041731.3152999999</v>
      </c>
      <c r="G111" s="6">
        <v>10</v>
      </c>
      <c r="H111" s="7">
        <f t="shared" si="33"/>
        <v>19.712</v>
      </c>
      <c r="I111" s="7">
        <f t="shared" si="34"/>
        <v>1.7373670831298575</v>
      </c>
      <c r="J111" s="7">
        <f t="shared" si="35"/>
        <v>3.4403930215312224</v>
      </c>
      <c r="K111" s="7">
        <f t="shared" si="36"/>
        <v>36.665556635557024</v>
      </c>
      <c r="L111" s="7">
        <f t="shared" si="22"/>
        <v>7142.8909295368539</v>
      </c>
      <c r="M111" s="7">
        <f t="shared" si="23"/>
        <v>7144.6111260476191</v>
      </c>
      <c r="N111" s="7">
        <f t="shared" si="24"/>
        <v>7146.3313225583852</v>
      </c>
      <c r="O111" s="7" t="str">
        <f t="shared" si="26"/>
        <v>c 454093.9195,3041731.3153 1</v>
      </c>
      <c r="P111" s="7"/>
      <c r="Q111" s="10">
        <f t="shared" si="27"/>
        <v>34.92818955242717</v>
      </c>
      <c r="R111" s="7">
        <f t="shared" si="28"/>
        <v>47.413001738930575</v>
      </c>
      <c r="S111" s="5">
        <f t="shared" si="29"/>
        <v>32.87057292396095</v>
      </c>
      <c r="T111" s="2" t="str">
        <f t="shared" si="30"/>
        <v>-text 454093.9195,3041731.3153 7 0 IP82</v>
      </c>
      <c r="U111" s="2" t="str">
        <f t="shared" si="31"/>
        <v>dt 454093.9195,3041731.3153 5 0 IP82(454093.9195,3041731.3153)*</v>
      </c>
      <c r="V111" s="12"/>
      <c r="W111" s="1" t="str">
        <f t="shared" si="32"/>
        <v>dt 454083.9195,3041721.3153 5 0 R=10*T=1.737*S=3.44*α=19.712*</v>
      </c>
    </row>
    <row r="112" spans="1:23" x14ac:dyDescent="0.2">
      <c r="A112" s="2">
        <f t="shared" ref="A112:A115" si="57">A111+1</f>
        <v>83</v>
      </c>
      <c r="B112" s="2" t="str">
        <f t="shared" si="52"/>
        <v>IP83</v>
      </c>
      <c r="C112" s="8"/>
      <c r="D112" s="6">
        <v>112</v>
      </c>
      <c r="E112" s="236">
        <v>454064.32040000003</v>
      </c>
      <c r="F112" s="236">
        <v>3041692.0769000002</v>
      </c>
      <c r="G112" s="6">
        <v>10</v>
      </c>
      <c r="H112" s="7">
        <f t="shared" si="33"/>
        <v>27.494</v>
      </c>
      <c r="I112" s="7">
        <f t="shared" si="34"/>
        <v>2.4464294889286946</v>
      </c>
      <c r="J112" s="7">
        <f t="shared" si="35"/>
        <v>4.7986082454332095</v>
      </c>
      <c r="K112" s="7">
        <f t="shared" si="36"/>
        <v>49.150368822060429</v>
      </c>
      <c r="L112" s="7">
        <f t="shared" si="22"/>
        <v>7191.2978948083855</v>
      </c>
      <c r="M112" s="7">
        <f t="shared" si="23"/>
        <v>7193.6971989311023</v>
      </c>
      <c r="N112" s="7">
        <f t="shared" si="24"/>
        <v>7196.0965030538191</v>
      </c>
      <c r="O112" s="7" t="str">
        <f t="shared" si="26"/>
        <v>c 454064.3204,3041692.0769 1</v>
      </c>
      <c r="P112" s="7"/>
      <c r="Q112" s="10">
        <f t="shared" si="27"/>
        <v>46.703939333131736</v>
      </c>
      <c r="R112" s="7">
        <f t="shared" si="28"/>
        <v>39.858230821067202</v>
      </c>
      <c r="S112" s="5">
        <f t="shared" si="29"/>
        <v>44.966572250001882</v>
      </c>
      <c r="T112" s="2" t="str">
        <f t="shared" si="30"/>
        <v>-text 454064.3204,3041692.0769 7 0 IP83</v>
      </c>
      <c r="U112" s="2" t="str">
        <f t="shared" si="31"/>
        <v>dt 454064.3204,3041692.0769 5 0 IP83(454064.3204,3041692.0769)*</v>
      </c>
      <c r="V112" s="12"/>
      <c r="W112" s="1" t="str">
        <f t="shared" si="32"/>
        <v>dt 454054.3204,3041682.0769 5 0 R=10*T=2.446*S=4.798*α=27.494*</v>
      </c>
    </row>
    <row r="113" spans="1:23" s="213" customFormat="1" x14ac:dyDescent="0.2">
      <c r="A113" s="205"/>
      <c r="B113" s="205" t="s">
        <v>197</v>
      </c>
      <c r="C113" s="206" t="s">
        <v>197</v>
      </c>
      <c r="D113" s="6">
        <v>113</v>
      </c>
      <c r="E113" s="236">
        <v>454057.31319999998</v>
      </c>
      <c r="F113" s="236">
        <v>3041650.3566000001</v>
      </c>
      <c r="G113" s="207">
        <v>10</v>
      </c>
      <c r="H113" s="7">
        <f t="shared" si="33"/>
        <v>0</v>
      </c>
      <c r="I113" s="7">
        <f t="shared" si="34"/>
        <v>0</v>
      </c>
      <c r="J113" s="7">
        <f t="shared" si="35"/>
        <v>0</v>
      </c>
      <c r="K113" s="7">
        <f t="shared" si="36"/>
        <v>42.304660309995896</v>
      </c>
      <c r="L113" s="7">
        <f t="shared" si="22"/>
        <v>7235.9547338748862</v>
      </c>
      <c r="M113" s="7">
        <f t="shared" si="23"/>
        <v>7235.9547338748862</v>
      </c>
      <c r="N113" s="7">
        <f t="shared" si="24"/>
        <v>7235.9547338748862</v>
      </c>
      <c r="O113" s="209" t="str">
        <f t="shared" si="26"/>
        <v>c 454057.3132,3041650.3566 1</v>
      </c>
      <c r="P113" s="209"/>
      <c r="Q113" s="210">
        <f t="shared" si="27"/>
        <v>42.304660309995896</v>
      </c>
      <c r="R113" s="209">
        <f t="shared" si="28"/>
        <v>42.788338932344402</v>
      </c>
      <c r="S113" s="211">
        <f t="shared" si="29"/>
        <v>39.858230821067202</v>
      </c>
      <c r="T113" s="205" t="str">
        <f t="shared" si="30"/>
        <v>-text 454057.3132,3041650.3566 7 0 7#斗门</v>
      </c>
      <c r="U113" s="205" t="str">
        <f t="shared" si="31"/>
        <v>dt 454057.3132,3041650.3566 5 0 7#斗门(454057.3132,3041650.3566)*</v>
      </c>
      <c r="V113" s="212"/>
      <c r="W113" s="212" t="str">
        <f t="shared" si="32"/>
        <v>dt 454047.3132,3041640.3566 5 0 R=10*T=0*S=0*α=0*</v>
      </c>
    </row>
    <row r="114" spans="1:23" x14ac:dyDescent="0.2">
      <c r="A114" s="2">
        <f>A112+1</f>
        <v>84</v>
      </c>
      <c r="B114" s="2" t="str">
        <f t="shared" si="52"/>
        <v>IP84</v>
      </c>
      <c r="C114" s="8"/>
      <c r="D114" s="6">
        <v>114</v>
      </c>
      <c r="E114" s="236">
        <v>454050.22590000002</v>
      </c>
      <c r="F114" s="236">
        <v>3041608.1592999999</v>
      </c>
      <c r="G114" s="6">
        <v>10</v>
      </c>
      <c r="H114" s="7">
        <f t="shared" si="33"/>
        <v>32.662999999999997</v>
      </c>
      <c r="I114" s="7">
        <f t="shared" si="34"/>
        <v>2.9301735025766202</v>
      </c>
      <c r="J114" s="7">
        <f t="shared" si="35"/>
        <v>5.7007689357890774</v>
      </c>
      <c r="K114" s="7">
        <f t="shared" si="36"/>
        <v>42.788338932344402</v>
      </c>
      <c r="L114" s="7">
        <f t="shared" si="22"/>
        <v>7275.8128993046539</v>
      </c>
      <c r="M114" s="7">
        <f t="shared" si="23"/>
        <v>7278.6632837725483</v>
      </c>
      <c r="N114" s="7">
        <f t="shared" si="24"/>
        <v>7281.5136682404427</v>
      </c>
      <c r="O114" s="7" t="str">
        <f t="shared" si="26"/>
        <v>c 454050.2259,3041608.1593 1</v>
      </c>
      <c r="P114" s="7"/>
      <c r="Q114" s="10">
        <f t="shared" si="27"/>
        <v>39.85816542976778</v>
      </c>
      <c r="R114" s="7">
        <f t="shared" si="28"/>
        <v>42.26581722050414</v>
      </c>
      <c r="S114" s="5">
        <f t="shared" si="29"/>
        <v>39.85816542976778</v>
      </c>
      <c r="T114" s="2" t="str">
        <f t="shared" si="30"/>
        <v>-text 454050.2259,3041608.1593 7 0 IP84</v>
      </c>
      <c r="U114" s="2" t="str">
        <f t="shared" si="31"/>
        <v>dt 454050.2259,3041608.1593 5 0 IP84(454050.2259,3041608.1593)*</v>
      </c>
      <c r="V114" s="12"/>
      <c r="W114" s="1" t="str">
        <f t="shared" si="32"/>
        <v>dt 454040.2259,3041598.1593 5 0 R=10*T=2.93*S=5.7*α=32.663*</v>
      </c>
    </row>
    <row r="115" spans="1:23" x14ac:dyDescent="0.2">
      <c r="A115" s="2">
        <f t="shared" si="57"/>
        <v>85</v>
      </c>
      <c r="B115" s="2" t="str">
        <f t="shared" si="52"/>
        <v>IP85</v>
      </c>
      <c r="C115" s="8"/>
      <c r="D115" s="6">
        <v>115</v>
      </c>
      <c r="E115" s="236">
        <v>454019.86869999999</v>
      </c>
      <c r="F115" s="236">
        <v>3041574.6762000001</v>
      </c>
      <c r="G115" s="6">
        <v>10</v>
      </c>
      <c r="H115" s="7">
        <f t="shared" si="33"/>
        <v>29.597999999999999</v>
      </c>
      <c r="I115" s="7">
        <f t="shared" si="34"/>
        <v>2.6419272519282582</v>
      </c>
      <c r="J115" s="7">
        <f t="shared" si="35"/>
        <v>5.1658255200528158</v>
      </c>
      <c r="K115" s="7">
        <f t="shared" si="36"/>
        <v>45.195990723080762</v>
      </c>
      <c r="L115" s="7">
        <f t="shared" si="22"/>
        <v>7321.1375582090195</v>
      </c>
      <c r="M115" s="7">
        <f t="shared" si="23"/>
        <v>7323.7204709690459</v>
      </c>
      <c r="N115" s="7">
        <f t="shared" si="24"/>
        <v>7326.3033837290723</v>
      </c>
      <c r="O115" s="7" t="str">
        <f t="shared" si="26"/>
        <v>c 454019.8687,3041574.6762 1</v>
      </c>
      <c r="P115" s="7"/>
      <c r="Q115" s="10">
        <f t="shared" si="27"/>
        <v>42.554063471152503</v>
      </c>
      <c r="R115" s="7">
        <f t="shared" si="28"/>
        <v>85.761498373562759</v>
      </c>
      <c r="S115" s="5">
        <f t="shared" si="29"/>
        <v>39.623889968575881</v>
      </c>
      <c r="T115" s="2" t="str">
        <f t="shared" si="30"/>
        <v>-text 454019.8687,3041574.6762 7 0 IP85</v>
      </c>
      <c r="U115" s="2" t="str">
        <f t="shared" si="31"/>
        <v>dt 454019.8687,3041574.6762 5 0 IP85(454019.8687,3041574.6762)*</v>
      </c>
      <c r="V115" s="12"/>
      <c r="W115" s="1" t="str">
        <f t="shared" si="32"/>
        <v>dt 454009.8687,3041564.6762 5 0 R=10*T=2.641*S=5.165*α=29.598*</v>
      </c>
    </row>
    <row r="116" spans="1:23" s="158" customFormat="1" x14ac:dyDescent="0.2">
      <c r="A116" s="156"/>
      <c r="B116" s="156" t="str">
        <f t="shared" si="52"/>
        <v>8#倒进</v>
      </c>
      <c r="C116" s="157" t="s">
        <v>154</v>
      </c>
      <c r="D116" s="6">
        <v>116</v>
      </c>
      <c r="E116" s="236">
        <v>454000.58549999999</v>
      </c>
      <c r="F116" s="236">
        <v>3041488.4015000002</v>
      </c>
      <c r="G116" s="9">
        <v>10</v>
      </c>
      <c r="H116" s="7">
        <f t="shared" si="33"/>
        <v>0</v>
      </c>
      <c r="I116" s="7">
        <f t="shared" si="34"/>
        <v>0</v>
      </c>
      <c r="J116" s="7">
        <f t="shared" si="35"/>
        <v>0</v>
      </c>
      <c r="K116" s="7">
        <f t="shared" si="36"/>
        <v>88.40342562549101</v>
      </c>
      <c r="L116" s="7">
        <f t="shared" si="22"/>
        <v>7412.0648821026352</v>
      </c>
      <c r="M116" s="7">
        <f t="shared" si="23"/>
        <v>7412.0648821026352</v>
      </c>
      <c r="N116" s="7">
        <f t="shared" si="24"/>
        <v>7412.0648821026352</v>
      </c>
      <c r="O116" s="7" t="str">
        <f t="shared" si="26"/>
        <v>c 454000.5855,3041488.4015 1</v>
      </c>
      <c r="P116" s="7"/>
      <c r="Q116" s="10">
        <f t="shared" si="27"/>
        <v>88.40342562549101</v>
      </c>
      <c r="R116" s="7">
        <f t="shared" si="28"/>
        <v>313.47953072337248</v>
      </c>
      <c r="S116" s="5">
        <f t="shared" si="29"/>
        <v>85.761498373562759</v>
      </c>
      <c r="T116" s="2" t="str">
        <f t="shared" si="30"/>
        <v>-text 454000.5855,3041488.4015 7 0 8#倒进</v>
      </c>
      <c r="U116" s="2" t="str">
        <f t="shared" si="31"/>
        <v>dt 454000.5855,3041488.4015 5 0 8#倒进(454000.5855,3041488.4015)*</v>
      </c>
      <c r="V116" s="12"/>
      <c r="W116" s="1" t="str">
        <f t="shared" si="32"/>
        <v>dt 453990.5855,3041478.4015 5 0 R=10*T=0*S=0*α=0*</v>
      </c>
    </row>
    <row r="117" spans="1:23" s="158" customFormat="1" x14ac:dyDescent="0.2">
      <c r="A117" s="156">
        <f>A115+1</f>
        <v>86</v>
      </c>
      <c r="B117" s="156" t="str">
        <f t="shared" si="52"/>
        <v>IP86</v>
      </c>
      <c r="C117" s="159"/>
      <c r="D117" s="6">
        <v>117</v>
      </c>
      <c r="E117" s="236">
        <v>453932.20730000001</v>
      </c>
      <c r="F117" s="236">
        <v>3041182.4704</v>
      </c>
      <c r="G117" s="168">
        <v>2.4</v>
      </c>
      <c r="H117" s="7">
        <f t="shared" si="33"/>
        <v>2.0790000000000002</v>
      </c>
      <c r="I117" s="7">
        <f t="shared" si="34"/>
        <v>4.3547252251473552E-2</v>
      </c>
      <c r="J117" s="7">
        <f t="shared" si="35"/>
        <v>8.7084948357509059E-2</v>
      </c>
      <c r="K117" s="7">
        <f t="shared" si="36"/>
        <v>313.47953072337248</v>
      </c>
      <c r="L117" s="7">
        <f t="shared" si="22"/>
        <v>7725.5008655737565</v>
      </c>
      <c r="M117" s="7">
        <f t="shared" si="23"/>
        <v>7725.5444080479356</v>
      </c>
      <c r="N117" s="7">
        <f t="shared" si="24"/>
        <v>7725.5879505221137</v>
      </c>
      <c r="O117" s="7" t="str">
        <f t="shared" si="26"/>
        <v>c 453932.2073,3041182.4704 1</v>
      </c>
      <c r="P117" s="7"/>
      <c r="Q117" s="10">
        <f t="shared" si="27"/>
        <v>313.43598347112101</v>
      </c>
      <c r="R117" s="7">
        <f t="shared" si="28"/>
        <v>20.893197653638314</v>
      </c>
      <c r="S117" s="5">
        <f t="shared" si="29"/>
        <v>313.43598347112101</v>
      </c>
      <c r="T117" s="2" t="str">
        <f t="shared" si="30"/>
        <v>-text 453932.2073,3041182.4704 7 0 IP86</v>
      </c>
      <c r="U117" s="2" t="str">
        <f t="shared" si="31"/>
        <v>dt 453932.2073,3041182.4704 5 0 IP86(453932.2073,3041182.4704)*</v>
      </c>
      <c r="V117" s="12"/>
      <c r="W117" s="1" t="str">
        <f t="shared" si="32"/>
        <v>dt 453922.2073,3041172.4704 5 0 R=2.4*T=0.043*S=0.087*α=2.079*</v>
      </c>
    </row>
    <row r="118" spans="1:23" s="158" customFormat="1" x14ac:dyDescent="0.2">
      <c r="A118" s="156"/>
      <c r="B118" s="156" t="str">
        <f t="shared" si="52"/>
        <v>8#倒出</v>
      </c>
      <c r="C118" s="157" t="s">
        <v>155</v>
      </c>
      <c r="D118" s="6">
        <v>118</v>
      </c>
      <c r="E118" s="236">
        <v>453926.90230000002</v>
      </c>
      <c r="F118" s="236">
        <v>3041162.2168999999</v>
      </c>
      <c r="G118" s="9">
        <v>10</v>
      </c>
      <c r="H118" s="7">
        <f t="shared" si="33"/>
        <v>0</v>
      </c>
      <c r="I118" s="7">
        <f t="shared" si="34"/>
        <v>0</v>
      </c>
      <c r="J118" s="7">
        <f t="shared" si="35"/>
        <v>0</v>
      </c>
      <c r="K118" s="7">
        <f t="shared" si="36"/>
        <v>20.936744905889789</v>
      </c>
      <c r="L118" s="7">
        <f t="shared" si="22"/>
        <v>7746.4811481757533</v>
      </c>
      <c r="M118" s="7">
        <f t="shared" si="23"/>
        <v>7746.4811481757533</v>
      </c>
      <c r="N118" s="7">
        <f t="shared" si="24"/>
        <v>7746.4811481757533</v>
      </c>
      <c r="O118" s="7" t="str">
        <f t="shared" si="26"/>
        <v>c 453926.9023,3041162.2169 1</v>
      </c>
      <c r="P118" s="7"/>
      <c r="Q118" s="10">
        <f t="shared" si="27"/>
        <v>20.936744905889789</v>
      </c>
      <c r="R118" s="7">
        <f t="shared" si="28"/>
        <v>84.086352216725516</v>
      </c>
      <c r="S118" s="5">
        <f t="shared" si="29"/>
        <v>20.893197653638314</v>
      </c>
      <c r="T118" s="2" t="str">
        <f t="shared" si="30"/>
        <v>-text 453926.9023,3041162.2169 7 0 8#倒出</v>
      </c>
      <c r="U118" s="2" t="str">
        <f t="shared" si="31"/>
        <v>dt 453926.9023,3041162.2169 5 0 8#倒出(453926.9023,3041162.2169)*</v>
      </c>
      <c r="V118" s="12"/>
      <c r="W118" s="1" t="str">
        <f t="shared" si="32"/>
        <v>dt 453916.9023,3041152.2169 5 0 R=10*T=0*S=0*α=0*</v>
      </c>
    </row>
    <row r="119" spans="1:23" x14ac:dyDescent="0.2">
      <c r="A119" s="2">
        <f>A117+1</f>
        <v>87</v>
      </c>
      <c r="B119" s="2" t="str">
        <f t="shared" si="52"/>
        <v>IP87</v>
      </c>
      <c r="C119" s="8"/>
      <c r="D119" s="6">
        <v>119</v>
      </c>
      <c r="E119" s="236">
        <v>453905.59669999999</v>
      </c>
      <c r="F119" s="236">
        <v>3041080.8744999999</v>
      </c>
      <c r="G119" s="6">
        <v>10</v>
      </c>
      <c r="H119" s="7">
        <f t="shared" si="33"/>
        <v>6.1879999999999997</v>
      </c>
      <c r="I119" s="7">
        <f t="shared" si="34"/>
        <v>0.54053037774088453</v>
      </c>
      <c r="J119" s="7">
        <f t="shared" si="35"/>
        <v>1.0800097411340912</v>
      </c>
      <c r="K119" s="7">
        <f t="shared" si="36"/>
        <v>84.086352216725516</v>
      </c>
      <c r="L119" s="7">
        <f t="shared" si="22"/>
        <v>7830.0269700147383</v>
      </c>
      <c r="M119" s="7">
        <f t="shared" si="23"/>
        <v>7830.5669748853052</v>
      </c>
      <c r="N119" s="7">
        <f t="shared" si="24"/>
        <v>7831.1069797558721</v>
      </c>
      <c r="O119" s="7" t="str">
        <f t="shared" si="26"/>
        <v>c 453905.5967,3041080.8745 1</v>
      </c>
      <c r="P119" s="7"/>
      <c r="Q119" s="10">
        <f t="shared" si="27"/>
        <v>83.545821838984637</v>
      </c>
      <c r="R119" s="7">
        <f t="shared" si="28"/>
        <v>-0.54053037774088453</v>
      </c>
      <c r="S119" s="5">
        <f t="shared" si="29"/>
        <v>83.545821838984637</v>
      </c>
      <c r="T119" s="2" t="str">
        <f t="shared" si="30"/>
        <v>-text 453905.5967,3041080.8745 7 0 IP87</v>
      </c>
      <c r="U119" s="2" t="str">
        <f t="shared" si="31"/>
        <v>dt 453905.5967,3041080.8745 5 0 IP87(453905.5967,3041080.8745)*</v>
      </c>
      <c r="V119" s="12"/>
      <c r="W119" s="1" t="str">
        <f t="shared" si="32"/>
        <v>dt 453895.5967,3041070.8745 5 0 R=10*T=0.54*S=1.08*α=6.188*</v>
      </c>
    </row>
  </sheetData>
  <phoneticPr fontId="8" type="noConversion"/>
  <pageMargins left="0.75" right="0.75" top="1" bottom="1" header="0.5" footer="0.5"/>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election activeCell="H9" sqref="H9"/>
    </sheetView>
  </sheetViews>
  <sheetFormatPr defaultColWidth="8.875" defaultRowHeight="13.5" x14ac:dyDescent="0.15"/>
  <cols>
    <col min="1" max="1" width="16.5" customWidth="1"/>
    <col min="4" max="5" width="20.875" customWidth="1"/>
    <col min="6" max="6" width="9.625" customWidth="1"/>
  </cols>
  <sheetData/>
  <phoneticPr fontId="8" type="noConversion"/>
  <pageMargins left="0.75" right="0.75" top="1" bottom="1" header="0.5" footer="0.5"/>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113"/>
  <sheetViews>
    <sheetView workbookViewId="0">
      <selection activeCell="C2" sqref="C2"/>
    </sheetView>
  </sheetViews>
  <sheetFormatPr defaultColWidth="8.875" defaultRowHeight="13.5" x14ac:dyDescent="0.15"/>
  <cols>
    <col min="1" max="1" width="16.5" customWidth="1"/>
    <col min="2" max="2" width="12.875"/>
    <col min="3" max="3" width="9.625"/>
  </cols>
  <sheetData>
    <row r="1" spans="1:3" x14ac:dyDescent="0.15">
      <c r="A1" s="182" t="s">
        <v>156</v>
      </c>
      <c r="B1" s="81" t="s">
        <v>157</v>
      </c>
    </row>
    <row r="2" spans="1:3" x14ac:dyDescent="0.15">
      <c r="A2" s="181">
        <v>0</v>
      </c>
      <c r="B2" s="183">
        <f>C2-0.1</f>
        <v>2424.2976209780336</v>
      </c>
      <c r="C2">
        <v>2424.3976209780335</v>
      </c>
    </row>
    <row r="3" spans="1:3" x14ac:dyDescent="0.15">
      <c r="A3" s="181">
        <v>161.5734200816797</v>
      </c>
      <c r="B3" s="183">
        <f t="shared" ref="B3:B66" si="0">C3-0.1</f>
        <v>2424.2427675762915</v>
      </c>
      <c r="C3">
        <v>2424.3427675762914</v>
      </c>
    </row>
    <row r="4" spans="1:3" x14ac:dyDescent="0.15">
      <c r="A4" s="181">
        <v>191.45514687076292</v>
      </c>
      <c r="B4" s="183">
        <f t="shared" si="0"/>
        <v>2424.231452959737</v>
      </c>
      <c r="C4">
        <v>2424.3314529597369</v>
      </c>
    </row>
    <row r="5" spans="1:3" x14ac:dyDescent="0.15">
      <c r="A5" s="181">
        <v>224.15723635595552</v>
      </c>
      <c r="B5" s="183">
        <f t="shared" si="0"/>
        <v>2424.2199726591834</v>
      </c>
      <c r="C5">
        <v>2424.3199726591833</v>
      </c>
    </row>
    <row r="6" spans="1:3" x14ac:dyDescent="0.15">
      <c r="A6" s="181">
        <v>300.89044600464189</v>
      </c>
      <c r="B6" s="183">
        <f t="shared" si="0"/>
        <v>2424.1937392563245</v>
      </c>
      <c r="C6">
        <v>2424.2937392563244</v>
      </c>
    </row>
    <row r="7" spans="1:3" x14ac:dyDescent="0.15">
      <c r="A7" s="181">
        <v>451.07203436717663</v>
      </c>
      <c r="B7" s="183">
        <f t="shared" si="0"/>
        <v>2424.1424134763211</v>
      </c>
      <c r="C7">
        <v>2424.242413476321</v>
      </c>
    </row>
    <row r="8" spans="1:3" x14ac:dyDescent="0.15">
      <c r="A8" s="181">
        <v>494.01232454889305</v>
      </c>
      <c r="B8" s="183">
        <f t="shared" si="0"/>
        <v>2424.1260624034962</v>
      </c>
      <c r="C8">
        <v>2424.2260624034961</v>
      </c>
    </row>
    <row r="9" spans="1:3" x14ac:dyDescent="0.15">
      <c r="A9" s="181">
        <v>533.34220133133863</v>
      </c>
      <c r="B9" s="183">
        <f t="shared" si="0"/>
        <v>2424.110710384507</v>
      </c>
      <c r="C9">
        <v>2424.2107103845069</v>
      </c>
    </row>
    <row r="10" spans="1:3" x14ac:dyDescent="0.15">
      <c r="A10" s="181">
        <v>571.2153495685659</v>
      </c>
      <c r="B10" s="183">
        <f t="shared" si="0"/>
        <v>2424.0966763198353</v>
      </c>
      <c r="C10">
        <v>2424.1966763198352</v>
      </c>
    </row>
    <row r="11" spans="1:3" x14ac:dyDescent="0.15">
      <c r="A11" s="181">
        <v>594.90373379241703</v>
      </c>
      <c r="B11" s="183">
        <f t="shared" si="0"/>
        <v>2424.0870201404277</v>
      </c>
      <c r="C11">
        <v>2424.1870201404276</v>
      </c>
    </row>
    <row r="12" spans="1:3" x14ac:dyDescent="0.15">
      <c r="A12" s="181">
        <v>663.4503455682717</v>
      </c>
      <c r="B12" s="183">
        <f t="shared" si="0"/>
        <v>2424.0619977450306</v>
      </c>
      <c r="C12">
        <v>2424.1619977450305</v>
      </c>
    </row>
    <row r="13" spans="1:3" x14ac:dyDescent="0.15">
      <c r="A13" s="181">
        <v>693.38724348152391</v>
      </c>
      <c r="B13" s="183">
        <f t="shared" si="0"/>
        <v>2424.0507243150855</v>
      </c>
      <c r="C13">
        <v>2424.1507243150854</v>
      </c>
    </row>
    <row r="14" spans="1:3" x14ac:dyDescent="0.15">
      <c r="A14" s="181">
        <v>715.34715403369569</v>
      </c>
      <c r="B14" s="183">
        <f t="shared" si="0"/>
        <v>2424.0422601013161</v>
      </c>
      <c r="C14">
        <v>2424.142260101316</v>
      </c>
    </row>
    <row r="15" spans="1:3" x14ac:dyDescent="0.15">
      <c r="A15" s="181">
        <v>750.07408540692506</v>
      </c>
      <c r="B15" s="183">
        <f t="shared" si="0"/>
        <v>2424.0296094264977</v>
      </c>
      <c r="C15">
        <v>2424.1296094264976</v>
      </c>
    </row>
    <row r="16" spans="1:3" x14ac:dyDescent="0.15">
      <c r="A16" s="181">
        <v>810.17934196510691</v>
      </c>
      <c r="B16" s="183">
        <f t="shared" si="0"/>
        <v>2424.0083785202351</v>
      </c>
      <c r="C16">
        <v>2424.108378520235</v>
      </c>
    </row>
    <row r="17" spans="1:3" x14ac:dyDescent="0.15">
      <c r="A17" s="181">
        <v>831.39917212500598</v>
      </c>
      <c r="B17" s="183">
        <f t="shared" si="0"/>
        <v>2423.9990823907046</v>
      </c>
      <c r="C17">
        <v>2424.0990823907046</v>
      </c>
    </row>
    <row r="18" spans="1:3" x14ac:dyDescent="0.15">
      <c r="A18" s="181">
        <v>878.68307066982004</v>
      </c>
      <c r="B18" s="183">
        <f t="shared" si="0"/>
        <v>2423.9810592743675</v>
      </c>
      <c r="C18">
        <v>2424.0810592743674</v>
      </c>
    </row>
    <row r="19" spans="1:3" x14ac:dyDescent="0.15">
      <c r="A19" s="181">
        <v>1026.1266177372959</v>
      </c>
      <c r="B19" s="183">
        <f t="shared" si="0"/>
        <v>2423.9304721721746</v>
      </c>
      <c r="C19">
        <v>2424.0304721721745</v>
      </c>
    </row>
    <row r="20" spans="1:3" x14ac:dyDescent="0.15">
      <c r="A20" s="181">
        <v>1045.5907171809433</v>
      </c>
      <c r="B20" s="183">
        <f t="shared" si="0"/>
        <v>2423.9225384706606</v>
      </c>
      <c r="C20">
        <v>2424.0225384706605</v>
      </c>
    </row>
    <row r="21" spans="1:3" x14ac:dyDescent="0.15">
      <c r="A21" s="181">
        <v>1082.2706393465303</v>
      </c>
      <c r="B21" s="183">
        <f t="shared" si="0"/>
        <v>2423.9092824337058</v>
      </c>
      <c r="C21">
        <v>2424.0092824337057</v>
      </c>
    </row>
    <row r="22" spans="1:3" x14ac:dyDescent="0.15">
      <c r="A22" s="181">
        <v>1230.331268559554</v>
      </c>
      <c r="B22" s="183">
        <f t="shared" si="0"/>
        <v>2423.8596086036428</v>
      </c>
      <c r="C22">
        <v>2423.9596086036427</v>
      </c>
    </row>
    <row r="23" spans="1:3" x14ac:dyDescent="0.15">
      <c r="A23" s="181">
        <v>1351.8550705167079</v>
      </c>
      <c r="B23" s="183">
        <f t="shared" si="0"/>
        <v>2423.8180337279114</v>
      </c>
      <c r="C23">
        <v>2423.9180337279113</v>
      </c>
    </row>
    <row r="24" spans="1:3" x14ac:dyDescent="0.15">
      <c r="A24" s="181">
        <v>1405.131373090087</v>
      </c>
      <c r="B24" s="183">
        <f t="shared" si="0"/>
        <v>2423.7986613084386</v>
      </c>
      <c r="C24">
        <v>2423.8986613084385</v>
      </c>
    </row>
    <row r="25" spans="1:3" x14ac:dyDescent="0.15">
      <c r="A25" s="181">
        <v>1451.7513569190307</v>
      </c>
      <c r="B25" s="183">
        <f t="shared" si="0"/>
        <v>2423.7824797686199</v>
      </c>
      <c r="C25">
        <v>2423.8824797686198</v>
      </c>
    </row>
    <row r="26" spans="1:3" x14ac:dyDescent="0.15">
      <c r="A26" s="181">
        <v>1479.3185001134627</v>
      </c>
      <c r="B26" s="183">
        <f t="shared" si="0"/>
        <v>2423.7731398747778</v>
      </c>
      <c r="C26">
        <v>2423.8731398747777</v>
      </c>
    </row>
    <row r="27" spans="1:3" x14ac:dyDescent="0.15">
      <c r="A27" s="181">
        <v>1819.5882067665586</v>
      </c>
      <c r="B27" s="183">
        <f t="shared" si="0"/>
        <v>2423.6591212983108</v>
      </c>
      <c r="C27">
        <v>2423.7591212983107</v>
      </c>
    </row>
    <row r="28" spans="1:3" x14ac:dyDescent="0.15">
      <c r="A28" s="181">
        <v>1848.3708986620452</v>
      </c>
      <c r="B28" s="183">
        <f t="shared" si="0"/>
        <v>2422.7890825728741</v>
      </c>
      <c r="C28">
        <v>2422.889082572874</v>
      </c>
    </row>
    <row r="29" spans="1:3" x14ac:dyDescent="0.15">
      <c r="A29" s="181">
        <v>1872.393195455868</v>
      </c>
      <c r="B29" s="183">
        <f t="shared" si="0"/>
        <v>2422.7809548461687</v>
      </c>
      <c r="C29">
        <v>2422.8809548461686</v>
      </c>
    </row>
    <row r="30" spans="1:3" x14ac:dyDescent="0.15">
      <c r="A30" s="181">
        <v>1902.3216372935196</v>
      </c>
      <c r="B30" s="183">
        <f t="shared" si="0"/>
        <v>2422.7705367006147</v>
      </c>
      <c r="C30">
        <v>2422.8705367006146</v>
      </c>
    </row>
    <row r="31" spans="1:3" x14ac:dyDescent="0.15">
      <c r="A31" s="181">
        <v>1946.4327203094754</v>
      </c>
      <c r="B31" s="183">
        <f t="shared" si="0"/>
        <v>2422.7547750536428</v>
      </c>
      <c r="C31">
        <v>2422.8547750536427</v>
      </c>
    </row>
    <row r="32" spans="1:3" x14ac:dyDescent="0.15">
      <c r="A32" s="181">
        <v>1986.2085709070873</v>
      </c>
      <c r="B32" s="183">
        <f t="shared" si="0"/>
        <v>2422.739339708598</v>
      </c>
      <c r="C32">
        <v>2422.8393397085979</v>
      </c>
    </row>
    <row r="33" spans="1:3" x14ac:dyDescent="0.15">
      <c r="A33" s="181">
        <v>2025.0867971833582</v>
      </c>
      <c r="B33" s="183">
        <f t="shared" si="0"/>
        <v>2422.7242807175871</v>
      </c>
      <c r="C33">
        <v>2422.824280717587</v>
      </c>
    </row>
    <row r="34" spans="1:3" x14ac:dyDescent="0.15">
      <c r="A34" s="181">
        <v>2051.5616166367267</v>
      </c>
      <c r="B34" s="183">
        <f t="shared" si="0"/>
        <v>2422.7143909405272</v>
      </c>
      <c r="C34">
        <v>2422.8143909405271</v>
      </c>
    </row>
    <row r="35" spans="1:3" x14ac:dyDescent="0.15">
      <c r="A35" s="181">
        <v>2105.6887431984424</v>
      </c>
      <c r="B35" s="183">
        <f t="shared" si="0"/>
        <v>2422.6954570241173</v>
      </c>
      <c r="C35">
        <v>2422.7954570241172</v>
      </c>
    </row>
    <row r="36" spans="1:3" x14ac:dyDescent="0.15">
      <c r="A36" s="181">
        <v>2160.0748482015151</v>
      </c>
      <c r="B36" s="183">
        <f t="shared" si="0"/>
        <v>2422.6766126423499</v>
      </c>
      <c r="C36">
        <v>2422.7766126423498</v>
      </c>
    </row>
    <row r="37" spans="1:3" x14ac:dyDescent="0.15">
      <c r="A37" s="181">
        <v>2196.2790943469977</v>
      </c>
      <c r="B37" s="183">
        <f t="shared" si="0"/>
        <v>2422.6637363902169</v>
      </c>
      <c r="C37">
        <v>2422.7637363902168</v>
      </c>
    </row>
    <row r="38" spans="1:3" x14ac:dyDescent="0.15">
      <c r="A38" s="181">
        <v>2222.9072923789777</v>
      </c>
      <c r="B38" s="183">
        <f t="shared" si="0"/>
        <v>2422.6537831968199</v>
      </c>
      <c r="C38">
        <v>2422.7537831968198</v>
      </c>
    </row>
    <row r="39" spans="1:3" x14ac:dyDescent="0.15">
      <c r="A39" s="181">
        <v>2344.5045964409915</v>
      </c>
      <c r="B39" s="183">
        <f t="shared" si="0"/>
        <v>2422.611989601809</v>
      </c>
      <c r="C39">
        <v>2422.7119896018089</v>
      </c>
    </row>
    <row r="40" spans="1:3" x14ac:dyDescent="0.15">
      <c r="A40" s="181">
        <v>2389.497558180225</v>
      </c>
      <c r="B40" s="183">
        <f t="shared" si="0"/>
        <v>2422.5951235906064</v>
      </c>
      <c r="C40">
        <v>2422.6951235906063</v>
      </c>
    </row>
    <row r="41" spans="1:3" x14ac:dyDescent="0.15">
      <c r="A41" s="181">
        <v>2427.4780367266062</v>
      </c>
      <c r="B41" s="183">
        <f t="shared" si="0"/>
        <v>2422.5806120246234</v>
      </c>
      <c r="C41">
        <v>2422.6806120246233</v>
      </c>
    </row>
    <row r="42" spans="1:3" x14ac:dyDescent="0.15">
      <c r="A42" s="181">
        <v>2490.7537998855228</v>
      </c>
      <c r="B42" s="183">
        <f t="shared" si="0"/>
        <v>2422.5587747249492</v>
      </c>
      <c r="C42">
        <v>2422.6587747249491</v>
      </c>
    </row>
    <row r="43" spans="1:3" x14ac:dyDescent="0.15">
      <c r="A43" s="181">
        <v>2523.3249185636009</v>
      </c>
      <c r="B43" s="183">
        <f t="shared" si="0"/>
        <v>2422.5477666099109</v>
      </c>
      <c r="C43">
        <v>2422.6477666099108</v>
      </c>
    </row>
    <row r="44" spans="1:3" x14ac:dyDescent="0.15">
      <c r="A44" s="181">
        <v>2726.2361161457279</v>
      </c>
      <c r="B44" s="183">
        <f t="shared" si="0"/>
        <v>2422.4798292280379</v>
      </c>
      <c r="C44">
        <v>2422.5798292280379</v>
      </c>
    </row>
    <row r="45" spans="1:3" x14ac:dyDescent="0.15">
      <c r="A45" s="181">
        <v>2748.7750540056436</v>
      </c>
      <c r="B45" s="183">
        <f t="shared" si="0"/>
        <v>2421.9221670082184</v>
      </c>
      <c r="C45">
        <v>2422.0221670082183</v>
      </c>
    </row>
    <row r="46" spans="1:3" x14ac:dyDescent="0.15">
      <c r="A46" s="181">
        <v>2879.9260113089872</v>
      </c>
      <c r="B46" s="183">
        <f t="shared" si="0"/>
        <v>2421.2784620872349</v>
      </c>
      <c r="C46">
        <v>2421.3784620872348</v>
      </c>
    </row>
    <row r="47" spans="1:3" x14ac:dyDescent="0.15">
      <c r="A47" s="181">
        <v>3074.615349015955</v>
      </c>
      <c r="B47" s="183">
        <f t="shared" si="0"/>
        <v>2421.2126841985792</v>
      </c>
      <c r="C47">
        <v>2421.3126841985791</v>
      </c>
    </row>
    <row r="48" spans="1:3" x14ac:dyDescent="0.15">
      <c r="A48" s="181">
        <v>3118.9758891878223</v>
      </c>
      <c r="B48" s="183">
        <f t="shared" si="0"/>
        <v>2421.1972240115683</v>
      </c>
      <c r="C48">
        <v>2421.2972240115682</v>
      </c>
    </row>
    <row r="49" spans="1:3" x14ac:dyDescent="0.15">
      <c r="A49" s="181">
        <v>3318.1973195231858</v>
      </c>
      <c r="B49" s="183">
        <f t="shared" si="0"/>
        <v>2421.1304441499396</v>
      </c>
      <c r="C49">
        <v>2421.2304441499396</v>
      </c>
    </row>
    <row r="50" spans="1:3" x14ac:dyDescent="0.15">
      <c r="A50" s="181">
        <v>3345.1657659098178</v>
      </c>
      <c r="B50" s="183">
        <f t="shared" si="0"/>
        <v>2420.3810819496275</v>
      </c>
      <c r="C50">
        <v>2420.4810819496274</v>
      </c>
    </row>
    <row r="51" spans="1:3" x14ac:dyDescent="0.15">
      <c r="A51" s="181">
        <v>3387.5795550184625</v>
      </c>
      <c r="B51" s="183">
        <f t="shared" si="0"/>
        <v>2420.3665043200663</v>
      </c>
      <c r="C51">
        <v>2420.4665043200662</v>
      </c>
    </row>
    <row r="52" spans="1:3" x14ac:dyDescent="0.15">
      <c r="A52" s="181">
        <v>3473.8162372913348</v>
      </c>
      <c r="B52" s="183">
        <f t="shared" si="0"/>
        <v>2420.3367646409392</v>
      </c>
      <c r="C52">
        <v>2420.4367646409391</v>
      </c>
    </row>
    <row r="53" spans="1:3" x14ac:dyDescent="0.15">
      <c r="A53" s="181">
        <v>3716.8472293446303</v>
      </c>
      <c r="B53" s="183">
        <f t="shared" si="0"/>
        <v>2420.2545989622199</v>
      </c>
      <c r="C53">
        <v>2420.3545989622198</v>
      </c>
    </row>
    <row r="54" spans="1:3" x14ac:dyDescent="0.15">
      <c r="A54" s="181">
        <v>3721.7754512102406</v>
      </c>
      <c r="B54" s="183">
        <f t="shared" si="0"/>
        <v>2420.2523552920738</v>
      </c>
      <c r="C54">
        <v>2420.3523552920738</v>
      </c>
    </row>
    <row r="55" spans="1:3" x14ac:dyDescent="0.15">
      <c r="A55" s="181">
        <v>3897.4598545317117</v>
      </c>
      <c r="B55" s="183">
        <f t="shared" si="0"/>
        <v>2420.1937726285892</v>
      </c>
      <c r="C55">
        <v>2420.2937726285891</v>
      </c>
    </row>
    <row r="56" spans="1:3" x14ac:dyDescent="0.15">
      <c r="A56" s="181">
        <v>3917.8147936958853</v>
      </c>
      <c r="B56" s="183">
        <f t="shared" si="0"/>
        <v>2419.4469664531571</v>
      </c>
      <c r="C56">
        <v>2419.546966453157</v>
      </c>
    </row>
    <row r="57" spans="1:3" x14ac:dyDescent="0.15">
      <c r="A57" s="181">
        <v>3980.849345315617</v>
      </c>
      <c r="B57" s="183">
        <f t="shared" si="0"/>
        <v>2419.4252802974838</v>
      </c>
      <c r="C57">
        <v>2419.5252802974837</v>
      </c>
    </row>
    <row r="58" spans="1:3" x14ac:dyDescent="0.15">
      <c r="A58" s="181">
        <v>4000.7340545179809</v>
      </c>
      <c r="B58" s="183">
        <f t="shared" si="0"/>
        <v>2419.417852318526</v>
      </c>
      <c r="C58">
        <v>2419.5178523185259</v>
      </c>
    </row>
    <row r="59" spans="1:3" x14ac:dyDescent="0.15">
      <c r="A59" s="181">
        <v>4013.7617850549395</v>
      </c>
      <c r="B59" s="183">
        <f t="shared" si="0"/>
        <v>2419.4130844494889</v>
      </c>
      <c r="C59">
        <v>2419.5130844494888</v>
      </c>
    </row>
    <row r="60" spans="1:3" x14ac:dyDescent="0.15">
      <c r="A60" s="181">
        <v>4041.9374646056949</v>
      </c>
      <c r="B60" s="183">
        <f t="shared" si="0"/>
        <v>2419.402754621452</v>
      </c>
      <c r="C60">
        <v>2419.5027546214519</v>
      </c>
    </row>
    <row r="61" spans="1:3" x14ac:dyDescent="0.15">
      <c r="A61" s="181">
        <v>4064.0619178865018</v>
      </c>
      <c r="B61" s="183">
        <f t="shared" si="0"/>
        <v>2419.5860475303898</v>
      </c>
      <c r="C61">
        <v>2419.6860475303897</v>
      </c>
    </row>
    <row r="62" spans="1:3" x14ac:dyDescent="0.15">
      <c r="A62" s="181">
        <v>4283.9417944665202</v>
      </c>
      <c r="B62" s="183">
        <f t="shared" si="0"/>
        <v>2419.4761075920997</v>
      </c>
      <c r="C62">
        <v>2419.5761075920996</v>
      </c>
    </row>
    <row r="63" spans="1:3" x14ac:dyDescent="0.15">
      <c r="A63" s="181">
        <v>4345.7327489753416</v>
      </c>
      <c r="B63" s="183">
        <f t="shared" si="0"/>
        <v>2419.2701484076151</v>
      </c>
      <c r="C63">
        <v>2419.370148407615</v>
      </c>
    </row>
    <row r="64" spans="1:3" x14ac:dyDescent="0.15">
      <c r="A64" s="181">
        <v>4346.1976348725584</v>
      </c>
      <c r="B64" s="183">
        <f t="shared" si="0"/>
        <v>2419.2699366768884</v>
      </c>
      <c r="C64">
        <v>2419.3699366768883</v>
      </c>
    </row>
    <row r="65" spans="1:3" x14ac:dyDescent="0.15">
      <c r="A65" s="181">
        <v>4511.0967350950395</v>
      </c>
      <c r="B65" s="183">
        <f t="shared" si="0"/>
        <v>2419.2147929242283</v>
      </c>
      <c r="C65">
        <v>2419.3147929242282</v>
      </c>
    </row>
    <row r="66" spans="1:3" x14ac:dyDescent="0.15">
      <c r="A66" s="181">
        <v>4726.158544026237</v>
      </c>
      <c r="B66" s="183">
        <f t="shared" si="0"/>
        <v>2419.1426519433462</v>
      </c>
      <c r="C66">
        <v>2419.2426519433461</v>
      </c>
    </row>
    <row r="67" spans="1:3" x14ac:dyDescent="0.15">
      <c r="A67" s="181">
        <v>4753.6160362730061</v>
      </c>
      <c r="B67" s="183">
        <f t="shared" ref="B67:B113" si="1">C67-0.1</f>
        <v>2419.1331142740942</v>
      </c>
      <c r="C67">
        <v>2419.2331142740941</v>
      </c>
    </row>
    <row r="68" spans="1:3" x14ac:dyDescent="0.15">
      <c r="A68" s="181">
        <v>4796.3567875534736</v>
      </c>
      <c r="B68" s="183">
        <f t="shared" si="1"/>
        <v>2419.1184600719803</v>
      </c>
      <c r="C68">
        <v>2419.2184600719802</v>
      </c>
    </row>
    <row r="69" spans="1:3" x14ac:dyDescent="0.15">
      <c r="A69" s="181">
        <v>4821.7046724865668</v>
      </c>
      <c r="B69" s="183">
        <f t="shared" si="1"/>
        <v>2418.2997122959364</v>
      </c>
      <c r="C69">
        <v>2418.3997122959363</v>
      </c>
    </row>
    <row r="70" spans="1:3" x14ac:dyDescent="0.15">
      <c r="A70" s="181">
        <v>4834.5205437718696</v>
      </c>
      <c r="B70" s="183">
        <f t="shared" si="1"/>
        <v>2418.295003799306</v>
      </c>
      <c r="C70">
        <v>2418.3950037993059</v>
      </c>
    </row>
    <row r="71" spans="1:3" x14ac:dyDescent="0.15">
      <c r="A71" s="181">
        <v>4865.071837854056</v>
      </c>
      <c r="B71" s="183">
        <f t="shared" si="1"/>
        <v>2418.2837996440639</v>
      </c>
      <c r="C71">
        <v>2418.3837996440639</v>
      </c>
    </row>
    <row r="72" spans="1:3" x14ac:dyDescent="0.15">
      <c r="A72" s="181">
        <v>4889.7448478232172</v>
      </c>
      <c r="B72" s="183">
        <f t="shared" si="1"/>
        <v>2418.2742984731599</v>
      </c>
      <c r="C72">
        <v>2418.3742984731598</v>
      </c>
    </row>
    <row r="73" spans="1:3" x14ac:dyDescent="0.15">
      <c r="A73" s="181">
        <v>4910.7783036105084</v>
      </c>
      <c r="B73" s="183">
        <f t="shared" si="1"/>
        <v>2418.2659880774213</v>
      </c>
      <c r="C73">
        <v>2418.3659880774212</v>
      </c>
    </row>
    <row r="74" spans="1:3" x14ac:dyDescent="0.15">
      <c r="A74" s="181">
        <v>4926.3047555534877</v>
      </c>
      <c r="B74" s="183">
        <f t="shared" si="1"/>
        <v>2418.2596241418219</v>
      </c>
      <c r="C74">
        <v>2418.3596241418218</v>
      </c>
    </row>
    <row r="75" spans="1:3" x14ac:dyDescent="0.15">
      <c r="A75" s="181">
        <v>4933.2481935814385</v>
      </c>
      <c r="B75" s="183">
        <f t="shared" si="1"/>
        <v>2418.2567274714347</v>
      </c>
      <c r="C75">
        <v>2418.3567274714346</v>
      </c>
    </row>
    <row r="76" spans="1:3" x14ac:dyDescent="0.15">
      <c r="A76" s="181">
        <v>4959.8843905570038</v>
      </c>
      <c r="B76" s="183">
        <f t="shared" si="1"/>
        <v>2418.2477516537874</v>
      </c>
      <c r="C76">
        <v>2418.3477516537873</v>
      </c>
    </row>
    <row r="77" spans="1:3" x14ac:dyDescent="0.15">
      <c r="A77" s="181">
        <v>5244.26359103508</v>
      </c>
      <c r="B77" s="183">
        <f t="shared" si="1"/>
        <v>2418.1527153419388</v>
      </c>
      <c r="C77">
        <v>2418.2527153419387</v>
      </c>
    </row>
    <row r="78" spans="1:3" x14ac:dyDescent="0.15">
      <c r="A78" s="181">
        <v>5456.3113621247485</v>
      </c>
      <c r="B78" s="183">
        <f t="shared" si="1"/>
        <v>2418.0818072513139</v>
      </c>
      <c r="C78">
        <v>2418.1818072513138</v>
      </c>
    </row>
    <row r="79" spans="1:3" x14ac:dyDescent="0.15">
      <c r="A79" s="181">
        <v>5565.0008221799717</v>
      </c>
      <c r="B79" s="183">
        <f t="shared" si="1"/>
        <v>2418.0454980907348</v>
      </c>
      <c r="C79">
        <v>2418.1454980907347</v>
      </c>
    </row>
    <row r="80" spans="1:3" x14ac:dyDescent="0.15">
      <c r="A80" s="181">
        <v>5569.1628062993213</v>
      </c>
      <c r="B80" s="183">
        <f t="shared" si="1"/>
        <v>2417.093095756401</v>
      </c>
      <c r="C80">
        <v>2417.1930957564009</v>
      </c>
    </row>
    <row r="81" spans="1:3" x14ac:dyDescent="0.15">
      <c r="A81" s="181">
        <v>5630.3792542716646</v>
      </c>
      <c r="B81" s="183">
        <f t="shared" si="1"/>
        <v>2417.0726036042856</v>
      </c>
      <c r="C81">
        <v>2417.1726036042855</v>
      </c>
    </row>
    <row r="82" spans="1:3" x14ac:dyDescent="0.15">
      <c r="A82" s="181">
        <v>5730.2645188105271</v>
      </c>
      <c r="B82" s="183">
        <f t="shared" si="1"/>
        <v>2417.038647785188</v>
      </c>
      <c r="C82">
        <v>2417.1386477851879</v>
      </c>
    </row>
    <row r="83" spans="1:3" x14ac:dyDescent="0.15">
      <c r="A83" s="181">
        <v>5774.4785174080635</v>
      </c>
      <c r="B83" s="183">
        <f t="shared" si="1"/>
        <v>2417.2146411976455</v>
      </c>
      <c r="C83">
        <v>2417.3146411976454</v>
      </c>
    </row>
    <row r="84" spans="1:3" x14ac:dyDescent="0.15">
      <c r="A84" s="181">
        <v>6043.5130023768033</v>
      </c>
      <c r="B84" s="183">
        <f t="shared" si="1"/>
        <v>2417.0801239551611</v>
      </c>
      <c r="C84">
        <v>2417.180123955161</v>
      </c>
    </row>
    <row r="85" spans="1:3" x14ac:dyDescent="0.15">
      <c r="A85" s="181">
        <v>6078.8960114188258</v>
      </c>
      <c r="B85" s="183">
        <f t="shared" si="1"/>
        <v>2416.8827731178394</v>
      </c>
      <c r="C85">
        <v>2416.9827731178393</v>
      </c>
    </row>
    <row r="86" spans="1:3" x14ac:dyDescent="0.15">
      <c r="A86" s="181">
        <v>6128.1863186317578</v>
      </c>
      <c r="B86" s="183">
        <f t="shared" si="1"/>
        <v>2416.8660140226416</v>
      </c>
      <c r="C86">
        <v>2416.9660140226415</v>
      </c>
    </row>
    <row r="87" spans="1:3" x14ac:dyDescent="0.15">
      <c r="A87" s="181">
        <v>6169.6607139840062</v>
      </c>
      <c r="B87" s="183">
        <f t="shared" si="1"/>
        <v>2416.8520753887256</v>
      </c>
      <c r="C87">
        <v>2416.9520753887255</v>
      </c>
    </row>
    <row r="88" spans="1:3" x14ac:dyDescent="0.15">
      <c r="A88" s="181">
        <v>6248.3636242434795</v>
      </c>
      <c r="B88" s="183">
        <f t="shared" si="1"/>
        <v>2416.8255938352722</v>
      </c>
      <c r="C88">
        <v>2416.9255938352721</v>
      </c>
    </row>
    <row r="89" spans="1:3" x14ac:dyDescent="0.15">
      <c r="A89" s="181">
        <v>6264.2207721120649</v>
      </c>
      <c r="B89" s="183">
        <f t="shared" si="1"/>
        <v>2416.8198342092292</v>
      </c>
      <c r="C89">
        <v>2416.9198342092291</v>
      </c>
    </row>
    <row r="90" spans="1:3" x14ac:dyDescent="0.15">
      <c r="A90" s="181">
        <v>6276.2419259256503</v>
      </c>
      <c r="B90" s="183">
        <f t="shared" si="1"/>
        <v>2416.8149385220122</v>
      </c>
      <c r="C90">
        <v>2416.9149385220121</v>
      </c>
    </row>
    <row r="91" spans="1:3" x14ac:dyDescent="0.15">
      <c r="A91" s="181">
        <v>6322.9605267356883</v>
      </c>
      <c r="B91" s="183">
        <f t="shared" si="1"/>
        <v>2416.7976428535276</v>
      </c>
      <c r="C91">
        <v>2416.8976428535275</v>
      </c>
    </row>
    <row r="92" spans="1:3" x14ac:dyDescent="0.15">
      <c r="A92" s="181">
        <v>6368.6835961440429</v>
      </c>
      <c r="B92" s="183">
        <f t="shared" si="1"/>
        <v>2416.781162239005</v>
      </c>
      <c r="C92">
        <v>2416.8811622390049</v>
      </c>
    </row>
    <row r="93" spans="1:3" x14ac:dyDescent="0.15">
      <c r="A93" s="181">
        <v>6433.5946454538625</v>
      </c>
      <c r="B93" s="183">
        <f t="shared" si="1"/>
        <v>2416.7592132338009</v>
      </c>
      <c r="C93">
        <v>2416.8592132338008</v>
      </c>
    </row>
    <row r="94" spans="1:3" x14ac:dyDescent="0.15">
      <c r="A94" s="181">
        <v>6484.0244114390207</v>
      </c>
      <c r="B94" s="183">
        <f t="shared" si="1"/>
        <v>2416.7406580581337</v>
      </c>
      <c r="C94">
        <v>2416.8406580581336</v>
      </c>
    </row>
    <row r="95" spans="1:3" x14ac:dyDescent="0.15">
      <c r="A95" s="181">
        <v>6544.0279822471011</v>
      </c>
      <c r="B95" s="183">
        <f t="shared" si="1"/>
        <v>2416.7178372214953</v>
      </c>
      <c r="C95">
        <v>2416.8178372214952</v>
      </c>
    </row>
    <row r="96" spans="1:3" x14ac:dyDescent="0.15">
      <c r="A96" s="181">
        <v>6591.9851573295273</v>
      </c>
      <c r="B96" s="183">
        <f t="shared" si="1"/>
        <v>2416.7004737872708</v>
      </c>
      <c r="C96">
        <v>2416.8004737872707</v>
      </c>
    </row>
    <row r="97" spans="1:3" x14ac:dyDescent="0.15">
      <c r="A97" s="181">
        <v>6629.0490254994711</v>
      </c>
      <c r="B97" s="183">
        <f t="shared" si="1"/>
        <v>2416.6866170854755</v>
      </c>
      <c r="C97">
        <v>2416.7866170854754</v>
      </c>
    </row>
    <row r="98" spans="1:3" x14ac:dyDescent="0.15">
      <c r="A98" s="181">
        <v>6658.9245368595994</v>
      </c>
      <c r="B98" s="183">
        <f t="shared" si="1"/>
        <v>2416.6747387654063</v>
      </c>
      <c r="C98">
        <v>2416.7747387654063</v>
      </c>
    </row>
    <row r="99" spans="1:3" x14ac:dyDescent="0.15">
      <c r="A99" s="181">
        <v>6682.2538813990368</v>
      </c>
      <c r="B99" s="183">
        <f t="shared" si="1"/>
        <v>2416.6690770234109</v>
      </c>
      <c r="C99">
        <v>2416.7690770234108</v>
      </c>
    </row>
    <row r="100" spans="1:3" x14ac:dyDescent="0.15">
      <c r="A100" s="181">
        <v>6834.5557937488093</v>
      </c>
      <c r="B100" s="183">
        <f t="shared" si="1"/>
        <v>2416.6183097192943</v>
      </c>
      <c r="C100">
        <v>2416.7183097192942</v>
      </c>
    </row>
    <row r="101" spans="1:3" x14ac:dyDescent="0.15">
      <c r="A101" s="181">
        <v>6883.3363843195275</v>
      </c>
      <c r="B101" s="183">
        <f t="shared" si="1"/>
        <v>2416.6053828557706</v>
      </c>
      <c r="C101">
        <v>2416.7053828557705</v>
      </c>
    </row>
    <row r="102" spans="1:3" x14ac:dyDescent="0.15">
      <c r="A102" s="181">
        <v>6910.5183967185494</v>
      </c>
      <c r="B102" s="183">
        <f t="shared" si="1"/>
        <v>2416.5961949950665</v>
      </c>
      <c r="C102">
        <v>2416.6961949950664</v>
      </c>
    </row>
    <row r="103" spans="1:3" x14ac:dyDescent="0.15">
      <c r="A103" s="181">
        <v>7078.5316537930148</v>
      </c>
      <c r="B103" s="183">
        <f t="shared" si="1"/>
        <v>2416.5400223031575</v>
      </c>
      <c r="C103">
        <v>2416.6400223031574</v>
      </c>
    </row>
    <row r="104" spans="1:3" x14ac:dyDescent="0.15">
      <c r="A104" s="181">
        <v>7268.40475981076</v>
      </c>
      <c r="B104" s="183">
        <f t="shared" si="1"/>
        <v>2415.7566901848381</v>
      </c>
      <c r="C104">
        <v>2415.856690184838</v>
      </c>
    </row>
    <row r="105" spans="1:3" x14ac:dyDescent="0.15">
      <c r="A105" s="181">
        <v>7280.3763813453706</v>
      </c>
      <c r="B105" s="183">
        <f t="shared" si="1"/>
        <v>2415.7524522027579</v>
      </c>
      <c r="C105">
        <v>2415.8524522027578</v>
      </c>
    </row>
    <row r="106" spans="1:3" x14ac:dyDescent="0.15">
      <c r="A106" s="181">
        <v>7316.9964451013893</v>
      </c>
      <c r="B106" s="183">
        <f t="shared" si="1"/>
        <v>2415.7397883214771</v>
      </c>
      <c r="C106">
        <v>2415.839788321477</v>
      </c>
    </row>
    <row r="107" spans="1:3" x14ac:dyDescent="0.15">
      <c r="A107" s="181">
        <v>7366.0825127617618</v>
      </c>
      <c r="B107" s="183">
        <f t="shared" si="1"/>
        <v>2415.7229239778549</v>
      </c>
      <c r="C107">
        <v>2415.8229239778548</v>
      </c>
    </row>
    <row r="108" spans="1:3" x14ac:dyDescent="0.15">
      <c r="A108" s="181">
        <v>7451.0485923800961</v>
      </c>
      <c r="B108" s="183">
        <f t="shared" si="1"/>
        <v>2415.6939618210199</v>
      </c>
      <c r="C108">
        <v>2415.7939618210198</v>
      </c>
    </row>
    <row r="109" spans="1:3" x14ac:dyDescent="0.15">
      <c r="A109" s="181">
        <v>7496.1057795765937</v>
      </c>
      <c r="B109" s="183">
        <f t="shared" si="1"/>
        <v>2415.6782802506859</v>
      </c>
      <c r="C109">
        <v>2415.7782802506858</v>
      </c>
    </row>
    <row r="110" spans="1:3" x14ac:dyDescent="0.15">
      <c r="A110" s="181">
        <v>7624.4501579509424</v>
      </c>
      <c r="B110" s="183">
        <f t="shared" si="1"/>
        <v>2415.6351838443134</v>
      </c>
      <c r="C110">
        <v>2415.7351838443133</v>
      </c>
    </row>
    <row r="111" spans="1:3" x14ac:dyDescent="0.15">
      <c r="A111" s="181">
        <v>7898.228467420402</v>
      </c>
      <c r="B111" s="183">
        <f t="shared" si="1"/>
        <v>2415.5438900912063</v>
      </c>
      <c r="C111">
        <v>2415.6438900912062</v>
      </c>
    </row>
    <row r="112" spans="1:3" x14ac:dyDescent="0.15">
      <c r="A112" s="181">
        <v>7918.8034966192299</v>
      </c>
      <c r="B112" s="183">
        <f t="shared" si="1"/>
        <v>2414.9369974315232</v>
      </c>
      <c r="C112">
        <v>2415.0369974315231</v>
      </c>
    </row>
    <row r="113" spans="1:3" x14ac:dyDescent="0.15">
      <c r="A113" s="181">
        <v>8002.6300513580281</v>
      </c>
      <c r="B113" s="183">
        <f t="shared" si="1"/>
        <v>2414.9090552466105</v>
      </c>
      <c r="C113">
        <v>2415.0090552466104</v>
      </c>
    </row>
  </sheetData>
  <phoneticPr fontId="8" type="noConversion"/>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128"/>
  <sheetViews>
    <sheetView topLeftCell="A49" zoomScale="70" zoomScaleNormal="70" workbookViewId="0">
      <selection activeCell="B2" sqref="B2:C2"/>
    </sheetView>
  </sheetViews>
  <sheetFormatPr defaultColWidth="8.875" defaultRowHeight="13.5" x14ac:dyDescent="0.15"/>
  <cols>
    <col min="1" max="1" width="16.5" customWidth="1"/>
    <col min="2" max="2" width="12.875" customWidth="1"/>
    <col min="3" max="3" width="14.625" customWidth="1"/>
    <col min="4" max="4" width="5.625" customWidth="1"/>
    <col min="5" max="5" width="11" customWidth="1"/>
    <col min="6" max="6" width="18.25" customWidth="1"/>
    <col min="7" max="7" width="11.875" customWidth="1"/>
    <col min="8" max="10" width="14.125" customWidth="1"/>
    <col min="11" max="12" width="10.75" customWidth="1"/>
    <col min="13" max="13" width="9.375" customWidth="1"/>
    <col min="14" max="16" width="15.25" customWidth="1"/>
    <col min="17" max="18" width="12.875" customWidth="1"/>
  </cols>
  <sheetData>
    <row r="1" spans="1:7" x14ac:dyDescent="0.2">
      <c r="A1" t="s">
        <v>132</v>
      </c>
      <c r="B1" t="s">
        <v>133</v>
      </c>
      <c r="C1" t="s">
        <v>96</v>
      </c>
      <c r="E1" s="6">
        <v>1</v>
      </c>
      <c r="F1" s="44">
        <v>454434.59989999997</v>
      </c>
      <c r="G1" s="44">
        <v>3047188.3434000001</v>
      </c>
    </row>
    <row r="2" spans="1:7" x14ac:dyDescent="0.2">
      <c r="A2">
        <v>1</v>
      </c>
      <c r="B2">
        <v>454571.62109999999</v>
      </c>
      <c r="C2" s="236">
        <v>3047091.8583999998</v>
      </c>
      <c r="E2" s="6">
        <v>2</v>
      </c>
      <c r="F2" s="44">
        <v>454576.90909999999</v>
      </c>
      <c r="G2" s="44">
        <v>3047109.1524999999</v>
      </c>
    </row>
    <row r="3" spans="1:7" x14ac:dyDescent="0.2">
      <c r="A3">
        <v>2</v>
      </c>
      <c r="B3">
        <v>454567.78100000002</v>
      </c>
      <c r="C3" s="236">
        <v>3047079.2993000001</v>
      </c>
      <c r="E3" s="6">
        <v>3</v>
      </c>
      <c r="F3" s="44">
        <v>454567.78100000002</v>
      </c>
      <c r="G3" s="44">
        <v>3047079.2993000001</v>
      </c>
    </row>
    <row r="4" spans="1:7" x14ac:dyDescent="0.2">
      <c r="A4">
        <v>3</v>
      </c>
      <c r="B4">
        <v>454574.0588</v>
      </c>
      <c r="C4" s="236">
        <v>3047047.1425999999</v>
      </c>
      <c r="E4" s="6">
        <v>4</v>
      </c>
      <c r="F4" s="44">
        <v>454574.0588</v>
      </c>
      <c r="G4" s="44">
        <v>3047047.1425999999</v>
      </c>
    </row>
    <row r="5" spans="1:7" x14ac:dyDescent="0.2">
      <c r="A5">
        <v>4</v>
      </c>
      <c r="B5">
        <v>454565.68150000001</v>
      </c>
      <c r="C5" s="236">
        <v>3046970.7656</v>
      </c>
      <c r="E5" s="6">
        <v>5</v>
      </c>
      <c r="F5" s="44">
        <v>454565.68150000001</v>
      </c>
      <c r="G5" s="44">
        <v>3046970.7656</v>
      </c>
    </row>
    <row r="6" spans="1:7" x14ac:dyDescent="0.2">
      <c r="A6">
        <v>5</v>
      </c>
      <c r="B6">
        <v>454635.95539999998</v>
      </c>
      <c r="C6" s="236">
        <v>3046837.148</v>
      </c>
      <c r="E6" s="6">
        <v>6</v>
      </c>
      <c r="F6" s="44">
        <v>454635.95539999998</v>
      </c>
      <c r="G6" s="44">
        <v>3046837.148</v>
      </c>
    </row>
    <row r="7" spans="1:7" x14ac:dyDescent="0.2">
      <c r="A7">
        <v>6</v>
      </c>
      <c r="B7">
        <v>454682.10649999999</v>
      </c>
      <c r="C7" s="236">
        <v>3046839.3637999999</v>
      </c>
      <c r="E7" s="6">
        <v>7</v>
      </c>
      <c r="F7" s="44">
        <v>454682.10649999999</v>
      </c>
      <c r="G7" s="44">
        <v>3046839.3637999999</v>
      </c>
    </row>
    <row r="8" spans="1:7" x14ac:dyDescent="0.2">
      <c r="A8">
        <v>7</v>
      </c>
      <c r="B8">
        <v>454680.82520000002</v>
      </c>
      <c r="C8" s="236">
        <v>3046796.0151</v>
      </c>
      <c r="E8" s="6">
        <v>8</v>
      </c>
      <c r="F8" s="44">
        <v>454680.82520000002</v>
      </c>
      <c r="G8" s="44">
        <v>3046796.0151</v>
      </c>
    </row>
    <row r="9" spans="1:7" x14ac:dyDescent="0.2">
      <c r="A9">
        <v>8</v>
      </c>
      <c r="B9">
        <v>454719.5442</v>
      </c>
      <c r="C9" s="236">
        <v>3046788.7061000001</v>
      </c>
      <c r="E9" s="6">
        <v>9</v>
      </c>
      <c r="F9" s="44">
        <v>454719.5442</v>
      </c>
      <c r="G9" s="44">
        <v>3046788.7061000001</v>
      </c>
    </row>
    <row r="10" spans="1:7" x14ac:dyDescent="0.2">
      <c r="A10">
        <v>9</v>
      </c>
      <c r="B10">
        <v>454746.22570000001</v>
      </c>
      <c r="C10" s="236">
        <v>3046797.6940000001</v>
      </c>
      <c r="E10" s="6">
        <v>10</v>
      </c>
      <c r="F10" s="44">
        <v>454746.22570000001</v>
      </c>
      <c r="G10" s="44">
        <v>3046797.6940000001</v>
      </c>
    </row>
    <row r="11" spans="1:7" x14ac:dyDescent="0.2">
      <c r="A11">
        <v>10</v>
      </c>
      <c r="B11">
        <v>454746.47810000001</v>
      </c>
      <c r="C11" s="236">
        <v>3046724.1513</v>
      </c>
      <c r="E11" s="6">
        <v>11</v>
      </c>
      <c r="F11" s="44">
        <v>454746.47810000001</v>
      </c>
      <c r="G11" s="44">
        <v>3046724.1513</v>
      </c>
    </row>
    <row r="12" spans="1:7" x14ac:dyDescent="0.2">
      <c r="A12">
        <v>11</v>
      </c>
      <c r="B12">
        <v>454719.53419999999</v>
      </c>
      <c r="C12" s="236">
        <v>3046709.5011</v>
      </c>
      <c r="E12" s="6">
        <v>12</v>
      </c>
      <c r="F12" s="44">
        <v>454719.53419999999</v>
      </c>
      <c r="G12" s="44">
        <v>3046709.5011</v>
      </c>
    </row>
    <row r="13" spans="1:7" x14ac:dyDescent="0.2">
      <c r="A13">
        <v>12</v>
      </c>
      <c r="B13">
        <v>454697.55040000001</v>
      </c>
      <c r="C13" s="236">
        <v>3046713.8133</v>
      </c>
      <c r="E13" s="6">
        <v>13</v>
      </c>
      <c r="F13" s="44">
        <v>454697.55040000001</v>
      </c>
      <c r="G13" s="44">
        <v>3046713.8133</v>
      </c>
    </row>
    <row r="14" spans="1:7" x14ac:dyDescent="0.2">
      <c r="A14">
        <v>13</v>
      </c>
      <c r="B14">
        <v>454670.18579999998</v>
      </c>
      <c r="C14" s="236">
        <v>3046691.8047000002</v>
      </c>
      <c r="E14" s="6">
        <v>14</v>
      </c>
      <c r="F14" s="44">
        <v>454670.18579999998</v>
      </c>
      <c r="G14" s="44">
        <v>3046691.8047000002</v>
      </c>
    </row>
    <row r="15" spans="1:7" x14ac:dyDescent="0.2">
      <c r="A15">
        <v>14</v>
      </c>
      <c r="B15">
        <v>454652.45870000002</v>
      </c>
      <c r="C15" s="236">
        <v>3046633.7338</v>
      </c>
      <c r="E15" s="207"/>
      <c r="F15" s="208">
        <v>454658.65740000003</v>
      </c>
      <c r="G15" s="208">
        <v>3046654.0397000001</v>
      </c>
    </row>
    <row r="16" spans="1:7" x14ac:dyDescent="0.2">
      <c r="B16" s="208">
        <v>454658.65740000003</v>
      </c>
      <c r="C16" s="208">
        <v>3046654.0397000001</v>
      </c>
      <c r="E16" s="207"/>
      <c r="F16" s="208"/>
      <c r="G16" s="208"/>
    </row>
    <row r="17" spans="1:7" x14ac:dyDescent="0.2">
      <c r="A17">
        <v>15</v>
      </c>
      <c r="B17">
        <v>454670.8688</v>
      </c>
      <c r="C17" s="236">
        <v>3046613.5603</v>
      </c>
      <c r="E17" s="6">
        <v>15</v>
      </c>
      <c r="F17" s="44">
        <v>454652.45870000002</v>
      </c>
      <c r="G17" s="44">
        <v>3046633.7338</v>
      </c>
    </row>
    <row r="18" spans="1:7" x14ac:dyDescent="0.2">
      <c r="A18">
        <v>16</v>
      </c>
      <c r="B18">
        <v>454619.96130000002</v>
      </c>
      <c r="C18" s="236">
        <v>3046597.2149999999</v>
      </c>
      <c r="E18" s="6">
        <v>16</v>
      </c>
      <c r="F18" s="44">
        <v>454670.8688</v>
      </c>
      <c r="G18" s="44">
        <v>3046613.5603</v>
      </c>
    </row>
    <row r="19" spans="1:7" x14ac:dyDescent="0.2">
      <c r="A19">
        <v>17</v>
      </c>
      <c r="B19">
        <v>454594.73070000001</v>
      </c>
      <c r="C19" s="236">
        <v>3046451.0177000002</v>
      </c>
      <c r="E19" s="6">
        <v>17</v>
      </c>
      <c r="F19" s="44">
        <v>454619.96130000002</v>
      </c>
      <c r="G19" s="44">
        <v>3046597.2149999999</v>
      </c>
    </row>
    <row r="20" spans="1:7" x14ac:dyDescent="0.2">
      <c r="A20">
        <v>18</v>
      </c>
      <c r="B20">
        <v>454607.9558</v>
      </c>
      <c r="C20" s="236">
        <v>3046435.4915</v>
      </c>
      <c r="E20" s="6">
        <v>18</v>
      </c>
      <c r="F20" s="44">
        <v>454594.73070000001</v>
      </c>
      <c r="G20" s="44">
        <v>3046451.0177000002</v>
      </c>
    </row>
    <row r="21" spans="1:7" x14ac:dyDescent="0.2">
      <c r="A21">
        <v>19</v>
      </c>
      <c r="B21">
        <v>454593.6827</v>
      </c>
      <c r="C21" s="236">
        <v>3046401.0093</v>
      </c>
      <c r="E21" s="6">
        <v>19</v>
      </c>
      <c r="F21" s="44">
        <v>454607.9558</v>
      </c>
      <c r="G21" s="44">
        <v>3046435.4915</v>
      </c>
    </row>
    <row r="22" spans="1:7" x14ac:dyDescent="0.2">
      <c r="A22">
        <v>20</v>
      </c>
      <c r="B22">
        <v>454581.17839999998</v>
      </c>
      <c r="C22" s="236">
        <v>3046253.4643999999</v>
      </c>
      <c r="E22" s="6">
        <v>20</v>
      </c>
      <c r="F22" s="44">
        <v>454593.6827</v>
      </c>
      <c r="G22" s="44">
        <v>3046401.0093</v>
      </c>
    </row>
    <row r="23" spans="1:7" x14ac:dyDescent="0.2">
      <c r="A23">
        <v>21</v>
      </c>
      <c r="B23">
        <v>454586.69559999998</v>
      </c>
      <c r="C23" s="236">
        <v>3046130.8794999998</v>
      </c>
      <c r="E23" s="6">
        <v>21</v>
      </c>
      <c r="F23" s="44">
        <v>454581.17839999998</v>
      </c>
      <c r="G23" s="44">
        <v>3046253.4643999999</v>
      </c>
    </row>
    <row r="24" spans="1:7" x14ac:dyDescent="0.2">
      <c r="A24">
        <v>22</v>
      </c>
      <c r="B24">
        <v>454640.38799999998</v>
      </c>
      <c r="C24" s="236">
        <v>3046120.0978999999</v>
      </c>
      <c r="E24" s="6">
        <v>22</v>
      </c>
      <c r="F24" s="44">
        <v>454586.69559999998</v>
      </c>
      <c r="G24" s="44">
        <v>3046130.8794999998</v>
      </c>
    </row>
    <row r="25" spans="1:7" x14ac:dyDescent="0.2">
      <c r="A25">
        <v>23</v>
      </c>
      <c r="B25">
        <v>454662.73790000001</v>
      </c>
      <c r="C25" s="236">
        <v>3046078.8388999999</v>
      </c>
      <c r="E25" s="6">
        <v>23</v>
      </c>
      <c r="F25" s="44">
        <v>454640.38799999998</v>
      </c>
      <c r="G25" s="44">
        <v>3046120.0978999999</v>
      </c>
    </row>
    <row r="26" spans="1:7" x14ac:dyDescent="0.2">
      <c r="A26">
        <v>24</v>
      </c>
      <c r="B26">
        <v>454675.87449999998</v>
      </c>
      <c r="C26" s="236">
        <v>3046054.588</v>
      </c>
      <c r="E26" s="9">
        <v>24</v>
      </c>
      <c r="F26" s="48">
        <v>454662.73790000001</v>
      </c>
      <c r="G26" s="48">
        <v>3046078.8388999999</v>
      </c>
    </row>
    <row r="27" spans="1:7" x14ac:dyDescent="0.2">
      <c r="A27">
        <v>25</v>
      </c>
      <c r="B27">
        <v>454672.94199999998</v>
      </c>
      <c r="C27" s="236">
        <v>3045713.8939999999</v>
      </c>
      <c r="E27" s="9">
        <v>25</v>
      </c>
      <c r="F27" s="48">
        <v>454675.87449999998</v>
      </c>
      <c r="G27" s="48">
        <v>3046054.588</v>
      </c>
    </row>
    <row r="28" spans="1:7" x14ac:dyDescent="0.2">
      <c r="A28">
        <v>26</v>
      </c>
      <c r="B28">
        <v>454643.81550000003</v>
      </c>
      <c r="C28" s="236">
        <v>3045711.7352999998</v>
      </c>
      <c r="E28" s="9">
        <v>26</v>
      </c>
      <c r="F28" s="48">
        <v>454672.94199999998</v>
      </c>
      <c r="G28" s="48">
        <v>3045713.8939999999</v>
      </c>
    </row>
    <row r="29" spans="1:7" x14ac:dyDescent="0.2">
      <c r="A29">
        <v>27</v>
      </c>
      <c r="B29">
        <v>454619.85570000001</v>
      </c>
      <c r="C29" s="236">
        <v>3045709.9596000002</v>
      </c>
      <c r="E29" s="9">
        <v>27</v>
      </c>
      <c r="F29" s="48">
        <v>454643.81550000003</v>
      </c>
      <c r="G29" s="48">
        <v>3045711.7352999998</v>
      </c>
    </row>
    <row r="30" spans="1:7" x14ac:dyDescent="0.2">
      <c r="A30">
        <v>28</v>
      </c>
      <c r="B30">
        <v>454590.95809999999</v>
      </c>
      <c r="C30" s="236">
        <v>3045701.9218000001</v>
      </c>
      <c r="E30" s="6">
        <v>28</v>
      </c>
      <c r="F30" s="44">
        <v>454619.85570000001</v>
      </c>
      <c r="G30" s="44">
        <v>3045709.9596000002</v>
      </c>
    </row>
    <row r="31" spans="1:7" x14ac:dyDescent="0.2">
      <c r="A31">
        <v>29</v>
      </c>
      <c r="B31">
        <v>454547.39669999998</v>
      </c>
      <c r="C31" s="236">
        <v>3045713.3415000001</v>
      </c>
      <c r="E31" s="6">
        <v>29</v>
      </c>
      <c r="F31" s="44">
        <v>454590.95809999999</v>
      </c>
      <c r="G31" s="44">
        <v>3045701.9218000001</v>
      </c>
    </row>
    <row r="32" spans="1:7" x14ac:dyDescent="0.2">
      <c r="A32">
        <v>30</v>
      </c>
      <c r="B32">
        <v>454516.51160000003</v>
      </c>
      <c r="C32" s="236">
        <v>3045670.0395999998</v>
      </c>
      <c r="E32" s="6">
        <v>30</v>
      </c>
      <c r="F32" s="44">
        <v>454547.39669999998</v>
      </c>
      <c r="G32" s="44">
        <v>3045713.3415000001</v>
      </c>
    </row>
    <row r="33" spans="1:7" x14ac:dyDescent="0.2">
      <c r="B33" s="208">
        <v>454537.02610000002</v>
      </c>
      <c r="C33" s="208">
        <v>3045698.8015999999</v>
      </c>
      <c r="E33" s="6"/>
      <c r="F33" s="44"/>
      <c r="G33" s="44"/>
    </row>
    <row r="34" spans="1:7" x14ac:dyDescent="0.2">
      <c r="A34">
        <v>31</v>
      </c>
      <c r="B34">
        <v>454508.25770000002</v>
      </c>
      <c r="C34" s="236">
        <v>3045721.4078000002</v>
      </c>
      <c r="E34" s="207"/>
      <c r="F34" s="208">
        <v>454537.02610000002</v>
      </c>
      <c r="G34" s="208">
        <v>3045698.8015999999</v>
      </c>
    </row>
    <row r="35" spans="1:7" x14ac:dyDescent="0.2">
      <c r="A35">
        <v>32</v>
      </c>
      <c r="B35">
        <v>454482.5294</v>
      </c>
      <c r="C35" s="236">
        <v>3045730.2322</v>
      </c>
      <c r="E35" s="6">
        <v>31</v>
      </c>
      <c r="F35" s="44">
        <v>454516.51160000003</v>
      </c>
      <c r="G35" s="44">
        <v>3045670.0395999998</v>
      </c>
    </row>
    <row r="36" spans="1:7" x14ac:dyDescent="0.2">
      <c r="A36">
        <v>33</v>
      </c>
      <c r="B36">
        <v>454431.07880000002</v>
      </c>
      <c r="C36" s="236">
        <v>3045712.3160999999</v>
      </c>
      <c r="E36" s="6">
        <v>32</v>
      </c>
      <c r="F36" s="44">
        <v>454508.25770000002</v>
      </c>
      <c r="G36" s="44">
        <v>3045721.4078000002</v>
      </c>
    </row>
    <row r="37" spans="1:7" x14ac:dyDescent="0.2">
      <c r="A37">
        <v>34</v>
      </c>
      <c r="B37">
        <v>454407.86320000002</v>
      </c>
      <c r="C37" s="236">
        <v>3045662.8601000002</v>
      </c>
      <c r="E37" s="6">
        <v>33</v>
      </c>
      <c r="F37" s="44">
        <v>454482.5294</v>
      </c>
      <c r="G37" s="44">
        <v>3045730.2322</v>
      </c>
    </row>
    <row r="38" spans="1:7" x14ac:dyDescent="0.2">
      <c r="A38">
        <v>35</v>
      </c>
      <c r="B38">
        <v>454405.60029999999</v>
      </c>
      <c r="C38" s="236">
        <v>3045626.3124000002</v>
      </c>
      <c r="E38" s="6">
        <v>34</v>
      </c>
      <c r="F38" s="44">
        <v>454431.07880000002</v>
      </c>
      <c r="G38" s="44">
        <v>3045712.3160999999</v>
      </c>
    </row>
    <row r="39" spans="1:7" x14ac:dyDescent="0.2">
      <c r="A39">
        <v>36</v>
      </c>
      <c r="B39">
        <v>454382.50719999999</v>
      </c>
      <c r="C39" s="236">
        <v>3045611.8206000002</v>
      </c>
      <c r="E39" s="6">
        <v>35</v>
      </c>
      <c r="F39" s="44">
        <v>454407.86320000002</v>
      </c>
      <c r="G39" s="44">
        <v>3045662.8601000002</v>
      </c>
    </row>
    <row r="40" spans="1:7" x14ac:dyDescent="0.2">
      <c r="A40">
        <v>37</v>
      </c>
      <c r="B40">
        <v>454359.05099999998</v>
      </c>
      <c r="C40" s="236">
        <v>3045491.2736999998</v>
      </c>
      <c r="E40" s="6">
        <v>36</v>
      </c>
      <c r="F40" s="44">
        <v>454405.60029999999</v>
      </c>
      <c r="G40" s="44">
        <v>3045626.3124000002</v>
      </c>
    </row>
    <row r="41" spans="1:7" x14ac:dyDescent="0.2">
      <c r="A41">
        <v>38</v>
      </c>
      <c r="B41">
        <v>454402.34110000002</v>
      </c>
      <c r="C41" s="236">
        <v>3045466.9119000002</v>
      </c>
      <c r="E41" s="6">
        <v>37</v>
      </c>
      <c r="F41" s="44">
        <v>454382.50719999999</v>
      </c>
      <c r="G41" s="44">
        <v>3045611.8206000002</v>
      </c>
    </row>
    <row r="42" spans="1:7" x14ac:dyDescent="0.2">
      <c r="A42">
        <v>39</v>
      </c>
      <c r="B42">
        <v>454373.1251</v>
      </c>
      <c r="C42" s="236">
        <v>3045435.9207000001</v>
      </c>
      <c r="E42" s="6">
        <v>38</v>
      </c>
      <c r="F42" s="44">
        <v>454359.05099999998</v>
      </c>
      <c r="G42" s="44">
        <v>3045491.2736999998</v>
      </c>
    </row>
    <row r="43" spans="1:7" x14ac:dyDescent="0.2">
      <c r="A43">
        <v>40</v>
      </c>
      <c r="B43">
        <v>454401.99660000001</v>
      </c>
      <c r="C43" s="236">
        <v>3045378.6110999999</v>
      </c>
      <c r="E43" s="6">
        <v>39</v>
      </c>
      <c r="F43" s="44">
        <v>454402.34110000002</v>
      </c>
      <c r="G43" s="44">
        <v>3045466.9119000002</v>
      </c>
    </row>
    <row r="44" spans="1:7" x14ac:dyDescent="0.2">
      <c r="A44">
        <v>41</v>
      </c>
      <c r="B44">
        <v>454416.6568</v>
      </c>
      <c r="C44" s="236">
        <v>3045349.5109000001</v>
      </c>
      <c r="E44" s="6">
        <v>40</v>
      </c>
      <c r="F44" s="44">
        <v>454373.1251</v>
      </c>
      <c r="G44" s="44">
        <v>3045435.9207000001</v>
      </c>
    </row>
    <row r="45" spans="1:7" x14ac:dyDescent="0.2">
      <c r="A45">
        <v>42</v>
      </c>
      <c r="B45">
        <v>454408.71460000001</v>
      </c>
      <c r="C45" s="236">
        <v>3045146.7291000001</v>
      </c>
      <c r="E45" s="9">
        <v>41</v>
      </c>
      <c r="F45" s="48">
        <v>454401.99660000001</v>
      </c>
      <c r="G45" s="48">
        <v>3045378.6110999999</v>
      </c>
    </row>
    <row r="46" spans="1:7" x14ac:dyDescent="0.2">
      <c r="A46">
        <v>43</v>
      </c>
      <c r="B46">
        <v>454397.14279999997</v>
      </c>
      <c r="C46" s="236">
        <v>3045127.3725999999</v>
      </c>
      <c r="E46" s="9">
        <v>42</v>
      </c>
      <c r="F46" s="48">
        <v>454416.6568</v>
      </c>
      <c r="G46" s="48">
        <v>3045349.5109000001</v>
      </c>
    </row>
    <row r="47" spans="1:7" x14ac:dyDescent="0.2">
      <c r="A47">
        <v>44</v>
      </c>
      <c r="B47">
        <v>454329.83789999998</v>
      </c>
      <c r="C47" s="236">
        <v>3045014.7892</v>
      </c>
      <c r="E47" s="9">
        <v>43</v>
      </c>
      <c r="F47" s="48">
        <v>454408.71460000001</v>
      </c>
      <c r="G47" s="48">
        <v>3045146.7291000001</v>
      </c>
    </row>
    <row r="48" spans="1:7" x14ac:dyDescent="0.2">
      <c r="A48">
        <v>45</v>
      </c>
      <c r="B48">
        <v>454291.51079999999</v>
      </c>
      <c r="C48" s="236">
        <v>3044823.2404999998</v>
      </c>
      <c r="E48" s="9">
        <v>44</v>
      </c>
      <c r="F48" s="48">
        <v>454397.14279999997</v>
      </c>
      <c r="G48" s="48">
        <v>3045127.3725999999</v>
      </c>
    </row>
    <row r="49" spans="1:7" x14ac:dyDescent="0.2">
      <c r="B49" s="208">
        <v>454311.10969999997</v>
      </c>
      <c r="C49" s="208">
        <v>3044921.1908</v>
      </c>
      <c r="E49" s="9"/>
      <c r="F49" s="48"/>
      <c r="G49" s="48"/>
    </row>
    <row r="50" spans="1:7" x14ac:dyDescent="0.2">
      <c r="A50">
        <v>46</v>
      </c>
      <c r="B50">
        <v>454326.95400000003</v>
      </c>
      <c r="C50" s="236">
        <v>3044795.5137</v>
      </c>
      <c r="E50" s="6">
        <v>45</v>
      </c>
      <c r="F50" s="44">
        <v>454329.83789999998</v>
      </c>
      <c r="G50" s="44">
        <v>3045014.7892</v>
      </c>
    </row>
    <row r="51" spans="1:7" x14ac:dyDescent="0.2">
      <c r="A51">
        <v>47</v>
      </c>
      <c r="B51">
        <v>454484.0477</v>
      </c>
      <c r="C51" s="236">
        <v>3044672.6213000002</v>
      </c>
      <c r="E51" s="207"/>
      <c r="F51" s="208">
        <v>454311.10969999997</v>
      </c>
      <c r="G51" s="208">
        <v>3044921.1908</v>
      </c>
    </row>
    <row r="52" spans="1:7" x14ac:dyDescent="0.2">
      <c r="A52">
        <v>48</v>
      </c>
      <c r="B52">
        <v>454474.95329999999</v>
      </c>
      <c r="C52" s="236">
        <v>3044646.9881000002</v>
      </c>
      <c r="E52" s="6">
        <v>46</v>
      </c>
      <c r="F52" s="44">
        <v>454291.51079999999</v>
      </c>
      <c r="G52" s="44">
        <v>3044823.2404999998</v>
      </c>
    </row>
    <row r="53" spans="1:7" x14ac:dyDescent="0.2">
      <c r="A53">
        <v>49</v>
      </c>
      <c r="B53">
        <v>454460.71620000002</v>
      </c>
      <c r="C53" s="236">
        <v>3044606.8602</v>
      </c>
      <c r="E53" s="9">
        <v>47</v>
      </c>
      <c r="F53" s="48">
        <v>454326.95400000003</v>
      </c>
      <c r="G53" s="48">
        <v>3044795.5137</v>
      </c>
    </row>
    <row r="54" spans="1:7" x14ac:dyDescent="0.2">
      <c r="A54">
        <v>50</v>
      </c>
      <c r="B54">
        <v>454492.91210000002</v>
      </c>
      <c r="C54" s="236">
        <v>3044526.3133</v>
      </c>
      <c r="E54" s="9">
        <v>48</v>
      </c>
      <c r="F54" s="48">
        <v>454484.0477</v>
      </c>
      <c r="G54" s="48">
        <v>3044672.6213000002</v>
      </c>
    </row>
    <row r="55" spans="1:7" x14ac:dyDescent="0.2">
      <c r="A55">
        <v>51</v>
      </c>
      <c r="B55">
        <v>454727.15259999997</v>
      </c>
      <c r="C55" s="236">
        <v>3044458.6601999998</v>
      </c>
      <c r="E55" s="9">
        <v>49</v>
      </c>
      <c r="F55" s="48">
        <v>454474.95329999999</v>
      </c>
      <c r="G55" s="48">
        <v>3044646.9881000002</v>
      </c>
    </row>
    <row r="56" spans="1:7" x14ac:dyDescent="0.2">
      <c r="B56" s="208">
        <v>454507.21590000001</v>
      </c>
      <c r="C56" s="208">
        <v>3044522.1820999999</v>
      </c>
      <c r="E56" s="9"/>
      <c r="F56" s="48"/>
      <c r="G56" s="48"/>
    </row>
    <row r="57" spans="1:7" x14ac:dyDescent="0.2">
      <c r="A57">
        <v>52</v>
      </c>
      <c r="B57">
        <v>454728.76</v>
      </c>
      <c r="C57" s="236">
        <v>3044453.5362</v>
      </c>
      <c r="E57" s="6">
        <v>50</v>
      </c>
      <c r="F57" s="44">
        <v>454460.71620000002</v>
      </c>
      <c r="G57" s="44">
        <v>3044606.8602</v>
      </c>
    </row>
    <row r="58" spans="1:7" x14ac:dyDescent="0.2">
      <c r="A58">
        <v>53</v>
      </c>
      <c r="B58">
        <v>454781.34490000003</v>
      </c>
      <c r="C58" s="236">
        <v>3044285.9060999998</v>
      </c>
      <c r="E58" s="6">
        <v>51</v>
      </c>
      <c r="F58" s="44">
        <v>454492.91210000002</v>
      </c>
      <c r="G58" s="44">
        <v>3044526.3133</v>
      </c>
    </row>
    <row r="59" spans="1:7" x14ac:dyDescent="0.2">
      <c r="A59">
        <v>54</v>
      </c>
      <c r="B59">
        <v>454786.04499999998</v>
      </c>
      <c r="C59" s="236">
        <v>3044266.1011999999</v>
      </c>
      <c r="E59" s="207"/>
      <c r="F59" s="208">
        <v>454507.21590000001</v>
      </c>
      <c r="G59" s="208">
        <v>3044522.1820999999</v>
      </c>
    </row>
    <row r="60" spans="1:7" x14ac:dyDescent="0.2">
      <c r="A60">
        <v>55</v>
      </c>
      <c r="B60">
        <v>454800.74900000001</v>
      </c>
      <c r="C60" s="236">
        <v>3044204.1441000002</v>
      </c>
      <c r="E60" s="6">
        <v>52</v>
      </c>
      <c r="F60" s="44">
        <v>454727.15259999997</v>
      </c>
      <c r="G60" s="44">
        <v>3044458.6601999998</v>
      </c>
    </row>
    <row r="61" spans="1:7" x14ac:dyDescent="0.2">
      <c r="A61">
        <v>56</v>
      </c>
      <c r="B61">
        <v>454785.00910000002</v>
      </c>
      <c r="C61" s="236">
        <v>3044190.9604000002</v>
      </c>
      <c r="E61" s="9">
        <v>53</v>
      </c>
      <c r="F61" s="48">
        <v>454728.76</v>
      </c>
      <c r="G61" s="48">
        <v>3044453.5362</v>
      </c>
    </row>
    <row r="62" spans="1:7" x14ac:dyDescent="0.2">
      <c r="A62">
        <v>57</v>
      </c>
      <c r="B62">
        <v>454776.90210000001</v>
      </c>
      <c r="C62" s="236">
        <v>3044180.6927999998</v>
      </c>
      <c r="E62" s="9">
        <v>54</v>
      </c>
      <c r="F62" s="48">
        <v>454781.34490000003</v>
      </c>
      <c r="G62" s="48">
        <v>3044285.9060999998</v>
      </c>
    </row>
    <row r="63" spans="1:7" x14ac:dyDescent="0.2">
      <c r="A63">
        <v>58</v>
      </c>
      <c r="B63">
        <v>454771.86700000003</v>
      </c>
      <c r="C63" s="236">
        <v>3044152.3747</v>
      </c>
      <c r="E63" s="9">
        <v>55</v>
      </c>
      <c r="F63" s="48">
        <v>454786.04499999998</v>
      </c>
      <c r="G63" s="48">
        <v>3044266.1011999999</v>
      </c>
    </row>
    <row r="64" spans="1:7" x14ac:dyDescent="0.2">
      <c r="A64">
        <v>59</v>
      </c>
      <c r="B64">
        <v>454789.18800000002</v>
      </c>
      <c r="C64" s="236">
        <v>3044137.7644000002</v>
      </c>
      <c r="E64" s="6">
        <v>56</v>
      </c>
      <c r="F64" s="44">
        <v>454800.74900000001</v>
      </c>
      <c r="G64" s="44">
        <v>3044204.1441000002</v>
      </c>
    </row>
    <row r="65" spans="1:7" x14ac:dyDescent="0.2">
      <c r="A65">
        <v>60</v>
      </c>
      <c r="B65">
        <v>454957.26059999998</v>
      </c>
      <c r="C65" s="236">
        <v>3043995.9942999999</v>
      </c>
      <c r="E65" s="6">
        <v>57</v>
      </c>
      <c r="F65" s="44">
        <v>454785.00910000002</v>
      </c>
      <c r="G65" s="44">
        <v>3044190.9604000002</v>
      </c>
    </row>
    <row r="66" spans="1:7" x14ac:dyDescent="0.2">
      <c r="A66">
        <v>61</v>
      </c>
      <c r="B66">
        <v>455004.49290000001</v>
      </c>
      <c r="C66" s="236">
        <v>3043956.1537000001</v>
      </c>
      <c r="E66" s="6">
        <v>58</v>
      </c>
      <c r="F66" s="44">
        <v>454776.90210000001</v>
      </c>
      <c r="G66" s="44">
        <v>3044180.6927999998</v>
      </c>
    </row>
    <row r="67" spans="1:7" x14ac:dyDescent="0.2">
      <c r="A67">
        <v>62</v>
      </c>
      <c r="B67">
        <v>455004.81910000002</v>
      </c>
      <c r="C67" s="236">
        <v>3043955.8220000002</v>
      </c>
      <c r="E67" s="6">
        <v>59</v>
      </c>
      <c r="F67" s="44">
        <v>454771.86700000003</v>
      </c>
      <c r="G67" s="44">
        <v>3044152.3747</v>
      </c>
    </row>
    <row r="68" spans="1:7" x14ac:dyDescent="0.2">
      <c r="A68">
        <v>63</v>
      </c>
      <c r="B68">
        <v>455120.46399999998</v>
      </c>
      <c r="C68" s="236">
        <v>3043838.2417000001</v>
      </c>
      <c r="E68" s="9">
        <v>60</v>
      </c>
      <c r="F68" s="48">
        <v>454789.18800000002</v>
      </c>
      <c r="G68" s="48">
        <v>3044137.7644000002</v>
      </c>
    </row>
    <row r="69" spans="1:7" x14ac:dyDescent="0.2">
      <c r="A69">
        <v>64</v>
      </c>
      <c r="B69">
        <v>455159.69189999998</v>
      </c>
      <c r="C69" s="236">
        <v>3043626.6776000001</v>
      </c>
      <c r="E69" s="9">
        <v>61</v>
      </c>
      <c r="F69" s="48">
        <v>454957.26059999998</v>
      </c>
      <c r="G69" s="48">
        <v>3043995.9942999999</v>
      </c>
    </row>
    <row r="70" spans="1:7" x14ac:dyDescent="0.2">
      <c r="A70">
        <v>65</v>
      </c>
      <c r="B70">
        <v>455141.07579999999</v>
      </c>
      <c r="C70" s="236">
        <v>3043606.3701999998</v>
      </c>
      <c r="E70" s="6">
        <v>62</v>
      </c>
      <c r="F70" s="44">
        <v>455004.49290000001</v>
      </c>
      <c r="G70" s="44">
        <v>3043956.1537000001</v>
      </c>
    </row>
    <row r="71" spans="1:7" x14ac:dyDescent="0.2">
      <c r="A71">
        <v>66</v>
      </c>
      <c r="B71">
        <v>455102.76079999999</v>
      </c>
      <c r="C71" s="236">
        <v>3043587.1701000002</v>
      </c>
      <c r="E71" s="9">
        <v>63</v>
      </c>
      <c r="F71" s="48">
        <v>455004.81910000002</v>
      </c>
      <c r="G71" s="48">
        <v>3043955.8220000002</v>
      </c>
    </row>
    <row r="72" spans="1:7" x14ac:dyDescent="0.2">
      <c r="A72">
        <v>67</v>
      </c>
      <c r="B72">
        <v>455100.04399999999</v>
      </c>
      <c r="C72" s="236">
        <v>3043561.8566999999</v>
      </c>
      <c r="E72" s="9">
        <v>64</v>
      </c>
      <c r="F72" s="48">
        <v>455120.46399999998</v>
      </c>
      <c r="G72" s="48">
        <v>3043838.2417000001</v>
      </c>
    </row>
    <row r="73" spans="1:7" x14ac:dyDescent="0.2">
      <c r="A73">
        <v>68</v>
      </c>
      <c r="B73">
        <v>455098.65919999999</v>
      </c>
      <c r="C73" s="236">
        <v>3043548.9537</v>
      </c>
      <c r="E73" s="9">
        <v>65</v>
      </c>
      <c r="F73" s="48">
        <v>455159.69189999998</v>
      </c>
      <c r="G73" s="48">
        <v>3043626.6776000001</v>
      </c>
    </row>
    <row r="74" spans="1:7" x14ac:dyDescent="0.2">
      <c r="A74">
        <v>69</v>
      </c>
      <c r="B74">
        <v>455075.84720000002</v>
      </c>
      <c r="C74" s="236">
        <v>3043527.7927999999</v>
      </c>
      <c r="E74" s="9">
        <v>66</v>
      </c>
      <c r="F74" s="48">
        <v>455141.07579999999</v>
      </c>
      <c r="G74" s="48">
        <v>3043606.3701999998</v>
      </c>
    </row>
    <row r="75" spans="1:7" x14ac:dyDescent="0.2">
      <c r="A75">
        <v>70</v>
      </c>
      <c r="B75">
        <v>455050.6336</v>
      </c>
      <c r="C75" s="236">
        <v>3043533.1611000001</v>
      </c>
      <c r="E75" s="9">
        <v>67</v>
      </c>
      <c r="F75" s="48">
        <v>455102.76079999999</v>
      </c>
      <c r="G75" s="48">
        <v>3043587.1701000002</v>
      </c>
    </row>
    <row r="76" spans="1:7" x14ac:dyDescent="0.2">
      <c r="A76">
        <v>71</v>
      </c>
      <c r="B76">
        <v>455037.31140000001</v>
      </c>
      <c r="C76" s="236">
        <v>3043515.4139999999</v>
      </c>
      <c r="E76" s="9">
        <v>68</v>
      </c>
      <c r="F76" s="48">
        <v>455100.04399999999</v>
      </c>
      <c r="G76" s="48">
        <v>3043561.8566999999</v>
      </c>
    </row>
    <row r="77" spans="1:7" x14ac:dyDescent="0.2">
      <c r="B77" s="208">
        <v>455043.68449999997</v>
      </c>
      <c r="C77" s="208">
        <v>3043523.9038999998</v>
      </c>
      <c r="E77" s="9"/>
      <c r="F77" s="48"/>
      <c r="G77" s="48"/>
    </row>
    <row r="78" spans="1:7" x14ac:dyDescent="0.2">
      <c r="A78">
        <v>72</v>
      </c>
      <c r="B78">
        <v>455020.96830000001</v>
      </c>
      <c r="C78" s="236">
        <v>3043516.5194999999</v>
      </c>
      <c r="E78" s="6">
        <v>69</v>
      </c>
      <c r="F78" s="44">
        <v>455098.65919999999</v>
      </c>
      <c r="G78" s="44">
        <v>3043548.9537</v>
      </c>
    </row>
    <row r="79" spans="1:7" x14ac:dyDescent="0.2">
      <c r="A79">
        <v>73</v>
      </c>
      <c r="B79">
        <v>455016.33179999999</v>
      </c>
      <c r="C79" s="236">
        <v>3043510.8258000002</v>
      </c>
      <c r="E79" s="6">
        <v>70</v>
      </c>
      <c r="F79" s="44">
        <v>455075.84720000002</v>
      </c>
      <c r="G79" s="44">
        <v>3043527.7927999999</v>
      </c>
    </row>
    <row r="80" spans="1:7" x14ac:dyDescent="0.2">
      <c r="A80">
        <v>74</v>
      </c>
      <c r="B80">
        <v>454999.51049999997</v>
      </c>
      <c r="C80" s="236">
        <v>3043490.1686999998</v>
      </c>
      <c r="E80" s="6">
        <v>71</v>
      </c>
      <c r="F80" s="44">
        <v>455050.6336</v>
      </c>
      <c r="G80" s="44">
        <v>3043533.1611000001</v>
      </c>
    </row>
    <row r="81" spans="1:7" x14ac:dyDescent="0.2">
      <c r="A81">
        <v>75</v>
      </c>
      <c r="B81">
        <v>454758.9106</v>
      </c>
      <c r="C81" s="236">
        <v>3043338.5375000001</v>
      </c>
      <c r="E81" s="207"/>
      <c r="F81" s="208">
        <v>455043.68449999997</v>
      </c>
      <c r="G81" s="208">
        <v>3043523.9038999998</v>
      </c>
    </row>
    <row r="82" spans="1:7" x14ac:dyDescent="0.2">
      <c r="A82">
        <v>76</v>
      </c>
      <c r="B82">
        <v>454653.70679999999</v>
      </c>
      <c r="C82" s="236">
        <v>3043154.4117000001</v>
      </c>
      <c r="E82" s="6">
        <v>72</v>
      </c>
      <c r="F82" s="44">
        <v>455037.31140000001</v>
      </c>
      <c r="G82" s="44">
        <v>3043515.4139999999</v>
      </c>
    </row>
    <row r="83" spans="1:7" x14ac:dyDescent="0.2">
      <c r="A83">
        <v>77</v>
      </c>
      <c r="B83">
        <v>454626.4522</v>
      </c>
      <c r="C83" s="236">
        <v>3043049.1929000001</v>
      </c>
      <c r="E83" s="6">
        <v>73</v>
      </c>
      <c r="F83" s="44">
        <v>455020.96830000001</v>
      </c>
      <c r="G83" s="44">
        <v>3043516.5194999999</v>
      </c>
    </row>
    <row r="84" spans="1:7" x14ac:dyDescent="0.2">
      <c r="A84">
        <v>78</v>
      </c>
      <c r="B84">
        <v>454625.34379999997</v>
      </c>
      <c r="C84" s="236">
        <v>3043044.9139</v>
      </c>
      <c r="E84" s="9">
        <v>74</v>
      </c>
      <c r="F84" s="48">
        <v>455016.33179999999</v>
      </c>
      <c r="G84" s="48">
        <v>3043510.8258000002</v>
      </c>
    </row>
    <row r="85" spans="1:7" x14ac:dyDescent="0.2">
      <c r="A85">
        <v>79</v>
      </c>
      <c r="B85">
        <v>454658.9804</v>
      </c>
      <c r="C85" s="236">
        <v>3042993.4564999999</v>
      </c>
      <c r="E85" s="9">
        <v>75</v>
      </c>
      <c r="F85" s="48">
        <v>454999.51049999997</v>
      </c>
      <c r="G85" s="48">
        <v>3043490.1686999998</v>
      </c>
    </row>
    <row r="86" spans="1:7" x14ac:dyDescent="0.2">
      <c r="A86">
        <v>80</v>
      </c>
      <c r="B86">
        <v>454701.39870000002</v>
      </c>
      <c r="C86" s="236">
        <v>3042902.6028</v>
      </c>
      <c r="E86" s="9">
        <v>76</v>
      </c>
      <c r="F86" s="48">
        <v>454758.9106</v>
      </c>
      <c r="G86" s="48">
        <v>3043338.5375000001</v>
      </c>
    </row>
    <row r="87" spans="1:7" x14ac:dyDescent="0.2">
      <c r="A87">
        <v>81</v>
      </c>
      <c r="B87">
        <v>454679.83159999998</v>
      </c>
      <c r="C87" s="236">
        <v>3042863.5690000001</v>
      </c>
      <c r="E87" s="9">
        <v>77</v>
      </c>
      <c r="F87" s="48">
        <v>454653.70679999999</v>
      </c>
      <c r="G87" s="48">
        <v>3043154.4117000001</v>
      </c>
    </row>
    <row r="88" spans="1:7" x14ac:dyDescent="0.2">
      <c r="B88" s="208">
        <v>454693.6153</v>
      </c>
      <c r="C88" s="208">
        <v>3042888.5156999999</v>
      </c>
      <c r="E88" s="9"/>
      <c r="F88" s="48"/>
      <c r="G88" s="48"/>
    </row>
    <row r="89" spans="1:7" x14ac:dyDescent="0.2">
      <c r="A89">
        <v>82</v>
      </c>
      <c r="B89">
        <v>454549.72279999999</v>
      </c>
      <c r="C89" s="236">
        <v>3042628.0880999998</v>
      </c>
      <c r="E89" s="9">
        <v>78</v>
      </c>
      <c r="F89" s="48">
        <v>454626.4522</v>
      </c>
      <c r="G89" s="48">
        <v>3043049.1929000001</v>
      </c>
    </row>
    <row r="90" spans="1:7" x14ac:dyDescent="0.2">
      <c r="A90">
        <v>83</v>
      </c>
      <c r="B90">
        <v>454532.5968</v>
      </c>
      <c r="C90" s="236">
        <v>3042597.0921</v>
      </c>
      <c r="E90" s="6">
        <v>79</v>
      </c>
      <c r="F90" s="44">
        <v>454625.34379999997</v>
      </c>
      <c r="G90" s="44">
        <v>3043044.9139</v>
      </c>
    </row>
    <row r="91" spans="1:7" x14ac:dyDescent="0.2">
      <c r="A91">
        <v>84</v>
      </c>
      <c r="B91">
        <v>454493.46149999998</v>
      </c>
      <c r="C91" s="236">
        <v>3042567.0759999999</v>
      </c>
      <c r="E91" s="6">
        <v>80</v>
      </c>
      <c r="F91" s="44">
        <v>454658.9804</v>
      </c>
      <c r="G91" s="44">
        <v>3042993.4564999999</v>
      </c>
    </row>
    <row r="92" spans="1:7" x14ac:dyDescent="0.2">
      <c r="A92">
        <v>85</v>
      </c>
      <c r="B92">
        <v>454464.0393</v>
      </c>
      <c r="C92" s="236">
        <v>3042537.8435</v>
      </c>
      <c r="E92" s="6">
        <v>81</v>
      </c>
      <c r="F92" s="44">
        <v>454701.39870000002</v>
      </c>
      <c r="G92" s="44">
        <v>3042902.6028</v>
      </c>
    </row>
    <row r="93" spans="1:7" x14ac:dyDescent="0.2">
      <c r="A93">
        <v>86</v>
      </c>
      <c r="B93">
        <v>454405.02970000001</v>
      </c>
      <c r="C93" s="236">
        <v>3042485.7398000001</v>
      </c>
      <c r="E93" s="207"/>
      <c r="F93" s="208">
        <v>454693.6153</v>
      </c>
      <c r="G93" s="208">
        <v>3042888.5156999999</v>
      </c>
    </row>
    <row r="94" spans="1:7" x14ac:dyDescent="0.2">
      <c r="A94">
        <v>87</v>
      </c>
      <c r="B94">
        <v>454390.23599999998</v>
      </c>
      <c r="C94" s="236">
        <v>3042479.8890999998</v>
      </c>
      <c r="E94" s="9">
        <v>82</v>
      </c>
      <c r="F94" s="48">
        <v>454679.83159999998</v>
      </c>
      <c r="G94" s="48">
        <v>3042863.5690000001</v>
      </c>
    </row>
    <row r="95" spans="1:7" x14ac:dyDescent="0.2">
      <c r="A95">
        <v>88</v>
      </c>
      <c r="B95">
        <v>454377.69469999999</v>
      </c>
      <c r="C95" s="236">
        <v>3042480.5669</v>
      </c>
      <c r="E95" s="9">
        <v>83</v>
      </c>
      <c r="F95" s="48">
        <v>454549.72279999999</v>
      </c>
      <c r="G95" s="48">
        <v>3042628.0880999998</v>
      </c>
    </row>
    <row r="96" spans="1:7" x14ac:dyDescent="0.2">
      <c r="A96">
        <v>89</v>
      </c>
      <c r="B96">
        <v>454349.0932</v>
      </c>
      <c r="C96" s="236">
        <v>3042438.5649999999</v>
      </c>
      <c r="E96" s="6">
        <v>84</v>
      </c>
      <c r="F96" s="44">
        <v>454532.5968</v>
      </c>
      <c r="G96" s="44">
        <v>3042597.0921</v>
      </c>
    </row>
    <row r="97" spans="1:7" x14ac:dyDescent="0.2">
      <c r="A97">
        <v>90</v>
      </c>
      <c r="B97">
        <v>454395.0796</v>
      </c>
      <c r="C97" s="236">
        <v>3042420.7385</v>
      </c>
      <c r="E97" s="6">
        <v>85</v>
      </c>
      <c r="F97" s="44">
        <v>454493.46149999998</v>
      </c>
      <c r="G97" s="44">
        <v>3042567.0759999999</v>
      </c>
    </row>
    <row r="98" spans="1:7" x14ac:dyDescent="0.2">
      <c r="A98">
        <v>91</v>
      </c>
      <c r="B98">
        <v>454448.51079999999</v>
      </c>
      <c r="C98" s="236">
        <v>3042383.8547</v>
      </c>
      <c r="E98" s="6">
        <v>86</v>
      </c>
      <c r="F98" s="44">
        <v>454464.0393</v>
      </c>
      <c r="G98" s="44">
        <v>3042537.8435</v>
      </c>
    </row>
    <row r="99" spans="1:7" x14ac:dyDescent="0.2">
      <c r="A99">
        <v>92</v>
      </c>
      <c r="B99">
        <v>454517.2009</v>
      </c>
      <c r="C99" s="236">
        <v>3042360.5693000001</v>
      </c>
      <c r="E99" s="6">
        <v>87</v>
      </c>
      <c r="F99" s="44">
        <v>454405.02970000001</v>
      </c>
      <c r="G99" s="44">
        <v>3042485.7398000001</v>
      </c>
    </row>
    <row r="100" spans="1:7" x14ac:dyDescent="0.2">
      <c r="A100">
        <v>93</v>
      </c>
      <c r="B100">
        <v>454431.34240000002</v>
      </c>
      <c r="C100" s="236">
        <v>3042340.5112999999</v>
      </c>
      <c r="E100" s="6">
        <v>88</v>
      </c>
      <c r="F100" s="44">
        <v>454390.23599999998</v>
      </c>
      <c r="G100" s="44">
        <v>3042479.8890999998</v>
      </c>
    </row>
    <row r="101" spans="1:7" x14ac:dyDescent="0.2">
      <c r="B101" s="208">
        <v>454465.14559999999</v>
      </c>
      <c r="C101" s="208">
        <v>3042348.4082999998</v>
      </c>
      <c r="E101" s="6"/>
      <c r="F101" s="44"/>
      <c r="G101" s="44"/>
    </row>
    <row r="102" spans="1:7" x14ac:dyDescent="0.2">
      <c r="A102">
        <v>94</v>
      </c>
      <c r="B102">
        <v>454466.08380000002</v>
      </c>
      <c r="C102" s="236">
        <v>3042299.1217999998</v>
      </c>
      <c r="E102" s="6">
        <v>89</v>
      </c>
      <c r="F102" s="44">
        <v>454377.69469999999</v>
      </c>
      <c r="G102" s="44">
        <v>3042480.5669</v>
      </c>
    </row>
    <row r="103" spans="1:7" x14ac:dyDescent="0.2">
      <c r="A103">
        <v>95</v>
      </c>
      <c r="B103">
        <v>454503.11869999999</v>
      </c>
      <c r="C103" s="236">
        <v>3042270.8300999999</v>
      </c>
      <c r="E103" s="6">
        <v>90</v>
      </c>
      <c r="F103" s="44">
        <v>454349.0932</v>
      </c>
      <c r="G103" s="44">
        <v>3042438.5649999999</v>
      </c>
    </row>
    <row r="104" spans="1:7" x14ac:dyDescent="0.2">
      <c r="A104">
        <v>96</v>
      </c>
      <c r="B104">
        <v>454464.56329999998</v>
      </c>
      <c r="C104" s="236">
        <v>3042261.1634</v>
      </c>
      <c r="E104" s="6">
        <v>91</v>
      </c>
      <c r="F104" s="44">
        <v>454395.0796</v>
      </c>
      <c r="G104" s="44">
        <v>3042420.7385</v>
      </c>
    </row>
    <row r="105" spans="1:7" x14ac:dyDescent="0.2">
      <c r="A105">
        <v>97</v>
      </c>
      <c r="B105">
        <v>454454.91739999998</v>
      </c>
      <c r="C105" s="236">
        <v>3042239.5521999998</v>
      </c>
      <c r="E105" s="6">
        <v>92</v>
      </c>
      <c r="F105" s="44">
        <v>454448.51079999999</v>
      </c>
      <c r="G105" s="44">
        <v>3042383.8547</v>
      </c>
    </row>
    <row r="106" spans="1:7" x14ac:dyDescent="0.2">
      <c r="A106">
        <v>98</v>
      </c>
      <c r="B106">
        <v>454392.84159999999</v>
      </c>
      <c r="C106" s="236">
        <v>3042100.4750000001</v>
      </c>
      <c r="E106" s="6">
        <v>93</v>
      </c>
      <c r="F106" s="44">
        <v>454517.2009</v>
      </c>
      <c r="G106" s="44">
        <v>3042360.5693000001</v>
      </c>
    </row>
    <row r="107" spans="1:7" x14ac:dyDescent="0.2">
      <c r="A107">
        <v>99</v>
      </c>
      <c r="B107">
        <v>454372.9595</v>
      </c>
      <c r="C107" s="236">
        <v>3042055.9301</v>
      </c>
      <c r="E107" s="207"/>
      <c r="F107" s="208">
        <v>454465.14559999999</v>
      </c>
      <c r="G107" s="208">
        <v>3042348.4082999998</v>
      </c>
    </row>
    <row r="108" spans="1:7" x14ac:dyDescent="0.2">
      <c r="A108">
        <v>100</v>
      </c>
      <c r="B108">
        <v>454361.87729999999</v>
      </c>
      <c r="C108" s="236">
        <v>3042031.1011999999</v>
      </c>
      <c r="E108" s="6">
        <v>94</v>
      </c>
      <c r="F108" s="44">
        <v>454431.34240000002</v>
      </c>
      <c r="G108" s="44">
        <v>3042340.5112999999</v>
      </c>
    </row>
    <row r="109" spans="1:7" x14ac:dyDescent="0.2">
      <c r="A109">
        <v>101</v>
      </c>
      <c r="B109">
        <v>454236.12939999998</v>
      </c>
      <c r="C109" s="236">
        <v>3041919.6622000001</v>
      </c>
      <c r="E109" s="6">
        <v>95</v>
      </c>
      <c r="F109" s="44">
        <v>454466.08380000002</v>
      </c>
      <c r="G109" s="44">
        <v>3042299.1217999998</v>
      </c>
    </row>
    <row r="110" spans="1:7" x14ac:dyDescent="0.2">
      <c r="A110">
        <v>102</v>
      </c>
      <c r="B110">
        <v>454112.63789999997</v>
      </c>
      <c r="C110" s="236">
        <v>3041775.4341000002</v>
      </c>
      <c r="E110" s="6">
        <v>96</v>
      </c>
      <c r="F110" s="44">
        <v>454503.11869999999</v>
      </c>
      <c r="G110" s="44">
        <v>3042270.8300999999</v>
      </c>
    </row>
    <row r="111" spans="1:7" x14ac:dyDescent="0.2">
      <c r="A111">
        <v>103</v>
      </c>
      <c r="B111">
        <v>454104.8333</v>
      </c>
      <c r="C111" s="236">
        <v>3041766.3188999998</v>
      </c>
      <c r="E111" s="6">
        <v>97</v>
      </c>
      <c r="F111" s="44">
        <v>454464.56329999998</v>
      </c>
      <c r="G111" s="44">
        <v>3042261.1634</v>
      </c>
    </row>
    <row r="112" spans="1:7" x14ac:dyDescent="0.2">
      <c r="A112">
        <v>104</v>
      </c>
      <c r="B112">
        <v>454093.91950000002</v>
      </c>
      <c r="C112" s="236">
        <v>3041731.3152999999</v>
      </c>
      <c r="E112" s="9">
        <v>98</v>
      </c>
      <c r="F112" s="48">
        <v>454454.91739999998</v>
      </c>
      <c r="G112" s="48">
        <v>3042239.5521999998</v>
      </c>
    </row>
    <row r="113" spans="1:7" x14ac:dyDescent="0.2">
      <c r="A113">
        <v>105</v>
      </c>
      <c r="B113">
        <v>454064.32040000003</v>
      </c>
      <c r="C113" s="236">
        <v>3041692.0769000002</v>
      </c>
      <c r="E113" s="9">
        <v>99</v>
      </c>
      <c r="F113" s="48">
        <v>454392.84159999999</v>
      </c>
      <c r="G113" s="48">
        <v>3042100.4750000001</v>
      </c>
    </row>
    <row r="114" spans="1:7" x14ac:dyDescent="0.2">
      <c r="A114">
        <v>106</v>
      </c>
      <c r="B114">
        <v>454050.22590000002</v>
      </c>
      <c r="C114" s="236">
        <v>3041608.1592999999</v>
      </c>
      <c r="E114" s="9">
        <v>100</v>
      </c>
      <c r="F114" s="48">
        <v>454372.9595</v>
      </c>
      <c r="G114" s="48">
        <v>3042055.9301</v>
      </c>
    </row>
    <row r="115" spans="1:7" x14ac:dyDescent="0.2">
      <c r="B115" s="208">
        <v>454057.31319999998</v>
      </c>
      <c r="C115" s="208">
        <v>3041650.3566000001</v>
      </c>
      <c r="E115" s="9"/>
      <c r="F115" s="48"/>
      <c r="G115" s="48"/>
    </row>
    <row r="116" spans="1:7" x14ac:dyDescent="0.2">
      <c r="A116">
        <v>107</v>
      </c>
      <c r="B116">
        <v>454019.86869999999</v>
      </c>
      <c r="C116" s="236">
        <v>3041574.6762000001</v>
      </c>
      <c r="E116" s="9">
        <v>101</v>
      </c>
      <c r="F116" s="48">
        <v>454361.87729999999</v>
      </c>
      <c r="G116" s="48">
        <v>3042031.1011999999</v>
      </c>
    </row>
    <row r="117" spans="1:7" x14ac:dyDescent="0.2">
      <c r="A117">
        <v>108</v>
      </c>
      <c r="B117">
        <v>453991.86050000001</v>
      </c>
      <c r="C117" s="236">
        <v>3041449.3646999998</v>
      </c>
      <c r="E117" s="9">
        <v>102</v>
      </c>
      <c r="F117" s="48">
        <v>454236.12939999998</v>
      </c>
      <c r="G117" s="48">
        <v>3041919.6622000001</v>
      </c>
    </row>
    <row r="118" spans="1:7" x14ac:dyDescent="0.2">
      <c r="A118">
        <v>109</v>
      </c>
      <c r="B118">
        <v>453932.1421</v>
      </c>
      <c r="C118" s="236">
        <v>3041182.1787</v>
      </c>
      <c r="E118" s="9">
        <v>103</v>
      </c>
      <c r="F118" s="48">
        <v>454112.63789999997</v>
      </c>
      <c r="G118" s="48">
        <v>3041775.4341000002</v>
      </c>
    </row>
    <row r="119" spans="1:7" x14ac:dyDescent="0.2">
      <c r="A119">
        <v>110</v>
      </c>
      <c r="B119">
        <v>453925.38160000002</v>
      </c>
      <c r="C119" s="236">
        <v>3041162.7459</v>
      </c>
      <c r="E119" s="6">
        <v>104</v>
      </c>
      <c r="F119" s="44">
        <v>454104.8333</v>
      </c>
      <c r="G119" s="44">
        <v>3041766.3188999998</v>
      </c>
    </row>
    <row r="120" spans="1:7" x14ac:dyDescent="0.2">
      <c r="A120">
        <v>111</v>
      </c>
      <c r="B120">
        <v>453897.83850000001</v>
      </c>
      <c r="C120" s="236">
        <v>3041083.5734999999</v>
      </c>
      <c r="E120" s="6">
        <v>105</v>
      </c>
      <c r="F120" s="44">
        <v>454093.91950000002</v>
      </c>
      <c r="G120" s="44">
        <v>3041731.3152999999</v>
      </c>
    </row>
    <row r="121" spans="1:7" x14ac:dyDescent="0.2">
      <c r="E121" s="6">
        <v>106</v>
      </c>
      <c r="F121" s="44">
        <v>454064.32040000003</v>
      </c>
      <c r="G121" s="44">
        <v>3041692.0769000002</v>
      </c>
    </row>
    <row r="122" spans="1:7" x14ac:dyDescent="0.2">
      <c r="E122" s="207"/>
      <c r="F122" s="208">
        <v>454057.31319999998</v>
      </c>
      <c r="G122" s="208">
        <v>3041650.3566000001</v>
      </c>
    </row>
    <row r="123" spans="1:7" x14ac:dyDescent="0.2">
      <c r="E123" s="6">
        <v>107</v>
      </c>
      <c r="F123" s="44">
        <v>454050.22590000002</v>
      </c>
      <c r="G123" s="44">
        <v>3041608.1592999999</v>
      </c>
    </row>
    <row r="124" spans="1:7" x14ac:dyDescent="0.2">
      <c r="E124" s="6">
        <v>108</v>
      </c>
      <c r="F124" s="44">
        <v>454019.86869999999</v>
      </c>
      <c r="G124" s="44">
        <v>3041574.6762000001</v>
      </c>
    </row>
    <row r="125" spans="1:7" x14ac:dyDescent="0.2">
      <c r="E125" s="9">
        <v>109</v>
      </c>
      <c r="F125" s="48">
        <v>453991.86050000001</v>
      </c>
      <c r="G125" s="48">
        <v>3041449.3646999998</v>
      </c>
    </row>
    <row r="126" spans="1:7" x14ac:dyDescent="0.2">
      <c r="E126" s="9">
        <v>110</v>
      </c>
      <c r="F126" s="48">
        <v>453932.1421</v>
      </c>
      <c r="G126" s="48">
        <v>3041182.1787</v>
      </c>
    </row>
    <row r="127" spans="1:7" x14ac:dyDescent="0.2">
      <c r="E127" s="9">
        <v>111</v>
      </c>
      <c r="F127" s="48">
        <v>453925.38160000002</v>
      </c>
      <c r="G127" s="48">
        <v>3041162.7459</v>
      </c>
    </row>
    <row r="128" spans="1:7" x14ac:dyDescent="0.2">
      <c r="E128" s="6">
        <v>112</v>
      </c>
      <c r="F128" s="44">
        <v>453897.83850000001</v>
      </c>
      <c r="G128" s="44">
        <v>3041083.5734999999</v>
      </c>
    </row>
  </sheetData>
  <phoneticPr fontId="8" type="noConversion"/>
  <pageMargins left="0.75" right="0.75" top="1" bottom="1" header="0.5" footer="0.5"/>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P23"/>
  <sheetViews>
    <sheetView workbookViewId="0">
      <selection activeCell="J9" sqref="J9:P15"/>
    </sheetView>
  </sheetViews>
  <sheetFormatPr defaultColWidth="9" defaultRowHeight="13.5" x14ac:dyDescent="0.15"/>
  <cols>
    <col min="1" max="1" width="11.5" style="185" bestFit="1" customWidth="1"/>
    <col min="2" max="2" width="9.75" style="185" bestFit="1" customWidth="1"/>
    <col min="3" max="6" width="9.125" style="185" bestFit="1" customWidth="1"/>
    <col min="7" max="7" width="9.5" style="185" bestFit="1" customWidth="1"/>
    <col min="8" max="15" width="9" style="185"/>
    <col min="16" max="16" width="10.5" style="185" bestFit="1" customWidth="1"/>
    <col min="17" max="256" width="9" style="185"/>
    <col min="257" max="257" width="11.5" style="185" bestFit="1" customWidth="1"/>
    <col min="258" max="258" width="9.75" style="185" bestFit="1" customWidth="1"/>
    <col min="259" max="262" width="9.125" style="185" bestFit="1" customWidth="1"/>
    <col min="263" max="263" width="9.5" style="185" bestFit="1" customWidth="1"/>
    <col min="264" max="271" width="9" style="185"/>
    <col min="272" max="272" width="10.5" style="185" bestFit="1" customWidth="1"/>
    <col min="273" max="512" width="9" style="185"/>
    <col min="513" max="513" width="11.5" style="185" bestFit="1" customWidth="1"/>
    <col min="514" max="514" width="9.75" style="185" bestFit="1" customWidth="1"/>
    <col min="515" max="518" width="9.125" style="185" bestFit="1" customWidth="1"/>
    <col min="519" max="519" width="9.5" style="185" bestFit="1" customWidth="1"/>
    <col min="520" max="527" width="9" style="185"/>
    <col min="528" max="528" width="10.5" style="185" bestFit="1" customWidth="1"/>
    <col min="529" max="768" width="9" style="185"/>
    <col min="769" max="769" width="11.5" style="185" bestFit="1" customWidth="1"/>
    <col min="770" max="770" width="9.75" style="185" bestFit="1" customWidth="1"/>
    <col min="771" max="774" width="9.125" style="185" bestFit="1" customWidth="1"/>
    <col min="775" max="775" width="9.5" style="185" bestFit="1" customWidth="1"/>
    <col min="776" max="783" width="9" style="185"/>
    <col min="784" max="784" width="10.5" style="185" bestFit="1" customWidth="1"/>
    <col min="785" max="1024" width="9" style="185"/>
    <col min="1025" max="1025" width="11.5" style="185" bestFit="1" customWidth="1"/>
    <col min="1026" max="1026" width="9.75" style="185" bestFit="1" customWidth="1"/>
    <col min="1027" max="1030" width="9.125" style="185" bestFit="1" customWidth="1"/>
    <col min="1031" max="1031" width="9.5" style="185" bestFit="1" customWidth="1"/>
    <col min="1032" max="1039" width="9" style="185"/>
    <col min="1040" max="1040" width="10.5" style="185" bestFit="1" customWidth="1"/>
    <col min="1041" max="1280" width="9" style="185"/>
    <col min="1281" max="1281" width="11.5" style="185" bestFit="1" customWidth="1"/>
    <col min="1282" max="1282" width="9.75" style="185" bestFit="1" customWidth="1"/>
    <col min="1283" max="1286" width="9.125" style="185" bestFit="1" customWidth="1"/>
    <col min="1287" max="1287" width="9.5" style="185" bestFit="1" customWidth="1"/>
    <col min="1288" max="1295" width="9" style="185"/>
    <col min="1296" max="1296" width="10.5" style="185" bestFit="1" customWidth="1"/>
    <col min="1297" max="1536" width="9" style="185"/>
    <col min="1537" max="1537" width="11.5" style="185" bestFit="1" customWidth="1"/>
    <col min="1538" max="1538" width="9.75" style="185" bestFit="1" customWidth="1"/>
    <col min="1539" max="1542" width="9.125" style="185" bestFit="1" customWidth="1"/>
    <col min="1543" max="1543" width="9.5" style="185" bestFit="1" customWidth="1"/>
    <col min="1544" max="1551" width="9" style="185"/>
    <col min="1552" max="1552" width="10.5" style="185" bestFit="1" customWidth="1"/>
    <col min="1553" max="1792" width="9" style="185"/>
    <col min="1793" max="1793" width="11.5" style="185" bestFit="1" customWidth="1"/>
    <col min="1794" max="1794" width="9.75" style="185" bestFit="1" customWidth="1"/>
    <col min="1795" max="1798" width="9.125" style="185" bestFit="1" customWidth="1"/>
    <col min="1799" max="1799" width="9.5" style="185" bestFit="1" customWidth="1"/>
    <col min="1800" max="1807" width="9" style="185"/>
    <col min="1808" max="1808" width="10.5" style="185" bestFit="1" customWidth="1"/>
    <col min="1809" max="2048" width="9" style="185"/>
    <col min="2049" max="2049" width="11.5" style="185" bestFit="1" customWidth="1"/>
    <col min="2050" max="2050" width="9.75" style="185" bestFit="1" customWidth="1"/>
    <col min="2051" max="2054" width="9.125" style="185" bestFit="1" customWidth="1"/>
    <col min="2055" max="2055" width="9.5" style="185" bestFit="1" customWidth="1"/>
    <col min="2056" max="2063" width="9" style="185"/>
    <col min="2064" max="2064" width="10.5" style="185" bestFit="1" customWidth="1"/>
    <col min="2065" max="2304" width="9" style="185"/>
    <col min="2305" max="2305" width="11.5" style="185" bestFit="1" customWidth="1"/>
    <col min="2306" max="2306" width="9.75" style="185" bestFit="1" customWidth="1"/>
    <col min="2307" max="2310" width="9.125" style="185" bestFit="1" customWidth="1"/>
    <col min="2311" max="2311" width="9.5" style="185" bestFit="1" customWidth="1"/>
    <col min="2312" max="2319" width="9" style="185"/>
    <col min="2320" max="2320" width="10.5" style="185" bestFit="1" customWidth="1"/>
    <col min="2321" max="2560" width="9" style="185"/>
    <col min="2561" max="2561" width="11.5" style="185" bestFit="1" customWidth="1"/>
    <col min="2562" max="2562" width="9.75" style="185" bestFit="1" customWidth="1"/>
    <col min="2563" max="2566" width="9.125" style="185" bestFit="1" customWidth="1"/>
    <col min="2567" max="2567" width="9.5" style="185" bestFit="1" customWidth="1"/>
    <col min="2568" max="2575" width="9" style="185"/>
    <col min="2576" max="2576" width="10.5" style="185" bestFit="1" customWidth="1"/>
    <col min="2577" max="2816" width="9" style="185"/>
    <col min="2817" max="2817" width="11.5" style="185" bestFit="1" customWidth="1"/>
    <col min="2818" max="2818" width="9.75" style="185" bestFit="1" customWidth="1"/>
    <col min="2819" max="2822" width="9.125" style="185" bestFit="1" customWidth="1"/>
    <col min="2823" max="2823" width="9.5" style="185" bestFit="1" customWidth="1"/>
    <col min="2824" max="2831" width="9" style="185"/>
    <col min="2832" max="2832" width="10.5" style="185" bestFit="1" customWidth="1"/>
    <col min="2833" max="3072" width="9" style="185"/>
    <col min="3073" max="3073" width="11.5" style="185" bestFit="1" customWidth="1"/>
    <col min="3074" max="3074" width="9.75" style="185" bestFit="1" customWidth="1"/>
    <col min="3075" max="3078" width="9.125" style="185" bestFit="1" customWidth="1"/>
    <col min="3079" max="3079" width="9.5" style="185" bestFit="1" customWidth="1"/>
    <col min="3080" max="3087" width="9" style="185"/>
    <col min="3088" max="3088" width="10.5" style="185" bestFit="1" customWidth="1"/>
    <col min="3089" max="3328" width="9" style="185"/>
    <col min="3329" max="3329" width="11.5" style="185" bestFit="1" customWidth="1"/>
    <col min="3330" max="3330" width="9.75" style="185" bestFit="1" customWidth="1"/>
    <col min="3331" max="3334" width="9.125" style="185" bestFit="1" customWidth="1"/>
    <col min="3335" max="3335" width="9.5" style="185" bestFit="1" customWidth="1"/>
    <col min="3336" max="3343" width="9" style="185"/>
    <col min="3344" max="3344" width="10.5" style="185" bestFit="1" customWidth="1"/>
    <col min="3345" max="3584" width="9" style="185"/>
    <col min="3585" max="3585" width="11.5" style="185" bestFit="1" customWidth="1"/>
    <col min="3586" max="3586" width="9.75" style="185" bestFit="1" customWidth="1"/>
    <col min="3587" max="3590" width="9.125" style="185" bestFit="1" customWidth="1"/>
    <col min="3591" max="3591" width="9.5" style="185" bestFit="1" customWidth="1"/>
    <col min="3592" max="3599" width="9" style="185"/>
    <col min="3600" max="3600" width="10.5" style="185" bestFit="1" customWidth="1"/>
    <col min="3601" max="3840" width="9" style="185"/>
    <col min="3841" max="3841" width="11.5" style="185" bestFit="1" customWidth="1"/>
    <col min="3842" max="3842" width="9.75" style="185" bestFit="1" customWidth="1"/>
    <col min="3843" max="3846" width="9.125" style="185" bestFit="1" customWidth="1"/>
    <col min="3847" max="3847" width="9.5" style="185" bestFit="1" customWidth="1"/>
    <col min="3848" max="3855" width="9" style="185"/>
    <col min="3856" max="3856" width="10.5" style="185" bestFit="1" customWidth="1"/>
    <col min="3857" max="4096" width="9" style="185"/>
    <col min="4097" max="4097" width="11.5" style="185" bestFit="1" customWidth="1"/>
    <col min="4098" max="4098" width="9.75" style="185" bestFit="1" customWidth="1"/>
    <col min="4099" max="4102" width="9.125" style="185" bestFit="1" customWidth="1"/>
    <col min="4103" max="4103" width="9.5" style="185" bestFit="1" customWidth="1"/>
    <col min="4104" max="4111" width="9" style="185"/>
    <col min="4112" max="4112" width="10.5" style="185" bestFit="1" customWidth="1"/>
    <col min="4113" max="4352" width="9" style="185"/>
    <col min="4353" max="4353" width="11.5" style="185" bestFit="1" customWidth="1"/>
    <col min="4354" max="4354" width="9.75" style="185" bestFit="1" customWidth="1"/>
    <col min="4355" max="4358" width="9.125" style="185" bestFit="1" customWidth="1"/>
    <col min="4359" max="4359" width="9.5" style="185" bestFit="1" customWidth="1"/>
    <col min="4360" max="4367" width="9" style="185"/>
    <col min="4368" max="4368" width="10.5" style="185" bestFit="1" customWidth="1"/>
    <col min="4369" max="4608" width="9" style="185"/>
    <col min="4609" max="4609" width="11.5" style="185" bestFit="1" customWidth="1"/>
    <col min="4610" max="4610" width="9.75" style="185" bestFit="1" customWidth="1"/>
    <col min="4611" max="4614" width="9.125" style="185" bestFit="1" customWidth="1"/>
    <col min="4615" max="4615" width="9.5" style="185" bestFit="1" customWidth="1"/>
    <col min="4616" max="4623" width="9" style="185"/>
    <col min="4624" max="4624" width="10.5" style="185" bestFit="1" customWidth="1"/>
    <col min="4625" max="4864" width="9" style="185"/>
    <col min="4865" max="4865" width="11.5" style="185" bestFit="1" customWidth="1"/>
    <col min="4866" max="4866" width="9.75" style="185" bestFit="1" customWidth="1"/>
    <col min="4867" max="4870" width="9.125" style="185" bestFit="1" customWidth="1"/>
    <col min="4871" max="4871" width="9.5" style="185" bestFit="1" customWidth="1"/>
    <col min="4872" max="4879" width="9" style="185"/>
    <col min="4880" max="4880" width="10.5" style="185" bestFit="1" customWidth="1"/>
    <col min="4881" max="5120" width="9" style="185"/>
    <col min="5121" max="5121" width="11.5" style="185" bestFit="1" customWidth="1"/>
    <col min="5122" max="5122" width="9.75" style="185" bestFit="1" customWidth="1"/>
    <col min="5123" max="5126" width="9.125" style="185" bestFit="1" customWidth="1"/>
    <col min="5127" max="5127" width="9.5" style="185" bestFit="1" customWidth="1"/>
    <col min="5128" max="5135" width="9" style="185"/>
    <col min="5136" max="5136" width="10.5" style="185" bestFit="1" customWidth="1"/>
    <col min="5137" max="5376" width="9" style="185"/>
    <col min="5377" max="5377" width="11.5" style="185" bestFit="1" customWidth="1"/>
    <col min="5378" max="5378" width="9.75" style="185" bestFit="1" customWidth="1"/>
    <col min="5379" max="5382" width="9.125" style="185" bestFit="1" customWidth="1"/>
    <col min="5383" max="5383" width="9.5" style="185" bestFit="1" customWidth="1"/>
    <col min="5384" max="5391" width="9" style="185"/>
    <col min="5392" max="5392" width="10.5" style="185" bestFit="1" customWidth="1"/>
    <col min="5393" max="5632" width="9" style="185"/>
    <col min="5633" max="5633" width="11.5" style="185" bestFit="1" customWidth="1"/>
    <col min="5634" max="5634" width="9.75" style="185" bestFit="1" customWidth="1"/>
    <col min="5635" max="5638" width="9.125" style="185" bestFit="1" customWidth="1"/>
    <col min="5639" max="5639" width="9.5" style="185" bestFit="1" customWidth="1"/>
    <col min="5640" max="5647" width="9" style="185"/>
    <col min="5648" max="5648" width="10.5" style="185" bestFit="1" customWidth="1"/>
    <col min="5649" max="5888" width="9" style="185"/>
    <col min="5889" max="5889" width="11.5" style="185" bestFit="1" customWidth="1"/>
    <col min="5890" max="5890" width="9.75" style="185" bestFit="1" customWidth="1"/>
    <col min="5891" max="5894" width="9.125" style="185" bestFit="1" customWidth="1"/>
    <col min="5895" max="5895" width="9.5" style="185" bestFit="1" customWidth="1"/>
    <col min="5896" max="5903" width="9" style="185"/>
    <col min="5904" max="5904" width="10.5" style="185" bestFit="1" customWidth="1"/>
    <col min="5905" max="6144" width="9" style="185"/>
    <col min="6145" max="6145" width="11.5" style="185" bestFit="1" customWidth="1"/>
    <col min="6146" max="6146" width="9.75" style="185" bestFit="1" customWidth="1"/>
    <col min="6147" max="6150" width="9.125" style="185" bestFit="1" customWidth="1"/>
    <col min="6151" max="6151" width="9.5" style="185" bestFit="1" customWidth="1"/>
    <col min="6152" max="6159" width="9" style="185"/>
    <col min="6160" max="6160" width="10.5" style="185" bestFit="1" customWidth="1"/>
    <col min="6161" max="6400" width="9" style="185"/>
    <col min="6401" max="6401" width="11.5" style="185" bestFit="1" customWidth="1"/>
    <col min="6402" max="6402" width="9.75" style="185" bestFit="1" customWidth="1"/>
    <col min="6403" max="6406" width="9.125" style="185" bestFit="1" customWidth="1"/>
    <col min="6407" max="6407" width="9.5" style="185" bestFit="1" customWidth="1"/>
    <col min="6408" max="6415" width="9" style="185"/>
    <col min="6416" max="6416" width="10.5" style="185" bestFit="1" customWidth="1"/>
    <col min="6417" max="6656" width="9" style="185"/>
    <col min="6657" max="6657" width="11.5" style="185" bestFit="1" customWidth="1"/>
    <col min="6658" max="6658" width="9.75" style="185" bestFit="1" customWidth="1"/>
    <col min="6659" max="6662" width="9.125" style="185" bestFit="1" customWidth="1"/>
    <col min="6663" max="6663" width="9.5" style="185" bestFit="1" customWidth="1"/>
    <col min="6664" max="6671" width="9" style="185"/>
    <col min="6672" max="6672" width="10.5" style="185" bestFit="1" customWidth="1"/>
    <col min="6673" max="6912" width="9" style="185"/>
    <col min="6913" max="6913" width="11.5" style="185" bestFit="1" customWidth="1"/>
    <col min="6914" max="6914" width="9.75" style="185" bestFit="1" customWidth="1"/>
    <col min="6915" max="6918" width="9.125" style="185" bestFit="1" customWidth="1"/>
    <col min="6919" max="6919" width="9.5" style="185" bestFit="1" customWidth="1"/>
    <col min="6920" max="6927" width="9" style="185"/>
    <col min="6928" max="6928" width="10.5" style="185" bestFit="1" customWidth="1"/>
    <col min="6929" max="7168" width="9" style="185"/>
    <col min="7169" max="7169" width="11.5" style="185" bestFit="1" customWidth="1"/>
    <col min="7170" max="7170" width="9.75" style="185" bestFit="1" customWidth="1"/>
    <col min="7171" max="7174" width="9.125" style="185" bestFit="1" customWidth="1"/>
    <col min="7175" max="7175" width="9.5" style="185" bestFit="1" customWidth="1"/>
    <col min="7176" max="7183" width="9" style="185"/>
    <col min="7184" max="7184" width="10.5" style="185" bestFit="1" customWidth="1"/>
    <col min="7185" max="7424" width="9" style="185"/>
    <col min="7425" max="7425" width="11.5" style="185" bestFit="1" customWidth="1"/>
    <col min="7426" max="7426" width="9.75" style="185" bestFit="1" customWidth="1"/>
    <col min="7427" max="7430" width="9.125" style="185" bestFit="1" customWidth="1"/>
    <col min="7431" max="7431" width="9.5" style="185" bestFit="1" customWidth="1"/>
    <col min="7432" max="7439" width="9" style="185"/>
    <col min="7440" max="7440" width="10.5" style="185" bestFit="1" customWidth="1"/>
    <col min="7441" max="7680" width="9" style="185"/>
    <col min="7681" max="7681" width="11.5" style="185" bestFit="1" customWidth="1"/>
    <col min="7682" max="7682" width="9.75" style="185" bestFit="1" customWidth="1"/>
    <col min="7683" max="7686" width="9.125" style="185" bestFit="1" customWidth="1"/>
    <col min="7687" max="7687" width="9.5" style="185" bestFit="1" customWidth="1"/>
    <col min="7688" max="7695" width="9" style="185"/>
    <col min="7696" max="7696" width="10.5" style="185" bestFit="1" customWidth="1"/>
    <col min="7697" max="7936" width="9" style="185"/>
    <col min="7937" max="7937" width="11.5" style="185" bestFit="1" customWidth="1"/>
    <col min="7938" max="7938" width="9.75" style="185" bestFit="1" customWidth="1"/>
    <col min="7939" max="7942" width="9.125" style="185" bestFit="1" customWidth="1"/>
    <col min="7943" max="7943" width="9.5" style="185" bestFit="1" customWidth="1"/>
    <col min="7944" max="7951" width="9" style="185"/>
    <col min="7952" max="7952" width="10.5" style="185" bestFit="1" customWidth="1"/>
    <col min="7953" max="8192" width="9" style="185"/>
    <col min="8193" max="8193" width="11.5" style="185" bestFit="1" customWidth="1"/>
    <col min="8194" max="8194" width="9.75" style="185" bestFit="1" customWidth="1"/>
    <col min="8195" max="8198" width="9.125" style="185" bestFit="1" customWidth="1"/>
    <col min="8199" max="8199" width="9.5" style="185" bestFit="1" customWidth="1"/>
    <col min="8200" max="8207" width="9" style="185"/>
    <col min="8208" max="8208" width="10.5" style="185" bestFit="1" customWidth="1"/>
    <col min="8209" max="8448" width="9" style="185"/>
    <col min="8449" max="8449" width="11.5" style="185" bestFit="1" customWidth="1"/>
    <col min="8450" max="8450" width="9.75" style="185" bestFit="1" customWidth="1"/>
    <col min="8451" max="8454" width="9.125" style="185" bestFit="1" customWidth="1"/>
    <col min="8455" max="8455" width="9.5" style="185" bestFit="1" customWidth="1"/>
    <col min="8456" max="8463" width="9" style="185"/>
    <col min="8464" max="8464" width="10.5" style="185" bestFit="1" customWidth="1"/>
    <col min="8465" max="8704" width="9" style="185"/>
    <col min="8705" max="8705" width="11.5" style="185" bestFit="1" customWidth="1"/>
    <col min="8706" max="8706" width="9.75" style="185" bestFit="1" customWidth="1"/>
    <col min="8707" max="8710" width="9.125" style="185" bestFit="1" customWidth="1"/>
    <col min="8711" max="8711" width="9.5" style="185" bestFit="1" customWidth="1"/>
    <col min="8712" max="8719" width="9" style="185"/>
    <col min="8720" max="8720" width="10.5" style="185" bestFit="1" customWidth="1"/>
    <col min="8721" max="8960" width="9" style="185"/>
    <col min="8961" max="8961" width="11.5" style="185" bestFit="1" customWidth="1"/>
    <col min="8962" max="8962" width="9.75" style="185" bestFit="1" customWidth="1"/>
    <col min="8963" max="8966" width="9.125" style="185" bestFit="1" customWidth="1"/>
    <col min="8967" max="8967" width="9.5" style="185" bestFit="1" customWidth="1"/>
    <col min="8968" max="8975" width="9" style="185"/>
    <col min="8976" max="8976" width="10.5" style="185" bestFit="1" customWidth="1"/>
    <col min="8977" max="9216" width="9" style="185"/>
    <col min="9217" max="9217" width="11.5" style="185" bestFit="1" customWidth="1"/>
    <col min="9218" max="9218" width="9.75" style="185" bestFit="1" customWidth="1"/>
    <col min="9219" max="9222" width="9.125" style="185" bestFit="1" customWidth="1"/>
    <col min="9223" max="9223" width="9.5" style="185" bestFit="1" customWidth="1"/>
    <col min="9224" max="9231" width="9" style="185"/>
    <col min="9232" max="9232" width="10.5" style="185" bestFit="1" customWidth="1"/>
    <col min="9233" max="9472" width="9" style="185"/>
    <col min="9473" max="9473" width="11.5" style="185" bestFit="1" customWidth="1"/>
    <col min="9474" max="9474" width="9.75" style="185" bestFit="1" customWidth="1"/>
    <col min="9475" max="9478" width="9.125" style="185" bestFit="1" customWidth="1"/>
    <col min="9479" max="9479" width="9.5" style="185" bestFit="1" customWidth="1"/>
    <col min="9480" max="9487" width="9" style="185"/>
    <col min="9488" max="9488" width="10.5" style="185" bestFit="1" customWidth="1"/>
    <col min="9489" max="9728" width="9" style="185"/>
    <col min="9729" max="9729" width="11.5" style="185" bestFit="1" customWidth="1"/>
    <col min="9730" max="9730" width="9.75" style="185" bestFit="1" customWidth="1"/>
    <col min="9731" max="9734" width="9.125" style="185" bestFit="1" customWidth="1"/>
    <col min="9735" max="9735" width="9.5" style="185" bestFit="1" customWidth="1"/>
    <col min="9736" max="9743" width="9" style="185"/>
    <col min="9744" max="9744" width="10.5" style="185" bestFit="1" customWidth="1"/>
    <col min="9745" max="9984" width="9" style="185"/>
    <col min="9985" max="9985" width="11.5" style="185" bestFit="1" customWidth="1"/>
    <col min="9986" max="9986" width="9.75" style="185" bestFit="1" customWidth="1"/>
    <col min="9987" max="9990" width="9.125" style="185" bestFit="1" customWidth="1"/>
    <col min="9991" max="9991" width="9.5" style="185" bestFit="1" customWidth="1"/>
    <col min="9992" max="9999" width="9" style="185"/>
    <col min="10000" max="10000" width="10.5" style="185" bestFit="1" customWidth="1"/>
    <col min="10001" max="10240" width="9" style="185"/>
    <col min="10241" max="10241" width="11.5" style="185" bestFit="1" customWidth="1"/>
    <col min="10242" max="10242" width="9.75" style="185" bestFit="1" customWidth="1"/>
    <col min="10243" max="10246" width="9.125" style="185" bestFit="1" customWidth="1"/>
    <col min="10247" max="10247" width="9.5" style="185" bestFit="1" customWidth="1"/>
    <col min="10248" max="10255" width="9" style="185"/>
    <col min="10256" max="10256" width="10.5" style="185" bestFit="1" customWidth="1"/>
    <col min="10257" max="10496" width="9" style="185"/>
    <col min="10497" max="10497" width="11.5" style="185" bestFit="1" customWidth="1"/>
    <col min="10498" max="10498" width="9.75" style="185" bestFit="1" customWidth="1"/>
    <col min="10499" max="10502" width="9.125" style="185" bestFit="1" customWidth="1"/>
    <col min="10503" max="10503" width="9.5" style="185" bestFit="1" customWidth="1"/>
    <col min="10504" max="10511" width="9" style="185"/>
    <col min="10512" max="10512" width="10.5" style="185" bestFit="1" customWidth="1"/>
    <col min="10513" max="10752" width="9" style="185"/>
    <col min="10753" max="10753" width="11.5" style="185" bestFit="1" customWidth="1"/>
    <col min="10754" max="10754" width="9.75" style="185" bestFit="1" customWidth="1"/>
    <col min="10755" max="10758" width="9.125" style="185" bestFit="1" customWidth="1"/>
    <col min="10759" max="10759" width="9.5" style="185" bestFit="1" customWidth="1"/>
    <col min="10760" max="10767" width="9" style="185"/>
    <col min="10768" max="10768" width="10.5" style="185" bestFit="1" customWidth="1"/>
    <col min="10769" max="11008" width="9" style="185"/>
    <col min="11009" max="11009" width="11.5" style="185" bestFit="1" customWidth="1"/>
    <col min="11010" max="11010" width="9.75" style="185" bestFit="1" customWidth="1"/>
    <col min="11011" max="11014" width="9.125" style="185" bestFit="1" customWidth="1"/>
    <col min="11015" max="11015" width="9.5" style="185" bestFit="1" customWidth="1"/>
    <col min="11016" max="11023" width="9" style="185"/>
    <col min="11024" max="11024" width="10.5" style="185" bestFit="1" customWidth="1"/>
    <col min="11025" max="11264" width="9" style="185"/>
    <col min="11265" max="11265" width="11.5" style="185" bestFit="1" customWidth="1"/>
    <col min="11266" max="11266" width="9.75" style="185" bestFit="1" customWidth="1"/>
    <col min="11267" max="11270" width="9.125" style="185" bestFit="1" customWidth="1"/>
    <col min="11271" max="11271" width="9.5" style="185" bestFit="1" customWidth="1"/>
    <col min="11272" max="11279" width="9" style="185"/>
    <col min="11280" max="11280" width="10.5" style="185" bestFit="1" customWidth="1"/>
    <col min="11281" max="11520" width="9" style="185"/>
    <col min="11521" max="11521" width="11.5" style="185" bestFit="1" customWidth="1"/>
    <col min="11522" max="11522" width="9.75" style="185" bestFit="1" customWidth="1"/>
    <col min="11523" max="11526" width="9.125" style="185" bestFit="1" customWidth="1"/>
    <col min="11527" max="11527" width="9.5" style="185" bestFit="1" customWidth="1"/>
    <col min="11528" max="11535" width="9" style="185"/>
    <col min="11536" max="11536" width="10.5" style="185" bestFit="1" customWidth="1"/>
    <col min="11537" max="11776" width="9" style="185"/>
    <col min="11777" max="11777" width="11.5" style="185" bestFit="1" customWidth="1"/>
    <col min="11778" max="11778" width="9.75" style="185" bestFit="1" customWidth="1"/>
    <col min="11779" max="11782" width="9.125" style="185" bestFit="1" customWidth="1"/>
    <col min="11783" max="11783" width="9.5" style="185" bestFit="1" customWidth="1"/>
    <col min="11784" max="11791" width="9" style="185"/>
    <col min="11792" max="11792" width="10.5" style="185" bestFit="1" customWidth="1"/>
    <col min="11793" max="12032" width="9" style="185"/>
    <col min="12033" max="12033" width="11.5" style="185" bestFit="1" customWidth="1"/>
    <col min="12034" max="12034" width="9.75" style="185" bestFit="1" customWidth="1"/>
    <col min="12035" max="12038" width="9.125" style="185" bestFit="1" customWidth="1"/>
    <col min="12039" max="12039" width="9.5" style="185" bestFit="1" customWidth="1"/>
    <col min="12040" max="12047" width="9" style="185"/>
    <col min="12048" max="12048" width="10.5" style="185" bestFit="1" customWidth="1"/>
    <col min="12049" max="12288" width="9" style="185"/>
    <col min="12289" max="12289" width="11.5" style="185" bestFit="1" customWidth="1"/>
    <col min="12290" max="12290" width="9.75" style="185" bestFit="1" customWidth="1"/>
    <col min="12291" max="12294" width="9.125" style="185" bestFit="1" customWidth="1"/>
    <col min="12295" max="12295" width="9.5" style="185" bestFit="1" customWidth="1"/>
    <col min="12296" max="12303" width="9" style="185"/>
    <col min="12304" max="12304" width="10.5" style="185" bestFit="1" customWidth="1"/>
    <col min="12305" max="12544" width="9" style="185"/>
    <col min="12545" max="12545" width="11.5" style="185" bestFit="1" customWidth="1"/>
    <col min="12546" max="12546" width="9.75" style="185" bestFit="1" customWidth="1"/>
    <col min="12547" max="12550" width="9.125" style="185" bestFit="1" customWidth="1"/>
    <col min="12551" max="12551" width="9.5" style="185" bestFit="1" customWidth="1"/>
    <col min="12552" max="12559" width="9" style="185"/>
    <col min="12560" max="12560" width="10.5" style="185" bestFit="1" customWidth="1"/>
    <col min="12561" max="12800" width="9" style="185"/>
    <col min="12801" max="12801" width="11.5" style="185" bestFit="1" customWidth="1"/>
    <col min="12802" max="12802" width="9.75" style="185" bestFit="1" customWidth="1"/>
    <col min="12803" max="12806" width="9.125" style="185" bestFit="1" customWidth="1"/>
    <col min="12807" max="12807" width="9.5" style="185" bestFit="1" customWidth="1"/>
    <col min="12808" max="12815" width="9" style="185"/>
    <col min="12816" max="12816" width="10.5" style="185" bestFit="1" customWidth="1"/>
    <col min="12817" max="13056" width="9" style="185"/>
    <col min="13057" max="13057" width="11.5" style="185" bestFit="1" customWidth="1"/>
    <col min="13058" max="13058" width="9.75" style="185" bestFit="1" customWidth="1"/>
    <col min="13059" max="13062" width="9.125" style="185" bestFit="1" customWidth="1"/>
    <col min="13063" max="13063" width="9.5" style="185" bestFit="1" customWidth="1"/>
    <col min="13064" max="13071" width="9" style="185"/>
    <col min="13072" max="13072" width="10.5" style="185" bestFit="1" customWidth="1"/>
    <col min="13073" max="13312" width="9" style="185"/>
    <col min="13313" max="13313" width="11.5" style="185" bestFit="1" customWidth="1"/>
    <col min="13314" max="13314" width="9.75" style="185" bestFit="1" customWidth="1"/>
    <col min="13315" max="13318" width="9.125" style="185" bestFit="1" customWidth="1"/>
    <col min="13319" max="13319" width="9.5" style="185" bestFit="1" customWidth="1"/>
    <col min="13320" max="13327" width="9" style="185"/>
    <col min="13328" max="13328" width="10.5" style="185" bestFit="1" customWidth="1"/>
    <col min="13329" max="13568" width="9" style="185"/>
    <col min="13569" max="13569" width="11.5" style="185" bestFit="1" customWidth="1"/>
    <col min="13570" max="13570" width="9.75" style="185" bestFit="1" customWidth="1"/>
    <col min="13571" max="13574" width="9.125" style="185" bestFit="1" customWidth="1"/>
    <col min="13575" max="13575" width="9.5" style="185" bestFit="1" customWidth="1"/>
    <col min="13576" max="13583" width="9" style="185"/>
    <col min="13584" max="13584" width="10.5" style="185" bestFit="1" customWidth="1"/>
    <col min="13585" max="13824" width="9" style="185"/>
    <col min="13825" max="13825" width="11.5" style="185" bestFit="1" customWidth="1"/>
    <col min="13826" max="13826" width="9.75" style="185" bestFit="1" customWidth="1"/>
    <col min="13827" max="13830" width="9.125" style="185" bestFit="1" customWidth="1"/>
    <col min="13831" max="13831" width="9.5" style="185" bestFit="1" customWidth="1"/>
    <col min="13832" max="13839" width="9" style="185"/>
    <col min="13840" max="13840" width="10.5" style="185" bestFit="1" customWidth="1"/>
    <col min="13841" max="14080" width="9" style="185"/>
    <col min="14081" max="14081" width="11.5" style="185" bestFit="1" customWidth="1"/>
    <col min="14082" max="14082" width="9.75" style="185" bestFit="1" customWidth="1"/>
    <col min="14083" max="14086" width="9.125" style="185" bestFit="1" customWidth="1"/>
    <col min="14087" max="14087" width="9.5" style="185" bestFit="1" customWidth="1"/>
    <col min="14088" max="14095" width="9" style="185"/>
    <col min="14096" max="14096" width="10.5" style="185" bestFit="1" customWidth="1"/>
    <col min="14097" max="14336" width="9" style="185"/>
    <col min="14337" max="14337" width="11.5" style="185" bestFit="1" customWidth="1"/>
    <col min="14338" max="14338" width="9.75" style="185" bestFit="1" customWidth="1"/>
    <col min="14339" max="14342" width="9.125" style="185" bestFit="1" customWidth="1"/>
    <col min="14343" max="14343" width="9.5" style="185" bestFit="1" customWidth="1"/>
    <col min="14344" max="14351" width="9" style="185"/>
    <col min="14352" max="14352" width="10.5" style="185" bestFit="1" customWidth="1"/>
    <col min="14353" max="14592" width="9" style="185"/>
    <col min="14593" max="14593" width="11.5" style="185" bestFit="1" customWidth="1"/>
    <col min="14594" max="14594" width="9.75" style="185" bestFit="1" customWidth="1"/>
    <col min="14595" max="14598" width="9.125" style="185" bestFit="1" customWidth="1"/>
    <col min="14599" max="14599" width="9.5" style="185" bestFit="1" customWidth="1"/>
    <col min="14600" max="14607" width="9" style="185"/>
    <col min="14608" max="14608" width="10.5" style="185" bestFit="1" customWidth="1"/>
    <col min="14609" max="14848" width="9" style="185"/>
    <col min="14849" max="14849" width="11.5" style="185" bestFit="1" customWidth="1"/>
    <col min="14850" max="14850" width="9.75" style="185" bestFit="1" customWidth="1"/>
    <col min="14851" max="14854" width="9.125" style="185" bestFit="1" customWidth="1"/>
    <col min="14855" max="14855" width="9.5" style="185" bestFit="1" customWidth="1"/>
    <col min="14856" max="14863" width="9" style="185"/>
    <col min="14864" max="14864" width="10.5" style="185" bestFit="1" customWidth="1"/>
    <col min="14865" max="15104" width="9" style="185"/>
    <col min="15105" max="15105" width="11.5" style="185" bestFit="1" customWidth="1"/>
    <col min="15106" max="15106" width="9.75" style="185" bestFit="1" customWidth="1"/>
    <col min="15107" max="15110" width="9.125" style="185" bestFit="1" customWidth="1"/>
    <col min="15111" max="15111" width="9.5" style="185" bestFit="1" customWidth="1"/>
    <col min="15112" max="15119" width="9" style="185"/>
    <col min="15120" max="15120" width="10.5" style="185" bestFit="1" customWidth="1"/>
    <col min="15121" max="15360" width="9" style="185"/>
    <col min="15361" max="15361" width="11.5" style="185" bestFit="1" customWidth="1"/>
    <col min="15362" max="15362" width="9.75" style="185" bestFit="1" customWidth="1"/>
    <col min="15363" max="15366" width="9.125" style="185" bestFit="1" customWidth="1"/>
    <col min="15367" max="15367" width="9.5" style="185" bestFit="1" customWidth="1"/>
    <col min="15368" max="15375" width="9" style="185"/>
    <col min="15376" max="15376" width="10.5" style="185" bestFit="1" customWidth="1"/>
    <col min="15377" max="15616" width="9" style="185"/>
    <col min="15617" max="15617" width="11.5" style="185" bestFit="1" customWidth="1"/>
    <col min="15618" max="15618" width="9.75" style="185" bestFit="1" customWidth="1"/>
    <col min="15619" max="15622" width="9.125" style="185" bestFit="1" customWidth="1"/>
    <col min="15623" max="15623" width="9.5" style="185" bestFit="1" customWidth="1"/>
    <col min="15624" max="15631" width="9" style="185"/>
    <col min="15632" max="15632" width="10.5" style="185" bestFit="1" customWidth="1"/>
    <col min="15633" max="15872" width="9" style="185"/>
    <col min="15873" max="15873" width="11.5" style="185" bestFit="1" customWidth="1"/>
    <col min="15874" max="15874" width="9.75" style="185" bestFit="1" customWidth="1"/>
    <col min="15875" max="15878" width="9.125" style="185" bestFit="1" customWidth="1"/>
    <col min="15879" max="15879" width="9.5" style="185" bestFit="1" customWidth="1"/>
    <col min="15880" max="15887" width="9" style="185"/>
    <col min="15888" max="15888" width="10.5" style="185" bestFit="1" customWidth="1"/>
    <col min="15889" max="16128" width="9" style="185"/>
    <col min="16129" max="16129" width="11.5" style="185" bestFit="1" customWidth="1"/>
    <col min="16130" max="16130" width="9.75" style="185" bestFit="1" customWidth="1"/>
    <col min="16131" max="16134" width="9.125" style="185" bestFit="1" customWidth="1"/>
    <col min="16135" max="16135" width="9.5" style="185" bestFit="1" customWidth="1"/>
    <col min="16136" max="16143" width="9" style="185"/>
    <col min="16144" max="16144" width="10.5" style="185" bestFit="1" customWidth="1"/>
    <col min="16145" max="16384" width="9" style="185"/>
  </cols>
  <sheetData>
    <row r="2" spans="1:16" x14ac:dyDescent="0.15">
      <c r="A2" s="184" t="s">
        <v>159</v>
      </c>
      <c r="B2" s="184" t="s">
        <v>160</v>
      </c>
    </row>
    <row r="3" spans="1:16" x14ac:dyDescent="0.15">
      <c r="A3" s="185">
        <v>2425</v>
      </c>
      <c r="B3" s="185">
        <v>1</v>
      </c>
    </row>
    <row r="4" spans="1:16" x14ac:dyDescent="0.15">
      <c r="A4" s="184" t="s">
        <v>161</v>
      </c>
      <c r="B4" s="184" t="s">
        <v>162</v>
      </c>
      <c r="C4" s="184" t="s">
        <v>163</v>
      </c>
      <c r="D4" s="184" t="s">
        <v>164</v>
      </c>
    </row>
    <row r="5" spans="1:16" x14ac:dyDescent="0.15">
      <c r="A5" s="184">
        <v>0.41</v>
      </c>
      <c r="B5" s="184">
        <v>3</v>
      </c>
      <c r="C5" s="184">
        <v>1</v>
      </c>
      <c r="D5" s="184">
        <v>1</v>
      </c>
    </row>
    <row r="6" spans="1:16" x14ac:dyDescent="0.15">
      <c r="B6" s="184"/>
      <c r="C6" s="184"/>
      <c r="D6" s="184"/>
    </row>
    <row r="7" spans="1:16" x14ac:dyDescent="0.15">
      <c r="A7" s="184" t="s">
        <v>3</v>
      </c>
      <c r="B7" s="184" t="s">
        <v>165</v>
      </c>
    </row>
    <row r="8" spans="1:16" x14ac:dyDescent="0.15">
      <c r="A8" s="186">
        <v>1</v>
      </c>
      <c r="B8" s="184" t="s">
        <v>5</v>
      </c>
      <c r="C8" s="184" t="s">
        <v>6</v>
      </c>
      <c r="D8" s="184" t="s">
        <v>10</v>
      </c>
      <c r="E8" s="184" t="s">
        <v>69</v>
      </c>
      <c r="F8" s="184" t="s">
        <v>166</v>
      </c>
      <c r="G8" s="184" t="s">
        <v>167</v>
      </c>
      <c r="H8" s="184" t="s">
        <v>168</v>
      </c>
    </row>
    <row r="9" spans="1:16" x14ac:dyDescent="0.15">
      <c r="B9" s="187">
        <f>断面设计!C18</f>
        <v>0.9</v>
      </c>
      <c r="C9" s="188">
        <f>断面设计!D18</f>
        <v>0.5</v>
      </c>
      <c r="D9" s="189">
        <f>断面设计!H18</f>
        <v>1.4999999999999999E-2</v>
      </c>
      <c r="E9" s="189">
        <f>断面设计!B18</f>
        <v>0.59929999483550755</v>
      </c>
      <c r="F9" s="188">
        <v>0.1</v>
      </c>
      <c r="G9" s="188">
        <f>断面设计!Q25</f>
        <v>1.1000000000000001</v>
      </c>
      <c r="H9" s="190">
        <f>断面设计!I18</f>
        <v>3000</v>
      </c>
      <c r="J9" s="189">
        <f t="shared" ref="J9:P13" si="0">B9</f>
        <v>0.9</v>
      </c>
      <c r="K9" s="189">
        <f t="shared" si="0"/>
        <v>0.5</v>
      </c>
      <c r="L9" s="189">
        <f t="shared" si="0"/>
        <v>1.4999999999999999E-2</v>
      </c>
      <c r="M9" s="189">
        <f t="shared" si="0"/>
        <v>0.59929999483550755</v>
      </c>
      <c r="N9" s="189">
        <f t="shared" si="0"/>
        <v>0.1</v>
      </c>
      <c r="O9" s="189">
        <f t="shared" si="0"/>
        <v>1.1000000000000001</v>
      </c>
      <c r="P9" s="189">
        <f t="shared" si="0"/>
        <v>3000</v>
      </c>
    </row>
    <row r="10" spans="1:16" x14ac:dyDescent="0.15">
      <c r="B10" s="187">
        <f>断面设计!C19</f>
        <v>1.2</v>
      </c>
      <c r="C10" s="188">
        <f>断面设计!D19</f>
        <v>0</v>
      </c>
      <c r="D10" s="189">
        <f>断面设计!H19</f>
        <v>1.4E-2</v>
      </c>
      <c r="E10" s="189">
        <f>断面设计!B19</f>
        <v>0.58853204167457374</v>
      </c>
      <c r="F10" s="188">
        <v>0.3</v>
      </c>
      <c r="G10" s="188">
        <f>断面设计!Q26</f>
        <v>1.1000000000000001</v>
      </c>
      <c r="H10" s="190">
        <f>断面设计!I19</f>
        <v>3000</v>
      </c>
      <c r="J10" s="189">
        <f t="shared" si="0"/>
        <v>1.2</v>
      </c>
      <c r="K10" s="189">
        <f t="shared" si="0"/>
        <v>0</v>
      </c>
      <c r="L10" s="189">
        <f t="shared" si="0"/>
        <v>1.4E-2</v>
      </c>
      <c r="M10" s="189">
        <f t="shared" si="0"/>
        <v>0.58853204167457374</v>
      </c>
      <c r="N10" s="189">
        <f t="shared" si="0"/>
        <v>0.3</v>
      </c>
      <c r="O10" s="189">
        <f t="shared" si="0"/>
        <v>1.1000000000000001</v>
      </c>
      <c r="P10" s="189">
        <f t="shared" si="0"/>
        <v>3000</v>
      </c>
    </row>
    <row r="11" spans="1:16" x14ac:dyDescent="0.15">
      <c r="B11" s="187">
        <f>断面设计!C20</f>
        <v>0.5</v>
      </c>
      <c r="C11" s="188">
        <f>断面设计!D20</f>
        <v>1.2</v>
      </c>
      <c r="D11" s="189">
        <f>断面设计!H20</f>
        <v>1.4999999999999999E-2</v>
      </c>
      <c r="E11" s="189">
        <f>断面设计!B20</f>
        <v>0.60237902196640114</v>
      </c>
      <c r="F11" s="188">
        <v>0.1</v>
      </c>
      <c r="G11" s="188">
        <f>断面设计!Q27</f>
        <v>1.1000000000000001</v>
      </c>
      <c r="H11" s="190">
        <f>断面设计!I20</f>
        <v>3000</v>
      </c>
      <c r="J11" s="189">
        <f t="shared" si="0"/>
        <v>0.5</v>
      </c>
      <c r="K11" s="189">
        <f t="shared" si="0"/>
        <v>1.2</v>
      </c>
      <c r="L11" s="189">
        <f t="shared" si="0"/>
        <v>1.4999999999999999E-2</v>
      </c>
      <c r="M11" s="189">
        <f t="shared" si="0"/>
        <v>0.60237902196640114</v>
      </c>
      <c r="N11" s="189">
        <f t="shared" si="0"/>
        <v>0.1</v>
      </c>
      <c r="O11" s="189">
        <f t="shared" si="0"/>
        <v>1.1000000000000001</v>
      </c>
      <c r="P11" s="189">
        <f t="shared" si="0"/>
        <v>3000</v>
      </c>
    </row>
    <row r="12" spans="1:16" x14ac:dyDescent="0.15">
      <c r="A12" s="185">
        <v>4</v>
      </c>
      <c r="B12" s="191">
        <v>1</v>
      </c>
      <c r="C12" s="191">
        <v>0</v>
      </c>
      <c r="D12" s="191">
        <v>1.4E-2</v>
      </c>
      <c r="E12" s="191">
        <v>0.71173907213355425</v>
      </c>
      <c r="F12" s="191">
        <v>0.3</v>
      </c>
      <c r="G12" s="191">
        <v>1.5</v>
      </c>
      <c r="H12" s="191">
        <v>3000</v>
      </c>
      <c r="J12" s="189">
        <f t="shared" si="0"/>
        <v>1</v>
      </c>
      <c r="K12" s="189">
        <f t="shared" si="0"/>
        <v>0</v>
      </c>
      <c r="L12" s="189">
        <f t="shared" si="0"/>
        <v>1.4E-2</v>
      </c>
      <c r="M12" s="189">
        <f t="shared" si="0"/>
        <v>0.71173907213355425</v>
      </c>
      <c r="N12" s="189">
        <f t="shared" si="0"/>
        <v>0.3</v>
      </c>
      <c r="O12" s="189">
        <f t="shared" si="0"/>
        <v>1.5</v>
      </c>
      <c r="P12" s="189">
        <f t="shared" si="0"/>
        <v>3000</v>
      </c>
    </row>
    <row r="13" spans="1:16" x14ac:dyDescent="0.15">
      <c r="A13" s="185">
        <v>5</v>
      </c>
      <c r="B13" s="191">
        <v>0.5</v>
      </c>
      <c r="C13" s="191">
        <v>1.2</v>
      </c>
      <c r="D13" s="191">
        <v>1.4999999999999999E-2</v>
      </c>
      <c r="E13" s="191">
        <v>0.60237902196640114</v>
      </c>
      <c r="F13" s="191">
        <v>0.1</v>
      </c>
      <c r="G13" s="191">
        <v>1.1000000000000001</v>
      </c>
      <c r="H13" s="191">
        <v>3000</v>
      </c>
      <c r="J13" s="189">
        <f t="shared" si="0"/>
        <v>0.5</v>
      </c>
      <c r="K13" s="189">
        <f t="shared" si="0"/>
        <v>1.2</v>
      </c>
      <c r="L13" s="189">
        <f t="shared" si="0"/>
        <v>1.4999999999999999E-2</v>
      </c>
      <c r="M13" s="189">
        <f t="shared" si="0"/>
        <v>0.60237902196640114</v>
      </c>
      <c r="N13" s="189">
        <f t="shared" si="0"/>
        <v>0.1</v>
      </c>
      <c r="O13" s="189">
        <f t="shared" si="0"/>
        <v>1.1000000000000001</v>
      </c>
      <c r="P13" s="189">
        <f t="shared" si="0"/>
        <v>3000</v>
      </c>
    </row>
    <row r="14" spans="1:16" x14ac:dyDescent="0.15">
      <c r="B14" s="187">
        <v>0.89502841014593337</v>
      </c>
      <c r="C14" s="188">
        <v>1</v>
      </c>
      <c r="D14" s="189">
        <v>1.4999999999999999E-2</v>
      </c>
      <c r="E14" s="189">
        <v>1.1630518205541376</v>
      </c>
      <c r="F14" s="188">
        <v>0.1</v>
      </c>
      <c r="G14" s="188">
        <v>1.2</v>
      </c>
      <c r="H14" s="190">
        <v>2500</v>
      </c>
      <c r="J14" s="189">
        <f t="shared" ref="J14:P14" si="1">B18</f>
        <v>0.7</v>
      </c>
      <c r="K14" s="189">
        <f t="shared" si="1"/>
        <v>1.4E-2</v>
      </c>
      <c r="L14" s="189">
        <f t="shared" si="1"/>
        <v>0.47053568697040293</v>
      </c>
      <c r="M14" s="189">
        <v>0</v>
      </c>
      <c r="N14" s="189">
        <f t="shared" si="1"/>
        <v>0.3</v>
      </c>
      <c r="O14" s="189">
        <f t="shared" si="1"/>
        <v>1.4</v>
      </c>
      <c r="P14" s="189">
        <f t="shared" si="1"/>
        <v>1000</v>
      </c>
    </row>
    <row r="15" spans="1:16" x14ac:dyDescent="0.15">
      <c r="J15" s="189">
        <f t="shared" ref="J15:P15" si="2">B22</f>
        <v>1.8</v>
      </c>
      <c r="K15" s="189">
        <f t="shared" si="2"/>
        <v>1.8811525688318151</v>
      </c>
      <c r="L15" s="189">
        <f t="shared" si="2"/>
        <v>1.4E-2</v>
      </c>
      <c r="M15" s="189">
        <f t="shared" si="2"/>
        <v>0.54746804082763056</v>
      </c>
      <c r="N15" s="189">
        <f t="shared" si="2"/>
        <v>0.3</v>
      </c>
      <c r="O15" s="189">
        <f t="shared" si="2"/>
        <v>2.4</v>
      </c>
      <c r="P15" s="189">
        <f t="shared" si="2"/>
        <v>7000</v>
      </c>
    </row>
    <row r="16" spans="1:16" s="192" customFormat="1" x14ac:dyDescent="0.15">
      <c r="B16" s="193" t="s">
        <v>169</v>
      </c>
      <c r="H16" s="194"/>
    </row>
    <row r="17" spans="1:8" x14ac:dyDescent="0.15">
      <c r="B17" s="184" t="s">
        <v>35</v>
      </c>
      <c r="C17" s="184" t="s">
        <v>10</v>
      </c>
      <c r="D17" s="184" t="s">
        <v>69</v>
      </c>
      <c r="E17" s="184" t="s">
        <v>5</v>
      </c>
      <c r="F17" s="184" t="s">
        <v>166</v>
      </c>
      <c r="G17" s="184" t="s">
        <v>167</v>
      </c>
      <c r="H17" s="195" t="s">
        <v>168</v>
      </c>
    </row>
    <row r="18" spans="1:8" x14ac:dyDescent="0.15">
      <c r="B18" s="196">
        <f>断面设计!C44</f>
        <v>0.7</v>
      </c>
      <c r="C18" s="185">
        <f>断面设计!F44</f>
        <v>1.4E-2</v>
      </c>
      <c r="D18" s="197">
        <f>断面设计!B44</f>
        <v>0.47053568697040293</v>
      </c>
      <c r="E18" s="198">
        <v>0</v>
      </c>
      <c r="F18" s="185">
        <v>0.3</v>
      </c>
      <c r="G18" s="198">
        <f>断面设计!J44</f>
        <v>1.4</v>
      </c>
      <c r="H18" s="190">
        <f>断面设计!G44</f>
        <v>1000</v>
      </c>
    </row>
    <row r="19" spans="1:8" x14ac:dyDescent="0.15">
      <c r="H19" s="190"/>
    </row>
    <row r="20" spans="1:8" x14ac:dyDescent="0.15">
      <c r="B20" s="184" t="s">
        <v>170</v>
      </c>
      <c r="H20" s="190"/>
    </row>
    <row r="21" spans="1:8" x14ac:dyDescent="0.15">
      <c r="B21" s="184" t="s">
        <v>5</v>
      </c>
      <c r="C21" s="184" t="s">
        <v>41</v>
      </c>
      <c r="D21" s="184" t="s">
        <v>10</v>
      </c>
      <c r="E21" s="184" t="s">
        <v>69</v>
      </c>
      <c r="F21" s="184" t="s">
        <v>166</v>
      </c>
      <c r="G21" s="184" t="s">
        <v>167</v>
      </c>
      <c r="H21" s="195" t="s">
        <v>168</v>
      </c>
    </row>
    <row r="22" spans="1:8" x14ac:dyDescent="0.15">
      <c r="B22" s="198">
        <f>断面设计!C33</f>
        <v>1.8</v>
      </c>
      <c r="C22" s="200">
        <f>断面设计!F33</f>
        <v>1.8811525688318151</v>
      </c>
      <c r="D22" s="185">
        <f>断面设计!M33</f>
        <v>1.4E-2</v>
      </c>
      <c r="E22" s="197">
        <f>断面设计!B33</f>
        <v>0.54746804082763056</v>
      </c>
      <c r="F22" s="185">
        <v>0.3</v>
      </c>
      <c r="G22" s="198">
        <f>断面设计!D33</f>
        <v>2.4</v>
      </c>
      <c r="H22" s="190">
        <f>断面设计!N33</f>
        <v>7000</v>
      </c>
    </row>
    <row r="23" spans="1:8" x14ac:dyDescent="0.15">
      <c r="A23" s="199"/>
      <c r="H23" s="190"/>
    </row>
  </sheetData>
  <phoneticPr fontId="19"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2:T114"/>
  <sheetViews>
    <sheetView workbookViewId="0">
      <selection activeCell="A3" sqref="A3:L114"/>
    </sheetView>
  </sheetViews>
  <sheetFormatPr defaultColWidth="9" defaultRowHeight="13.5" x14ac:dyDescent="0.15"/>
  <cols>
    <col min="1" max="1" width="13.875" style="185" bestFit="1" customWidth="1"/>
    <col min="2" max="3" width="9" style="185"/>
    <col min="4" max="6" width="12.625" style="185" bestFit="1" customWidth="1"/>
    <col min="7" max="7" width="9" style="185"/>
    <col min="8" max="8" width="9.5" style="185" bestFit="1" customWidth="1"/>
    <col min="9" max="9" width="13.875" style="185" bestFit="1" customWidth="1"/>
    <col min="10" max="11" width="11.625" style="185" bestFit="1" customWidth="1"/>
    <col min="12" max="12" width="11.375" style="185" bestFit="1" customWidth="1"/>
    <col min="13" max="16" width="9" style="185"/>
    <col min="17" max="17" width="13.875" style="185" bestFit="1" customWidth="1"/>
    <col min="18" max="256" width="9" style="185"/>
    <col min="257" max="257" width="13.875" style="185" bestFit="1" customWidth="1"/>
    <col min="258" max="259" width="9" style="185"/>
    <col min="260" max="262" width="12.625" style="185" bestFit="1" customWidth="1"/>
    <col min="263" max="263" width="9" style="185"/>
    <col min="264" max="264" width="9.5" style="185" bestFit="1" customWidth="1"/>
    <col min="265" max="265" width="13.875" style="185" bestFit="1" customWidth="1"/>
    <col min="266" max="267" width="11.625" style="185" bestFit="1" customWidth="1"/>
    <col min="268" max="268" width="11.375" style="185" bestFit="1" customWidth="1"/>
    <col min="269" max="272" width="9" style="185"/>
    <col min="273" max="273" width="13.875" style="185" bestFit="1" customWidth="1"/>
    <col min="274" max="512" width="9" style="185"/>
    <col min="513" max="513" width="13.875" style="185" bestFit="1" customWidth="1"/>
    <col min="514" max="515" width="9" style="185"/>
    <col min="516" max="518" width="12.625" style="185" bestFit="1" customWidth="1"/>
    <col min="519" max="519" width="9" style="185"/>
    <col min="520" max="520" width="9.5" style="185" bestFit="1" customWidth="1"/>
    <col min="521" max="521" width="13.875" style="185" bestFit="1" customWidth="1"/>
    <col min="522" max="523" width="11.625" style="185" bestFit="1" customWidth="1"/>
    <col min="524" max="524" width="11.375" style="185" bestFit="1" customWidth="1"/>
    <col min="525" max="528" width="9" style="185"/>
    <col min="529" max="529" width="13.875" style="185" bestFit="1" customWidth="1"/>
    <col min="530" max="768" width="9" style="185"/>
    <col min="769" max="769" width="13.875" style="185" bestFit="1" customWidth="1"/>
    <col min="770" max="771" width="9" style="185"/>
    <col min="772" max="774" width="12.625" style="185" bestFit="1" customWidth="1"/>
    <col min="775" max="775" width="9" style="185"/>
    <col min="776" max="776" width="9.5" style="185" bestFit="1" customWidth="1"/>
    <col min="777" max="777" width="13.875" style="185" bestFit="1" customWidth="1"/>
    <col min="778" max="779" width="11.625" style="185" bestFit="1" customWidth="1"/>
    <col min="780" max="780" width="11.375" style="185" bestFit="1" customWidth="1"/>
    <col min="781" max="784" width="9" style="185"/>
    <col min="785" max="785" width="13.875" style="185" bestFit="1" customWidth="1"/>
    <col min="786" max="1024" width="9" style="185"/>
    <col min="1025" max="1025" width="13.875" style="185" bestFit="1" customWidth="1"/>
    <col min="1026" max="1027" width="9" style="185"/>
    <col min="1028" max="1030" width="12.625" style="185" bestFit="1" customWidth="1"/>
    <col min="1031" max="1031" width="9" style="185"/>
    <col min="1032" max="1032" width="9.5" style="185" bestFit="1" customWidth="1"/>
    <col min="1033" max="1033" width="13.875" style="185" bestFit="1" customWidth="1"/>
    <col min="1034" max="1035" width="11.625" style="185" bestFit="1" customWidth="1"/>
    <col min="1036" max="1036" width="11.375" style="185" bestFit="1" customWidth="1"/>
    <col min="1037" max="1040" width="9" style="185"/>
    <col min="1041" max="1041" width="13.875" style="185" bestFit="1" customWidth="1"/>
    <col min="1042" max="1280" width="9" style="185"/>
    <col min="1281" max="1281" width="13.875" style="185" bestFit="1" customWidth="1"/>
    <col min="1282" max="1283" width="9" style="185"/>
    <col min="1284" max="1286" width="12.625" style="185" bestFit="1" customWidth="1"/>
    <col min="1287" max="1287" width="9" style="185"/>
    <col min="1288" max="1288" width="9.5" style="185" bestFit="1" customWidth="1"/>
    <col min="1289" max="1289" width="13.875" style="185" bestFit="1" customWidth="1"/>
    <col min="1290" max="1291" width="11.625" style="185" bestFit="1" customWidth="1"/>
    <col min="1292" max="1292" width="11.375" style="185" bestFit="1" customWidth="1"/>
    <col min="1293" max="1296" width="9" style="185"/>
    <col min="1297" max="1297" width="13.875" style="185" bestFit="1" customWidth="1"/>
    <col min="1298" max="1536" width="9" style="185"/>
    <col min="1537" max="1537" width="13.875" style="185" bestFit="1" customWidth="1"/>
    <col min="1538" max="1539" width="9" style="185"/>
    <col min="1540" max="1542" width="12.625" style="185" bestFit="1" customWidth="1"/>
    <col min="1543" max="1543" width="9" style="185"/>
    <col min="1544" max="1544" width="9.5" style="185" bestFit="1" customWidth="1"/>
    <col min="1545" max="1545" width="13.875" style="185" bestFit="1" customWidth="1"/>
    <col min="1546" max="1547" width="11.625" style="185" bestFit="1" customWidth="1"/>
    <col min="1548" max="1548" width="11.375" style="185" bestFit="1" customWidth="1"/>
    <col min="1549" max="1552" width="9" style="185"/>
    <col min="1553" max="1553" width="13.875" style="185" bestFit="1" customWidth="1"/>
    <col min="1554" max="1792" width="9" style="185"/>
    <col min="1793" max="1793" width="13.875" style="185" bestFit="1" customWidth="1"/>
    <col min="1794" max="1795" width="9" style="185"/>
    <col min="1796" max="1798" width="12.625" style="185" bestFit="1" customWidth="1"/>
    <col min="1799" max="1799" width="9" style="185"/>
    <col min="1800" max="1800" width="9.5" style="185" bestFit="1" customWidth="1"/>
    <col min="1801" max="1801" width="13.875" style="185" bestFit="1" customWidth="1"/>
    <col min="1802" max="1803" width="11.625" style="185" bestFit="1" customWidth="1"/>
    <col min="1804" max="1804" width="11.375" style="185" bestFit="1" customWidth="1"/>
    <col min="1805" max="1808" width="9" style="185"/>
    <col min="1809" max="1809" width="13.875" style="185" bestFit="1" customWidth="1"/>
    <col min="1810" max="2048" width="9" style="185"/>
    <col min="2049" max="2049" width="13.875" style="185" bestFit="1" customWidth="1"/>
    <col min="2050" max="2051" width="9" style="185"/>
    <col min="2052" max="2054" width="12.625" style="185" bestFit="1" customWidth="1"/>
    <col min="2055" max="2055" width="9" style="185"/>
    <col min="2056" max="2056" width="9.5" style="185" bestFit="1" customWidth="1"/>
    <col min="2057" max="2057" width="13.875" style="185" bestFit="1" customWidth="1"/>
    <col min="2058" max="2059" width="11.625" style="185" bestFit="1" customWidth="1"/>
    <col min="2060" max="2060" width="11.375" style="185" bestFit="1" customWidth="1"/>
    <col min="2061" max="2064" width="9" style="185"/>
    <col min="2065" max="2065" width="13.875" style="185" bestFit="1" customWidth="1"/>
    <col min="2066" max="2304" width="9" style="185"/>
    <col min="2305" max="2305" width="13.875" style="185" bestFit="1" customWidth="1"/>
    <col min="2306" max="2307" width="9" style="185"/>
    <col min="2308" max="2310" width="12.625" style="185" bestFit="1" customWidth="1"/>
    <col min="2311" max="2311" width="9" style="185"/>
    <col min="2312" max="2312" width="9.5" style="185" bestFit="1" customWidth="1"/>
    <col min="2313" max="2313" width="13.875" style="185" bestFit="1" customWidth="1"/>
    <col min="2314" max="2315" width="11.625" style="185" bestFit="1" customWidth="1"/>
    <col min="2316" max="2316" width="11.375" style="185" bestFit="1" customWidth="1"/>
    <col min="2317" max="2320" width="9" style="185"/>
    <col min="2321" max="2321" width="13.875" style="185" bestFit="1" customWidth="1"/>
    <col min="2322" max="2560" width="9" style="185"/>
    <col min="2561" max="2561" width="13.875" style="185" bestFit="1" customWidth="1"/>
    <col min="2562" max="2563" width="9" style="185"/>
    <col min="2564" max="2566" width="12.625" style="185" bestFit="1" customWidth="1"/>
    <col min="2567" max="2567" width="9" style="185"/>
    <col min="2568" max="2568" width="9.5" style="185" bestFit="1" customWidth="1"/>
    <col min="2569" max="2569" width="13.875" style="185" bestFit="1" customWidth="1"/>
    <col min="2570" max="2571" width="11.625" style="185" bestFit="1" customWidth="1"/>
    <col min="2572" max="2572" width="11.375" style="185" bestFit="1" customWidth="1"/>
    <col min="2573" max="2576" width="9" style="185"/>
    <col min="2577" max="2577" width="13.875" style="185" bestFit="1" customWidth="1"/>
    <col min="2578" max="2816" width="9" style="185"/>
    <col min="2817" max="2817" width="13.875" style="185" bestFit="1" customWidth="1"/>
    <col min="2818" max="2819" width="9" style="185"/>
    <col min="2820" max="2822" width="12.625" style="185" bestFit="1" customWidth="1"/>
    <col min="2823" max="2823" width="9" style="185"/>
    <col min="2824" max="2824" width="9.5" style="185" bestFit="1" customWidth="1"/>
    <col min="2825" max="2825" width="13.875" style="185" bestFit="1" customWidth="1"/>
    <col min="2826" max="2827" width="11.625" style="185" bestFit="1" customWidth="1"/>
    <col min="2828" max="2828" width="11.375" style="185" bestFit="1" customWidth="1"/>
    <col min="2829" max="2832" width="9" style="185"/>
    <col min="2833" max="2833" width="13.875" style="185" bestFit="1" customWidth="1"/>
    <col min="2834" max="3072" width="9" style="185"/>
    <col min="3073" max="3073" width="13.875" style="185" bestFit="1" customWidth="1"/>
    <col min="3074" max="3075" width="9" style="185"/>
    <col min="3076" max="3078" width="12.625" style="185" bestFit="1" customWidth="1"/>
    <col min="3079" max="3079" width="9" style="185"/>
    <col min="3080" max="3080" width="9.5" style="185" bestFit="1" customWidth="1"/>
    <col min="3081" max="3081" width="13.875" style="185" bestFit="1" customWidth="1"/>
    <col min="3082" max="3083" width="11.625" style="185" bestFit="1" customWidth="1"/>
    <col min="3084" max="3084" width="11.375" style="185" bestFit="1" customWidth="1"/>
    <col min="3085" max="3088" width="9" style="185"/>
    <col min="3089" max="3089" width="13.875" style="185" bestFit="1" customWidth="1"/>
    <col min="3090" max="3328" width="9" style="185"/>
    <col min="3329" max="3329" width="13.875" style="185" bestFit="1" customWidth="1"/>
    <col min="3330" max="3331" width="9" style="185"/>
    <col min="3332" max="3334" width="12.625" style="185" bestFit="1" customWidth="1"/>
    <col min="3335" max="3335" width="9" style="185"/>
    <col min="3336" max="3336" width="9.5" style="185" bestFit="1" customWidth="1"/>
    <col min="3337" max="3337" width="13.875" style="185" bestFit="1" customWidth="1"/>
    <col min="3338" max="3339" width="11.625" style="185" bestFit="1" customWidth="1"/>
    <col min="3340" max="3340" width="11.375" style="185" bestFit="1" customWidth="1"/>
    <col min="3341" max="3344" width="9" style="185"/>
    <col min="3345" max="3345" width="13.875" style="185" bestFit="1" customWidth="1"/>
    <col min="3346" max="3584" width="9" style="185"/>
    <col min="3585" max="3585" width="13.875" style="185" bestFit="1" customWidth="1"/>
    <col min="3586" max="3587" width="9" style="185"/>
    <col min="3588" max="3590" width="12.625" style="185" bestFit="1" customWidth="1"/>
    <col min="3591" max="3591" width="9" style="185"/>
    <col min="3592" max="3592" width="9.5" style="185" bestFit="1" customWidth="1"/>
    <col min="3593" max="3593" width="13.875" style="185" bestFit="1" customWidth="1"/>
    <col min="3594" max="3595" width="11.625" style="185" bestFit="1" customWidth="1"/>
    <col min="3596" max="3596" width="11.375" style="185" bestFit="1" customWidth="1"/>
    <col min="3597" max="3600" width="9" style="185"/>
    <col min="3601" max="3601" width="13.875" style="185" bestFit="1" customWidth="1"/>
    <col min="3602" max="3840" width="9" style="185"/>
    <col min="3841" max="3841" width="13.875" style="185" bestFit="1" customWidth="1"/>
    <col min="3842" max="3843" width="9" style="185"/>
    <col min="3844" max="3846" width="12.625" style="185" bestFit="1" customWidth="1"/>
    <col min="3847" max="3847" width="9" style="185"/>
    <col min="3848" max="3848" width="9.5" style="185" bestFit="1" customWidth="1"/>
    <col min="3849" max="3849" width="13.875" style="185" bestFit="1" customWidth="1"/>
    <col min="3850" max="3851" width="11.625" style="185" bestFit="1" customWidth="1"/>
    <col min="3852" max="3852" width="11.375" style="185" bestFit="1" customWidth="1"/>
    <col min="3853" max="3856" width="9" style="185"/>
    <col min="3857" max="3857" width="13.875" style="185" bestFit="1" customWidth="1"/>
    <col min="3858" max="4096" width="9" style="185"/>
    <col min="4097" max="4097" width="13.875" style="185" bestFit="1" customWidth="1"/>
    <col min="4098" max="4099" width="9" style="185"/>
    <col min="4100" max="4102" width="12.625" style="185" bestFit="1" customWidth="1"/>
    <col min="4103" max="4103" width="9" style="185"/>
    <col min="4104" max="4104" width="9.5" style="185" bestFit="1" customWidth="1"/>
    <col min="4105" max="4105" width="13.875" style="185" bestFit="1" customWidth="1"/>
    <col min="4106" max="4107" width="11.625" style="185" bestFit="1" customWidth="1"/>
    <col min="4108" max="4108" width="11.375" style="185" bestFit="1" customWidth="1"/>
    <col min="4109" max="4112" width="9" style="185"/>
    <col min="4113" max="4113" width="13.875" style="185" bestFit="1" customWidth="1"/>
    <col min="4114" max="4352" width="9" style="185"/>
    <col min="4353" max="4353" width="13.875" style="185" bestFit="1" customWidth="1"/>
    <col min="4354" max="4355" width="9" style="185"/>
    <col min="4356" max="4358" width="12.625" style="185" bestFit="1" customWidth="1"/>
    <col min="4359" max="4359" width="9" style="185"/>
    <col min="4360" max="4360" width="9.5" style="185" bestFit="1" customWidth="1"/>
    <col min="4361" max="4361" width="13.875" style="185" bestFit="1" customWidth="1"/>
    <col min="4362" max="4363" width="11.625" style="185" bestFit="1" customWidth="1"/>
    <col min="4364" max="4364" width="11.375" style="185" bestFit="1" customWidth="1"/>
    <col min="4365" max="4368" width="9" style="185"/>
    <col min="4369" max="4369" width="13.875" style="185" bestFit="1" customWidth="1"/>
    <col min="4370" max="4608" width="9" style="185"/>
    <col min="4609" max="4609" width="13.875" style="185" bestFit="1" customWidth="1"/>
    <col min="4610" max="4611" width="9" style="185"/>
    <col min="4612" max="4614" width="12.625" style="185" bestFit="1" customWidth="1"/>
    <col min="4615" max="4615" width="9" style="185"/>
    <col min="4616" max="4616" width="9.5" style="185" bestFit="1" customWidth="1"/>
    <col min="4617" max="4617" width="13.875" style="185" bestFit="1" customWidth="1"/>
    <col min="4618" max="4619" width="11.625" style="185" bestFit="1" customWidth="1"/>
    <col min="4620" max="4620" width="11.375" style="185" bestFit="1" customWidth="1"/>
    <col min="4621" max="4624" width="9" style="185"/>
    <col min="4625" max="4625" width="13.875" style="185" bestFit="1" customWidth="1"/>
    <col min="4626" max="4864" width="9" style="185"/>
    <col min="4865" max="4865" width="13.875" style="185" bestFit="1" customWidth="1"/>
    <col min="4866" max="4867" width="9" style="185"/>
    <col min="4868" max="4870" width="12.625" style="185" bestFit="1" customWidth="1"/>
    <col min="4871" max="4871" width="9" style="185"/>
    <col min="4872" max="4872" width="9.5" style="185" bestFit="1" customWidth="1"/>
    <col min="4873" max="4873" width="13.875" style="185" bestFit="1" customWidth="1"/>
    <col min="4874" max="4875" width="11.625" style="185" bestFit="1" customWidth="1"/>
    <col min="4876" max="4876" width="11.375" style="185" bestFit="1" customWidth="1"/>
    <col min="4877" max="4880" width="9" style="185"/>
    <col min="4881" max="4881" width="13.875" style="185" bestFit="1" customWidth="1"/>
    <col min="4882" max="5120" width="9" style="185"/>
    <col min="5121" max="5121" width="13.875" style="185" bestFit="1" customWidth="1"/>
    <col min="5122" max="5123" width="9" style="185"/>
    <col min="5124" max="5126" width="12.625" style="185" bestFit="1" customWidth="1"/>
    <col min="5127" max="5127" width="9" style="185"/>
    <col min="5128" max="5128" width="9.5" style="185" bestFit="1" customWidth="1"/>
    <col min="5129" max="5129" width="13.875" style="185" bestFit="1" customWidth="1"/>
    <col min="5130" max="5131" width="11.625" style="185" bestFit="1" customWidth="1"/>
    <col min="5132" max="5132" width="11.375" style="185" bestFit="1" customWidth="1"/>
    <col min="5133" max="5136" width="9" style="185"/>
    <col min="5137" max="5137" width="13.875" style="185" bestFit="1" customWidth="1"/>
    <col min="5138" max="5376" width="9" style="185"/>
    <col min="5377" max="5377" width="13.875" style="185" bestFit="1" customWidth="1"/>
    <col min="5378" max="5379" width="9" style="185"/>
    <col min="5380" max="5382" width="12.625" style="185" bestFit="1" customWidth="1"/>
    <col min="5383" max="5383" width="9" style="185"/>
    <col min="5384" max="5384" width="9.5" style="185" bestFit="1" customWidth="1"/>
    <col min="5385" max="5385" width="13.875" style="185" bestFit="1" customWidth="1"/>
    <col min="5386" max="5387" width="11.625" style="185" bestFit="1" customWidth="1"/>
    <col min="5388" max="5388" width="11.375" style="185" bestFit="1" customWidth="1"/>
    <col min="5389" max="5392" width="9" style="185"/>
    <col min="5393" max="5393" width="13.875" style="185" bestFit="1" customWidth="1"/>
    <col min="5394" max="5632" width="9" style="185"/>
    <col min="5633" max="5633" width="13.875" style="185" bestFit="1" customWidth="1"/>
    <col min="5634" max="5635" width="9" style="185"/>
    <col min="5636" max="5638" width="12.625" style="185" bestFit="1" customWidth="1"/>
    <col min="5639" max="5639" width="9" style="185"/>
    <col min="5640" max="5640" width="9.5" style="185" bestFit="1" customWidth="1"/>
    <col min="5641" max="5641" width="13.875" style="185" bestFit="1" customWidth="1"/>
    <col min="5642" max="5643" width="11.625" style="185" bestFit="1" customWidth="1"/>
    <col min="5644" max="5644" width="11.375" style="185" bestFit="1" customWidth="1"/>
    <col min="5645" max="5648" width="9" style="185"/>
    <col min="5649" max="5649" width="13.875" style="185" bestFit="1" customWidth="1"/>
    <col min="5650" max="5888" width="9" style="185"/>
    <col min="5889" max="5889" width="13.875" style="185" bestFit="1" customWidth="1"/>
    <col min="5890" max="5891" width="9" style="185"/>
    <col min="5892" max="5894" width="12.625" style="185" bestFit="1" customWidth="1"/>
    <col min="5895" max="5895" width="9" style="185"/>
    <col min="5896" max="5896" width="9.5" style="185" bestFit="1" customWidth="1"/>
    <col min="5897" max="5897" width="13.875" style="185" bestFit="1" customWidth="1"/>
    <col min="5898" max="5899" width="11.625" style="185" bestFit="1" customWidth="1"/>
    <col min="5900" max="5900" width="11.375" style="185" bestFit="1" customWidth="1"/>
    <col min="5901" max="5904" width="9" style="185"/>
    <col min="5905" max="5905" width="13.875" style="185" bestFit="1" customWidth="1"/>
    <col min="5906" max="6144" width="9" style="185"/>
    <col min="6145" max="6145" width="13.875" style="185" bestFit="1" customWidth="1"/>
    <col min="6146" max="6147" width="9" style="185"/>
    <col min="6148" max="6150" width="12.625" style="185" bestFit="1" customWidth="1"/>
    <col min="6151" max="6151" width="9" style="185"/>
    <col min="6152" max="6152" width="9.5" style="185" bestFit="1" customWidth="1"/>
    <col min="6153" max="6153" width="13.875" style="185" bestFit="1" customWidth="1"/>
    <col min="6154" max="6155" width="11.625" style="185" bestFit="1" customWidth="1"/>
    <col min="6156" max="6156" width="11.375" style="185" bestFit="1" customWidth="1"/>
    <col min="6157" max="6160" width="9" style="185"/>
    <col min="6161" max="6161" width="13.875" style="185" bestFit="1" customWidth="1"/>
    <col min="6162" max="6400" width="9" style="185"/>
    <col min="6401" max="6401" width="13.875" style="185" bestFit="1" customWidth="1"/>
    <col min="6402" max="6403" width="9" style="185"/>
    <col min="6404" max="6406" width="12.625" style="185" bestFit="1" customWidth="1"/>
    <col min="6407" max="6407" width="9" style="185"/>
    <col min="6408" max="6408" width="9.5" style="185" bestFit="1" customWidth="1"/>
    <col min="6409" max="6409" width="13.875" style="185" bestFit="1" customWidth="1"/>
    <col min="6410" max="6411" width="11.625" style="185" bestFit="1" customWidth="1"/>
    <col min="6412" max="6412" width="11.375" style="185" bestFit="1" customWidth="1"/>
    <col min="6413" max="6416" width="9" style="185"/>
    <col min="6417" max="6417" width="13.875" style="185" bestFit="1" customWidth="1"/>
    <col min="6418" max="6656" width="9" style="185"/>
    <col min="6657" max="6657" width="13.875" style="185" bestFit="1" customWidth="1"/>
    <col min="6658" max="6659" width="9" style="185"/>
    <col min="6660" max="6662" width="12.625" style="185" bestFit="1" customWidth="1"/>
    <col min="6663" max="6663" width="9" style="185"/>
    <col min="6664" max="6664" width="9.5" style="185" bestFit="1" customWidth="1"/>
    <col min="6665" max="6665" width="13.875" style="185" bestFit="1" customWidth="1"/>
    <col min="6666" max="6667" width="11.625" style="185" bestFit="1" customWidth="1"/>
    <col min="6668" max="6668" width="11.375" style="185" bestFit="1" customWidth="1"/>
    <col min="6669" max="6672" width="9" style="185"/>
    <col min="6673" max="6673" width="13.875" style="185" bestFit="1" customWidth="1"/>
    <col min="6674" max="6912" width="9" style="185"/>
    <col min="6913" max="6913" width="13.875" style="185" bestFit="1" customWidth="1"/>
    <col min="6914" max="6915" width="9" style="185"/>
    <col min="6916" max="6918" width="12.625" style="185" bestFit="1" customWidth="1"/>
    <col min="6919" max="6919" width="9" style="185"/>
    <col min="6920" max="6920" width="9.5" style="185" bestFit="1" customWidth="1"/>
    <col min="6921" max="6921" width="13.875" style="185" bestFit="1" customWidth="1"/>
    <col min="6922" max="6923" width="11.625" style="185" bestFit="1" customWidth="1"/>
    <col min="6924" max="6924" width="11.375" style="185" bestFit="1" customWidth="1"/>
    <col min="6925" max="6928" width="9" style="185"/>
    <col min="6929" max="6929" width="13.875" style="185" bestFit="1" customWidth="1"/>
    <col min="6930" max="7168" width="9" style="185"/>
    <col min="7169" max="7169" width="13.875" style="185" bestFit="1" customWidth="1"/>
    <col min="7170" max="7171" width="9" style="185"/>
    <col min="7172" max="7174" width="12.625" style="185" bestFit="1" customWidth="1"/>
    <col min="7175" max="7175" width="9" style="185"/>
    <col min="7176" max="7176" width="9.5" style="185" bestFit="1" customWidth="1"/>
    <col min="7177" max="7177" width="13.875" style="185" bestFit="1" customWidth="1"/>
    <col min="7178" max="7179" width="11.625" style="185" bestFit="1" customWidth="1"/>
    <col min="7180" max="7180" width="11.375" style="185" bestFit="1" customWidth="1"/>
    <col min="7181" max="7184" width="9" style="185"/>
    <col min="7185" max="7185" width="13.875" style="185" bestFit="1" customWidth="1"/>
    <col min="7186" max="7424" width="9" style="185"/>
    <col min="7425" max="7425" width="13.875" style="185" bestFit="1" customWidth="1"/>
    <col min="7426" max="7427" width="9" style="185"/>
    <col min="7428" max="7430" width="12.625" style="185" bestFit="1" customWidth="1"/>
    <col min="7431" max="7431" width="9" style="185"/>
    <col min="7432" max="7432" width="9.5" style="185" bestFit="1" customWidth="1"/>
    <col min="7433" max="7433" width="13.875" style="185" bestFit="1" customWidth="1"/>
    <col min="7434" max="7435" width="11.625" style="185" bestFit="1" customWidth="1"/>
    <col min="7436" max="7436" width="11.375" style="185" bestFit="1" customWidth="1"/>
    <col min="7437" max="7440" width="9" style="185"/>
    <col min="7441" max="7441" width="13.875" style="185" bestFit="1" customWidth="1"/>
    <col min="7442" max="7680" width="9" style="185"/>
    <col min="7681" max="7681" width="13.875" style="185" bestFit="1" customWidth="1"/>
    <col min="7682" max="7683" width="9" style="185"/>
    <col min="7684" max="7686" width="12.625" style="185" bestFit="1" customWidth="1"/>
    <col min="7687" max="7687" width="9" style="185"/>
    <col min="7688" max="7688" width="9.5" style="185" bestFit="1" customWidth="1"/>
    <col min="7689" max="7689" width="13.875" style="185" bestFit="1" customWidth="1"/>
    <col min="7690" max="7691" width="11.625" style="185" bestFit="1" customWidth="1"/>
    <col min="7692" max="7692" width="11.375" style="185" bestFit="1" customWidth="1"/>
    <col min="7693" max="7696" width="9" style="185"/>
    <col min="7697" max="7697" width="13.875" style="185" bestFit="1" customWidth="1"/>
    <col min="7698" max="7936" width="9" style="185"/>
    <col min="7937" max="7937" width="13.875" style="185" bestFit="1" customWidth="1"/>
    <col min="7938" max="7939" width="9" style="185"/>
    <col min="7940" max="7942" width="12.625" style="185" bestFit="1" customWidth="1"/>
    <col min="7943" max="7943" width="9" style="185"/>
    <col min="7944" max="7944" width="9.5" style="185" bestFit="1" customWidth="1"/>
    <col min="7945" max="7945" width="13.875" style="185" bestFit="1" customWidth="1"/>
    <col min="7946" max="7947" width="11.625" style="185" bestFit="1" customWidth="1"/>
    <col min="7948" max="7948" width="11.375" style="185" bestFit="1" customWidth="1"/>
    <col min="7949" max="7952" width="9" style="185"/>
    <col min="7953" max="7953" width="13.875" style="185" bestFit="1" customWidth="1"/>
    <col min="7954" max="8192" width="9" style="185"/>
    <col min="8193" max="8193" width="13.875" style="185" bestFit="1" customWidth="1"/>
    <col min="8194" max="8195" width="9" style="185"/>
    <col min="8196" max="8198" width="12.625" style="185" bestFit="1" customWidth="1"/>
    <col min="8199" max="8199" width="9" style="185"/>
    <col min="8200" max="8200" width="9.5" style="185" bestFit="1" customWidth="1"/>
    <col min="8201" max="8201" width="13.875" style="185" bestFit="1" customWidth="1"/>
    <col min="8202" max="8203" width="11.625" style="185" bestFit="1" customWidth="1"/>
    <col min="8204" max="8204" width="11.375" style="185" bestFit="1" customWidth="1"/>
    <col min="8205" max="8208" width="9" style="185"/>
    <col min="8209" max="8209" width="13.875" style="185" bestFit="1" customWidth="1"/>
    <col min="8210" max="8448" width="9" style="185"/>
    <col min="8449" max="8449" width="13.875" style="185" bestFit="1" customWidth="1"/>
    <col min="8450" max="8451" width="9" style="185"/>
    <col min="8452" max="8454" width="12.625" style="185" bestFit="1" customWidth="1"/>
    <col min="8455" max="8455" width="9" style="185"/>
    <col min="8456" max="8456" width="9.5" style="185" bestFit="1" customWidth="1"/>
    <col min="8457" max="8457" width="13.875" style="185" bestFit="1" customWidth="1"/>
    <col min="8458" max="8459" width="11.625" style="185" bestFit="1" customWidth="1"/>
    <col min="8460" max="8460" width="11.375" style="185" bestFit="1" customWidth="1"/>
    <col min="8461" max="8464" width="9" style="185"/>
    <col min="8465" max="8465" width="13.875" style="185" bestFit="1" customWidth="1"/>
    <col min="8466" max="8704" width="9" style="185"/>
    <col min="8705" max="8705" width="13.875" style="185" bestFit="1" customWidth="1"/>
    <col min="8706" max="8707" width="9" style="185"/>
    <col min="8708" max="8710" width="12.625" style="185" bestFit="1" customWidth="1"/>
    <col min="8711" max="8711" width="9" style="185"/>
    <col min="8712" max="8712" width="9.5" style="185" bestFit="1" customWidth="1"/>
    <col min="8713" max="8713" width="13.875" style="185" bestFit="1" customWidth="1"/>
    <col min="8714" max="8715" width="11.625" style="185" bestFit="1" customWidth="1"/>
    <col min="8716" max="8716" width="11.375" style="185" bestFit="1" customWidth="1"/>
    <col min="8717" max="8720" width="9" style="185"/>
    <col min="8721" max="8721" width="13.875" style="185" bestFit="1" customWidth="1"/>
    <col min="8722" max="8960" width="9" style="185"/>
    <col min="8961" max="8961" width="13.875" style="185" bestFit="1" customWidth="1"/>
    <col min="8962" max="8963" width="9" style="185"/>
    <col min="8964" max="8966" width="12.625" style="185" bestFit="1" customWidth="1"/>
    <col min="8967" max="8967" width="9" style="185"/>
    <col min="8968" max="8968" width="9.5" style="185" bestFit="1" customWidth="1"/>
    <col min="8969" max="8969" width="13.875" style="185" bestFit="1" customWidth="1"/>
    <col min="8970" max="8971" width="11.625" style="185" bestFit="1" customWidth="1"/>
    <col min="8972" max="8972" width="11.375" style="185" bestFit="1" customWidth="1"/>
    <col min="8973" max="8976" width="9" style="185"/>
    <col min="8977" max="8977" width="13.875" style="185" bestFit="1" customWidth="1"/>
    <col min="8978" max="9216" width="9" style="185"/>
    <col min="9217" max="9217" width="13.875" style="185" bestFit="1" customWidth="1"/>
    <col min="9218" max="9219" width="9" style="185"/>
    <col min="9220" max="9222" width="12.625" style="185" bestFit="1" customWidth="1"/>
    <col min="9223" max="9223" width="9" style="185"/>
    <col min="9224" max="9224" width="9.5" style="185" bestFit="1" customWidth="1"/>
    <col min="9225" max="9225" width="13.875" style="185" bestFit="1" customWidth="1"/>
    <col min="9226" max="9227" width="11.625" style="185" bestFit="1" customWidth="1"/>
    <col min="9228" max="9228" width="11.375" style="185" bestFit="1" customWidth="1"/>
    <col min="9229" max="9232" width="9" style="185"/>
    <col min="9233" max="9233" width="13.875" style="185" bestFit="1" customWidth="1"/>
    <col min="9234" max="9472" width="9" style="185"/>
    <col min="9473" max="9473" width="13.875" style="185" bestFit="1" customWidth="1"/>
    <col min="9474" max="9475" width="9" style="185"/>
    <col min="9476" max="9478" width="12.625" style="185" bestFit="1" customWidth="1"/>
    <col min="9479" max="9479" width="9" style="185"/>
    <col min="9480" max="9480" width="9.5" style="185" bestFit="1" customWidth="1"/>
    <col min="9481" max="9481" width="13.875" style="185" bestFit="1" customWidth="1"/>
    <col min="9482" max="9483" width="11.625" style="185" bestFit="1" customWidth="1"/>
    <col min="9484" max="9484" width="11.375" style="185" bestFit="1" customWidth="1"/>
    <col min="9485" max="9488" width="9" style="185"/>
    <col min="9489" max="9489" width="13.875" style="185" bestFit="1" customWidth="1"/>
    <col min="9490" max="9728" width="9" style="185"/>
    <col min="9729" max="9729" width="13.875" style="185" bestFit="1" customWidth="1"/>
    <col min="9730" max="9731" width="9" style="185"/>
    <col min="9732" max="9734" width="12.625" style="185" bestFit="1" customWidth="1"/>
    <col min="9735" max="9735" width="9" style="185"/>
    <col min="9736" max="9736" width="9.5" style="185" bestFit="1" customWidth="1"/>
    <col min="9737" max="9737" width="13.875" style="185" bestFit="1" customWidth="1"/>
    <col min="9738" max="9739" width="11.625" style="185" bestFit="1" customWidth="1"/>
    <col min="9740" max="9740" width="11.375" style="185" bestFit="1" customWidth="1"/>
    <col min="9741" max="9744" width="9" style="185"/>
    <col min="9745" max="9745" width="13.875" style="185" bestFit="1" customWidth="1"/>
    <col min="9746" max="9984" width="9" style="185"/>
    <col min="9985" max="9985" width="13.875" style="185" bestFit="1" customWidth="1"/>
    <col min="9986" max="9987" width="9" style="185"/>
    <col min="9988" max="9990" width="12.625" style="185" bestFit="1" customWidth="1"/>
    <col min="9991" max="9991" width="9" style="185"/>
    <col min="9992" max="9992" width="9.5" style="185" bestFit="1" customWidth="1"/>
    <col min="9993" max="9993" width="13.875" style="185" bestFit="1" customWidth="1"/>
    <col min="9994" max="9995" width="11.625" style="185" bestFit="1" customWidth="1"/>
    <col min="9996" max="9996" width="11.375" style="185" bestFit="1" customWidth="1"/>
    <col min="9997" max="10000" width="9" style="185"/>
    <col min="10001" max="10001" width="13.875" style="185" bestFit="1" customWidth="1"/>
    <col min="10002" max="10240" width="9" style="185"/>
    <col min="10241" max="10241" width="13.875" style="185" bestFit="1" customWidth="1"/>
    <col min="10242" max="10243" width="9" style="185"/>
    <col min="10244" max="10246" width="12.625" style="185" bestFit="1" customWidth="1"/>
    <col min="10247" max="10247" width="9" style="185"/>
    <col min="10248" max="10248" width="9.5" style="185" bestFit="1" customWidth="1"/>
    <col min="10249" max="10249" width="13.875" style="185" bestFit="1" customWidth="1"/>
    <col min="10250" max="10251" width="11.625" style="185" bestFit="1" customWidth="1"/>
    <col min="10252" max="10252" width="11.375" style="185" bestFit="1" customWidth="1"/>
    <col min="10253" max="10256" width="9" style="185"/>
    <col min="10257" max="10257" width="13.875" style="185" bestFit="1" customWidth="1"/>
    <col min="10258" max="10496" width="9" style="185"/>
    <col min="10497" max="10497" width="13.875" style="185" bestFit="1" customWidth="1"/>
    <col min="10498" max="10499" width="9" style="185"/>
    <col min="10500" max="10502" width="12.625" style="185" bestFit="1" customWidth="1"/>
    <col min="10503" max="10503" width="9" style="185"/>
    <col min="10504" max="10504" width="9.5" style="185" bestFit="1" customWidth="1"/>
    <col min="10505" max="10505" width="13.875" style="185" bestFit="1" customWidth="1"/>
    <col min="10506" max="10507" width="11.625" style="185" bestFit="1" customWidth="1"/>
    <col min="10508" max="10508" width="11.375" style="185" bestFit="1" customWidth="1"/>
    <col min="10509" max="10512" width="9" style="185"/>
    <col min="10513" max="10513" width="13.875" style="185" bestFit="1" customWidth="1"/>
    <col min="10514" max="10752" width="9" style="185"/>
    <col min="10753" max="10753" width="13.875" style="185" bestFit="1" customWidth="1"/>
    <col min="10754" max="10755" width="9" style="185"/>
    <col min="10756" max="10758" width="12.625" style="185" bestFit="1" customWidth="1"/>
    <col min="10759" max="10759" width="9" style="185"/>
    <col min="10760" max="10760" width="9.5" style="185" bestFit="1" customWidth="1"/>
    <col min="10761" max="10761" width="13.875" style="185" bestFit="1" customWidth="1"/>
    <col min="10762" max="10763" width="11.625" style="185" bestFit="1" customWidth="1"/>
    <col min="10764" max="10764" width="11.375" style="185" bestFit="1" customWidth="1"/>
    <col min="10765" max="10768" width="9" style="185"/>
    <col min="10769" max="10769" width="13.875" style="185" bestFit="1" customWidth="1"/>
    <col min="10770" max="11008" width="9" style="185"/>
    <col min="11009" max="11009" width="13.875" style="185" bestFit="1" customWidth="1"/>
    <col min="11010" max="11011" width="9" style="185"/>
    <col min="11012" max="11014" width="12.625" style="185" bestFit="1" customWidth="1"/>
    <col min="11015" max="11015" width="9" style="185"/>
    <col min="11016" max="11016" width="9.5" style="185" bestFit="1" customWidth="1"/>
    <col min="11017" max="11017" width="13.875" style="185" bestFit="1" customWidth="1"/>
    <col min="11018" max="11019" width="11.625" style="185" bestFit="1" customWidth="1"/>
    <col min="11020" max="11020" width="11.375" style="185" bestFit="1" customWidth="1"/>
    <col min="11021" max="11024" width="9" style="185"/>
    <col min="11025" max="11025" width="13.875" style="185" bestFit="1" customWidth="1"/>
    <col min="11026" max="11264" width="9" style="185"/>
    <col min="11265" max="11265" width="13.875" style="185" bestFit="1" customWidth="1"/>
    <col min="11266" max="11267" width="9" style="185"/>
    <col min="11268" max="11270" width="12.625" style="185" bestFit="1" customWidth="1"/>
    <col min="11271" max="11271" width="9" style="185"/>
    <col min="11272" max="11272" width="9.5" style="185" bestFit="1" customWidth="1"/>
    <col min="11273" max="11273" width="13.875" style="185" bestFit="1" customWidth="1"/>
    <col min="11274" max="11275" width="11.625" style="185" bestFit="1" customWidth="1"/>
    <col min="11276" max="11276" width="11.375" style="185" bestFit="1" customWidth="1"/>
    <col min="11277" max="11280" width="9" style="185"/>
    <col min="11281" max="11281" width="13.875" style="185" bestFit="1" customWidth="1"/>
    <col min="11282" max="11520" width="9" style="185"/>
    <col min="11521" max="11521" width="13.875" style="185" bestFit="1" customWidth="1"/>
    <col min="11522" max="11523" width="9" style="185"/>
    <col min="11524" max="11526" width="12.625" style="185" bestFit="1" customWidth="1"/>
    <col min="11527" max="11527" width="9" style="185"/>
    <col min="11528" max="11528" width="9.5" style="185" bestFit="1" customWidth="1"/>
    <col min="11529" max="11529" width="13.875" style="185" bestFit="1" customWidth="1"/>
    <col min="11530" max="11531" width="11.625" style="185" bestFit="1" customWidth="1"/>
    <col min="11532" max="11532" width="11.375" style="185" bestFit="1" customWidth="1"/>
    <col min="11533" max="11536" width="9" style="185"/>
    <col min="11537" max="11537" width="13.875" style="185" bestFit="1" customWidth="1"/>
    <col min="11538" max="11776" width="9" style="185"/>
    <col min="11777" max="11777" width="13.875" style="185" bestFit="1" customWidth="1"/>
    <col min="11778" max="11779" width="9" style="185"/>
    <col min="11780" max="11782" width="12.625" style="185" bestFit="1" customWidth="1"/>
    <col min="11783" max="11783" width="9" style="185"/>
    <col min="11784" max="11784" width="9.5" style="185" bestFit="1" customWidth="1"/>
    <col min="11785" max="11785" width="13.875" style="185" bestFit="1" customWidth="1"/>
    <col min="11786" max="11787" width="11.625" style="185" bestFit="1" customWidth="1"/>
    <col min="11788" max="11788" width="11.375" style="185" bestFit="1" customWidth="1"/>
    <col min="11789" max="11792" width="9" style="185"/>
    <col min="11793" max="11793" width="13.875" style="185" bestFit="1" customWidth="1"/>
    <col min="11794" max="12032" width="9" style="185"/>
    <col min="12033" max="12033" width="13.875" style="185" bestFit="1" customWidth="1"/>
    <col min="12034" max="12035" width="9" style="185"/>
    <col min="12036" max="12038" width="12.625" style="185" bestFit="1" customWidth="1"/>
    <col min="12039" max="12039" width="9" style="185"/>
    <col min="12040" max="12040" width="9.5" style="185" bestFit="1" customWidth="1"/>
    <col min="12041" max="12041" width="13.875" style="185" bestFit="1" customWidth="1"/>
    <col min="12042" max="12043" width="11.625" style="185" bestFit="1" customWidth="1"/>
    <col min="12044" max="12044" width="11.375" style="185" bestFit="1" customWidth="1"/>
    <col min="12045" max="12048" width="9" style="185"/>
    <col min="12049" max="12049" width="13.875" style="185" bestFit="1" customWidth="1"/>
    <col min="12050" max="12288" width="9" style="185"/>
    <col min="12289" max="12289" width="13.875" style="185" bestFit="1" customWidth="1"/>
    <col min="12290" max="12291" width="9" style="185"/>
    <col min="12292" max="12294" width="12.625" style="185" bestFit="1" customWidth="1"/>
    <col min="12295" max="12295" width="9" style="185"/>
    <col min="12296" max="12296" width="9.5" style="185" bestFit="1" customWidth="1"/>
    <col min="12297" max="12297" width="13.875" style="185" bestFit="1" customWidth="1"/>
    <col min="12298" max="12299" width="11.625" style="185" bestFit="1" customWidth="1"/>
    <col min="12300" max="12300" width="11.375" style="185" bestFit="1" customWidth="1"/>
    <col min="12301" max="12304" width="9" style="185"/>
    <col min="12305" max="12305" width="13.875" style="185" bestFit="1" customWidth="1"/>
    <col min="12306" max="12544" width="9" style="185"/>
    <col min="12545" max="12545" width="13.875" style="185" bestFit="1" customWidth="1"/>
    <col min="12546" max="12547" width="9" style="185"/>
    <col min="12548" max="12550" width="12.625" style="185" bestFit="1" customWidth="1"/>
    <col min="12551" max="12551" width="9" style="185"/>
    <col min="12552" max="12552" width="9.5" style="185" bestFit="1" customWidth="1"/>
    <col min="12553" max="12553" width="13.875" style="185" bestFit="1" customWidth="1"/>
    <col min="12554" max="12555" width="11.625" style="185" bestFit="1" customWidth="1"/>
    <col min="12556" max="12556" width="11.375" style="185" bestFit="1" customWidth="1"/>
    <col min="12557" max="12560" width="9" style="185"/>
    <col min="12561" max="12561" width="13.875" style="185" bestFit="1" customWidth="1"/>
    <col min="12562" max="12800" width="9" style="185"/>
    <col min="12801" max="12801" width="13.875" style="185" bestFit="1" customWidth="1"/>
    <col min="12802" max="12803" width="9" style="185"/>
    <col min="12804" max="12806" width="12.625" style="185" bestFit="1" customWidth="1"/>
    <col min="12807" max="12807" width="9" style="185"/>
    <col min="12808" max="12808" width="9.5" style="185" bestFit="1" customWidth="1"/>
    <col min="12809" max="12809" width="13.875" style="185" bestFit="1" customWidth="1"/>
    <col min="12810" max="12811" width="11.625" style="185" bestFit="1" customWidth="1"/>
    <col min="12812" max="12812" width="11.375" style="185" bestFit="1" customWidth="1"/>
    <col min="12813" max="12816" width="9" style="185"/>
    <col min="12817" max="12817" width="13.875" style="185" bestFit="1" customWidth="1"/>
    <col min="12818" max="13056" width="9" style="185"/>
    <col min="13057" max="13057" width="13.875" style="185" bestFit="1" customWidth="1"/>
    <col min="13058" max="13059" width="9" style="185"/>
    <col min="13060" max="13062" width="12.625" style="185" bestFit="1" customWidth="1"/>
    <col min="13063" max="13063" width="9" style="185"/>
    <col min="13064" max="13064" width="9.5" style="185" bestFit="1" customWidth="1"/>
    <col min="13065" max="13065" width="13.875" style="185" bestFit="1" customWidth="1"/>
    <col min="13066" max="13067" width="11.625" style="185" bestFit="1" customWidth="1"/>
    <col min="13068" max="13068" width="11.375" style="185" bestFit="1" customWidth="1"/>
    <col min="13069" max="13072" width="9" style="185"/>
    <col min="13073" max="13073" width="13.875" style="185" bestFit="1" customWidth="1"/>
    <col min="13074" max="13312" width="9" style="185"/>
    <col min="13313" max="13313" width="13.875" style="185" bestFit="1" customWidth="1"/>
    <col min="13314" max="13315" width="9" style="185"/>
    <col min="13316" max="13318" width="12.625" style="185" bestFit="1" customWidth="1"/>
    <col min="13319" max="13319" width="9" style="185"/>
    <col min="13320" max="13320" width="9.5" style="185" bestFit="1" customWidth="1"/>
    <col min="13321" max="13321" width="13.875" style="185" bestFit="1" customWidth="1"/>
    <col min="13322" max="13323" width="11.625" style="185" bestFit="1" customWidth="1"/>
    <col min="13324" max="13324" width="11.375" style="185" bestFit="1" customWidth="1"/>
    <col min="13325" max="13328" width="9" style="185"/>
    <col min="13329" max="13329" width="13.875" style="185" bestFit="1" customWidth="1"/>
    <col min="13330" max="13568" width="9" style="185"/>
    <col min="13569" max="13569" width="13.875" style="185" bestFit="1" customWidth="1"/>
    <col min="13570" max="13571" width="9" style="185"/>
    <col min="13572" max="13574" width="12.625" style="185" bestFit="1" customWidth="1"/>
    <col min="13575" max="13575" width="9" style="185"/>
    <col min="13576" max="13576" width="9.5" style="185" bestFit="1" customWidth="1"/>
    <col min="13577" max="13577" width="13.875" style="185" bestFit="1" customWidth="1"/>
    <col min="13578" max="13579" width="11.625" style="185" bestFit="1" customWidth="1"/>
    <col min="13580" max="13580" width="11.375" style="185" bestFit="1" customWidth="1"/>
    <col min="13581" max="13584" width="9" style="185"/>
    <col min="13585" max="13585" width="13.875" style="185" bestFit="1" customWidth="1"/>
    <col min="13586" max="13824" width="9" style="185"/>
    <col min="13825" max="13825" width="13.875" style="185" bestFit="1" customWidth="1"/>
    <col min="13826" max="13827" width="9" style="185"/>
    <col min="13828" max="13830" width="12.625" style="185" bestFit="1" customWidth="1"/>
    <col min="13831" max="13831" width="9" style="185"/>
    <col min="13832" max="13832" width="9.5" style="185" bestFit="1" customWidth="1"/>
    <col min="13833" max="13833" width="13.875" style="185" bestFit="1" customWidth="1"/>
    <col min="13834" max="13835" width="11.625" style="185" bestFit="1" customWidth="1"/>
    <col min="13836" max="13836" width="11.375" style="185" bestFit="1" customWidth="1"/>
    <col min="13837" max="13840" width="9" style="185"/>
    <col min="13841" max="13841" width="13.875" style="185" bestFit="1" customWidth="1"/>
    <col min="13842" max="14080" width="9" style="185"/>
    <col min="14081" max="14081" width="13.875" style="185" bestFit="1" customWidth="1"/>
    <col min="14082" max="14083" width="9" style="185"/>
    <col min="14084" max="14086" width="12.625" style="185" bestFit="1" customWidth="1"/>
    <col min="14087" max="14087" width="9" style="185"/>
    <col min="14088" max="14088" width="9.5" style="185" bestFit="1" customWidth="1"/>
    <col min="14089" max="14089" width="13.875" style="185" bestFit="1" customWidth="1"/>
    <col min="14090" max="14091" width="11.625" style="185" bestFit="1" customWidth="1"/>
    <col min="14092" max="14092" width="11.375" style="185" bestFit="1" customWidth="1"/>
    <col min="14093" max="14096" width="9" style="185"/>
    <col min="14097" max="14097" width="13.875" style="185" bestFit="1" customWidth="1"/>
    <col min="14098" max="14336" width="9" style="185"/>
    <col min="14337" max="14337" width="13.875" style="185" bestFit="1" customWidth="1"/>
    <col min="14338" max="14339" width="9" style="185"/>
    <col min="14340" max="14342" width="12.625" style="185" bestFit="1" customWidth="1"/>
    <col min="14343" max="14343" width="9" style="185"/>
    <col min="14344" max="14344" width="9.5" style="185" bestFit="1" customWidth="1"/>
    <col min="14345" max="14345" width="13.875" style="185" bestFit="1" customWidth="1"/>
    <col min="14346" max="14347" width="11.625" style="185" bestFit="1" customWidth="1"/>
    <col min="14348" max="14348" width="11.375" style="185" bestFit="1" customWidth="1"/>
    <col min="14349" max="14352" width="9" style="185"/>
    <col min="14353" max="14353" width="13.875" style="185" bestFit="1" customWidth="1"/>
    <col min="14354" max="14592" width="9" style="185"/>
    <col min="14593" max="14593" width="13.875" style="185" bestFit="1" customWidth="1"/>
    <col min="14594" max="14595" width="9" style="185"/>
    <col min="14596" max="14598" width="12.625" style="185" bestFit="1" customWidth="1"/>
    <col min="14599" max="14599" width="9" style="185"/>
    <col min="14600" max="14600" width="9.5" style="185" bestFit="1" customWidth="1"/>
    <col min="14601" max="14601" width="13.875" style="185" bestFit="1" customWidth="1"/>
    <col min="14602" max="14603" width="11.625" style="185" bestFit="1" customWidth="1"/>
    <col min="14604" max="14604" width="11.375" style="185" bestFit="1" customWidth="1"/>
    <col min="14605" max="14608" width="9" style="185"/>
    <col min="14609" max="14609" width="13.875" style="185" bestFit="1" customWidth="1"/>
    <col min="14610" max="14848" width="9" style="185"/>
    <col min="14849" max="14849" width="13.875" style="185" bestFit="1" customWidth="1"/>
    <col min="14850" max="14851" width="9" style="185"/>
    <col min="14852" max="14854" width="12.625" style="185" bestFit="1" customWidth="1"/>
    <col min="14855" max="14855" width="9" style="185"/>
    <col min="14856" max="14856" width="9.5" style="185" bestFit="1" customWidth="1"/>
    <col min="14857" max="14857" width="13.875" style="185" bestFit="1" customWidth="1"/>
    <col min="14858" max="14859" width="11.625" style="185" bestFit="1" customWidth="1"/>
    <col min="14860" max="14860" width="11.375" style="185" bestFit="1" customWidth="1"/>
    <col min="14861" max="14864" width="9" style="185"/>
    <col min="14865" max="14865" width="13.875" style="185" bestFit="1" customWidth="1"/>
    <col min="14866" max="15104" width="9" style="185"/>
    <col min="15105" max="15105" width="13.875" style="185" bestFit="1" customWidth="1"/>
    <col min="15106" max="15107" width="9" style="185"/>
    <col min="15108" max="15110" width="12.625" style="185" bestFit="1" customWidth="1"/>
    <col min="15111" max="15111" width="9" style="185"/>
    <col min="15112" max="15112" width="9.5" style="185" bestFit="1" customWidth="1"/>
    <col min="15113" max="15113" width="13.875" style="185" bestFit="1" customWidth="1"/>
    <col min="15114" max="15115" width="11.625" style="185" bestFit="1" customWidth="1"/>
    <col min="15116" max="15116" width="11.375" style="185" bestFit="1" customWidth="1"/>
    <col min="15117" max="15120" width="9" style="185"/>
    <col min="15121" max="15121" width="13.875" style="185" bestFit="1" customWidth="1"/>
    <col min="15122" max="15360" width="9" style="185"/>
    <col min="15361" max="15361" width="13.875" style="185" bestFit="1" customWidth="1"/>
    <col min="15362" max="15363" width="9" style="185"/>
    <col min="15364" max="15366" width="12.625" style="185" bestFit="1" customWidth="1"/>
    <col min="15367" max="15367" width="9" style="185"/>
    <col min="15368" max="15368" width="9.5" style="185" bestFit="1" customWidth="1"/>
    <col min="15369" max="15369" width="13.875" style="185" bestFit="1" customWidth="1"/>
    <col min="15370" max="15371" width="11.625" style="185" bestFit="1" customWidth="1"/>
    <col min="15372" max="15372" width="11.375" style="185" bestFit="1" customWidth="1"/>
    <col min="15373" max="15376" width="9" style="185"/>
    <col min="15377" max="15377" width="13.875" style="185" bestFit="1" customWidth="1"/>
    <col min="15378" max="15616" width="9" style="185"/>
    <col min="15617" max="15617" width="13.875" style="185" bestFit="1" customWidth="1"/>
    <col min="15618" max="15619" width="9" style="185"/>
    <col min="15620" max="15622" width="12.625" style="185" bestFit="1" customWidth="1"/>
    <col min="15623" max="15623" width="9" style="185"/>
    <col min="15624" max="15624" width="9.5" style="185" bestFit="1" customWidth="1"/>
    <col min="15625" max="15625" width="13.875" style="185" bestFit="1" customWidth="1"/>
    <col min="15626" max="15627" width="11.625" style="185" bestFit="1" customWidth="1"/>
    <col min="15628" max="15628" width="11.375" style="185" bestFit="1" customWidth="1"/>
    <col min="15629" max="15632" width="9" style="185"/>
    <col min="15633" max="15633" width="13.875" style="185" bestFit="1" customWidth="1"/>
    <col min="15634" max="15872" width="9" style="185"/>
    <col min="15873" max="15873" width="13.875" style="185" bestFit="1" customWidth="1"/>
    <col min="15874" max="15875" width="9" style="185"/>
    <col min="15876" max="15878" width="12.625" style="185" bestFit="1" customWidth="1"/>
    <col min="15879" max="15879" width="9" style="185"/>
    <col min="15880" max="15880" width="9.5" style="185" bestFit="1" customWidth="1"/>
    <col min="15881" max="15881" width="13.875" style="185" bestFit="1" customWidth="1"/>
    <col min="15882" max="15883" width="11.625" style="185" bestFit="1" customWidth="1"/>
    <col min="15884" max="15884" width="11.375" style="185" bestFit="1" customWidth="1"/>
    <col min="15885" max="15888" width="9" style="185"/>
    <col min="15889" max="15889" width="13.875" style="185" bestFit="1" customWidth="1"/>
    <col min="15890" max="16128" width="9" style="185"/>
    <col min="16129" max="16129" width="13.875" style="185" bestFit="1" customWidth="1"/>
    <col min="16130" max="16131" width="9" style="185"/>
    <col min="16132" max="16134" width="12.625" style="185" bestFit="1" customWidth="1"/>
    <col min="16135" max="16135" width="9" style="185"/>
    <col min="16136" max="16136" width="9.5" style="185" bestFit="1" customWidth="1"/>
    <col min="16137" max="16137" width="13.875" style="185" bestFit="1" customWidth="1"/>
    <col min="16138" max="16139" width="11.625" style="185" bestFit="1" customWidth="1"/>
    <col min="16140" max="16140" width="11.375" style="185" bestFit="1" customWidth="1"/>
    <col min="16141" max="16144" width="9" style="185"/>
    <col min="16145" max="16145" width="13.875" style="185" bestFit="1" customWidth="1"/>
    <col min="16146" max="16384" width="9" style="185"/>
  </cols>
  <sheetData>
    <row r="2" spans="1:20" x14ac:dyDescent="0.15">
      <c r="A2" s="201" t="s">
        <v>59</v>
      </c>
      <c r="B2" s="201" t="s">
        <v>35</v>
      </c>
      <c r="C2" s="201" t="s">
        <v>62</v>
      </c>
      <c r="D2" s="201" t="s">
        <v>171</v>
      </c>
      <c r="E2" s="201" t="s">
        <v>172</v>
      </c>
      <c r="F2" s="201" t="s">
        <v>173</v>
      </c>
      <c r="G2" s="201" t="s">
        <v>3</v>
      </c>
      <c r="H2" s="201" t="s">
        <v>174</v>
      </c>
      <c r="I2" s="201" t="s">
        <v>175</v>
      </c>
      <c r="J2" s="201" t="s">
        <v>176</v>
      </c>
      <c r="K2" s="201" t="s">
        <v>177</v>
      </c>
      <c r="L2" s="201" t="s">
        <v>178</v>
      </c>
      <c r="N2" s="201" t="s">
        <v>179</v>
      </c>
      <c r="O2" s="201" t="s">
        <v>180</v>
      </c>
      <c r="P2" s="201" t="s">
        <v>181</v>
      </c>
      <c r="Q2" s="201" t="s">
        <v>182</v>
      </c>
      <c r="R2" s="201" t="s">
        <v>183</v>
      </c>
      <c r="S2" s="201" t="s">
        <v>184</v>
      </c>
      <c r="T2" s="201" t="s">
        <v>185</v>
      </c>
    </row>
    <row r="3" spans="1:20" x14ac:dyDescent="0.15">
      <c r="A3" s="185" t="str">
        <f>水面线计算!B5</f>
        <v>IP0</v>
      </c>
      <c r="B3" s="185">
        <f>IF(C3=0,0,水面线计算!E5)</f>
        <v>0</v>
      </c>
      <c r="C3" s="185">
        <f>水面线计算!F5</f>
        <v>0</v>
      </c>
      <c r="D3" s="185">
        <f>水面线计算!G5</f>
        <v>0</v>
      </c>
      <c r="E3" s="185">
        <f>水面线计算!H5</f>
        <v>0</v>
      </c>
      <c r="F3" s="185">
        <f>水面线计算!I5</f>
        <v>0</v>
      </c>
      <c r="G3" s="185">
        <v>1</v>
      </c>
      <c r="H3" s="185">
        <f>IF(Q3="渡槽",2,IF(Q3="隧洞",3,1))</f>
        <v>1</v>
      </c>
      <c r="I3" s="185">
        <f>IF(H3=1,R3,IF(H3=3,IF(Q3="隧洞",1,2),1))</f>
        <v>3</v>
      </c>
      <c r="J3" s="185">
        <f>IF(COUNTIF(A3,"*进*"),1,IF(COUNTIF(A3,"*出*"),2,0))</f>
        <v>0</v>
      </c>
      <c r="K3" s="185">
        <f>水面线计算!AE5</f>
        <v>0</v>
      </c>
      <c r="L3" s="185">
        <f>水面线计算!Y5</f>
        <v>0</v>
      </c>
      <c r="N3" s="202"/>
      <c r="O3" s="202"/>
      <c r="P3" s="203" t="str">
        <f>IF(J3=0,IF(J2=1,"结构转弯",IF(J1=1,IF(J2=0,"结构转弯",""),"")),"")</f>
        <v/>
      </c>
      <c r="Q3" s="186" t="str">
        <f>IF(COUNTIF(A3,"*隧*"),"隧洞",IF(COUNTIF(A3,"*渡*"),"渡槽",IF(COUNTIF(A3,"*倒*"),"倒虹管",IF(COUNTIF(A3,"*暗*"),"暗渠",IF(COUNTIF(A3,"*分水*"),"分水闸",IF(P3="结构转弯",Q2,IF(COUNTIF(A3,"*泄*"),"泄水闸",A3)))))))</f>
        <v>IP0</v>
      </c>
      <c r="R3" s="185">
        <f>IF(Q3="倒虹管",5,IF(Q3="分水闸",4,IF(Q3="泄水闸",4,S3)))</f>
        <v>3</v>
      </c>
      <c r="S3" s="185">
        <f>IF(O3="矩形渠",2,IF(T3&gt;1,T3,1))</f>
        <v>3</v>
      </c>
      <c r="T3" s="185">
        <v>3</v>
      </c>
    </row>
    <row r="4" spans="1:20" x14ac:dyDescent="0.15">
      <c r="A4" s="185" t="e">
        <f>水面线计算!#REF!</f>
        <v>#REF!</v>
      </c>
      <c r="B4" s="185" t="e">
        <f>IF(C4=0,0,水面线计算!#REF!)</f>
        <v>#REF!</v>
      </c>
      <c r="C4" s="185" t="e">
        <f>水面线计算!#REF!</f>
        <v>#REF!</v>
      </c>
      <c r="D4" s="185" t="e">
        <f>水面线计算!#REF!</f>
        <v>#REF!</v>
      </c>
      <c r="E4" s="185" t="e">
        <f>水面线计算!#REF!</f>
        <v>#REF!</v>
      </c>
      <c r="F4" s="185" t="e">
        <f>水面线计算!#REF!</f>
        <v>#REF!</v>
      </c>
      <c r="G4" s="185">
        <v>1</v>
      </c>
      <c r="H4" s="185" t="e">
        <f t="shared" ref="H4:H67" si="0">IF(Q4="渡槽",2,IF(Q4="隧洞",3,1))</f>
        <v>#REF!</v>
      </c>
      <c r="I4" s="185" t="e">
        <f t="shared" ref="I4:I67" si="1">IF(H4=1,R4,IF(H4=3,IF(Q4="隧洞",1,2),1))</f>
        <v>#REF!</v>
      </c>
      <c r="J4" s="185">
        <f t="shared" ref="J4:J67" si="2">IF(COUNTIF(A4,"*进*"),1,IF(COUNTIF(A4,"*出*"),2,0))</f>
        <v>0</v>
      </c>
      <c r="K4" s="185" t="e">
        <f>水面线计算!#REF!</f>
        <v>#REF!</v>
      </c>
      <c r="L4" s="185" t="e">
        <f>水面线计算!#REF!</f>
        <v>#REF!</v>
      </c>
      <c r="N4" s="201" t="str">
        <f t="shared" ref="N4:N19" si="3">IF(J4=1,IF(O4="矩形渠","",IF(COUNTIF(Q3,"*IP*"),"","补点")),"")</f>
        <v/>
      </c>
      <c r="O4" s="201" t="str">
        <f>IF(J4=1,IF(COUNTIF(Q3,"*IP*"),"",IF(G3=1,IF((D4-F3-([2]断面设计!$T$83+[2]断面设计!$U$83)-12*[2]断面设计!$S$83)&lt;0,"矩形渠",""),IF(G3=2,IF((D4-F3-([2]断面设计!$T$84+[2]断面设计!$U$84)-12*[2]断面设计!$S$84)&lt;0,"矩形渠",""),IF(G3=3,IF((D4-F3-([2]断面设计!$T$85+[2]断面设计!$U$85)-12*[2]断面设计!$S$85)&lt;0,"矩形渠",""),IF(G3=4,IF((D4-F3-([2]断面设计!$T$86+[2]断面设计!$U$86)-12*[2]断面设计!$S$86)&lt;0,"矩形渠",""),0))))),"")</f>
        <v/>
      </c>
      <c r="P4" s="203" t="str">
        <f>IF(J4=0,IF(J3=1,"结构转弯",IF(J2=1,IF(J3=0,"结构转弯",""),"")),"")</f>
        <v/>
      </c>
      <c r="Q4" s="186" t="e">
        <f t="shared" ref="Q4:Q20" si="4">IF(COUNTIF(A4,"*隧*"),"隧洞",IF(COUNTIF(A4,"*渡*"),"渡槽",IF(COUNTIF(A4,"*倒*"),"倒虹管",IF(COUNTIF(A4,"*暗*"),"暗渠",IF(COUNTIF(A4,"*分水*"),"分水闸",IF(P4="结构转弯",Q3,IF(COUNTIF(A4,"*泄*"),"泄水闸",A4)))))))</f>
        <v>#REF!</v>
      </c>
      <c r="R4" s="185" t="e">
        <f t="shared" ref="R4:R67" si="5">IF(Q4="倒虹管",5,IF(Q4="分水闸",4,IF(Q4="泄水闸",4,S4)))</f>
        <v>#REF!</v>
      </c>
      <c r="S4" s="185">
        <f t="shared" ref="S4:S67" si="6">IF(O4="矩形渠",2,IF(T4&gt;1,T4,1))</f>
        <v>3</v>
      </c>
      <c r="T4" s="185">
        <v>3</v>
      </c>
    </row>
    <row r="5" spans="1:20" x14ac:dyDescent="0.15">
      <c r="A5" s="185" t="str">
        <f>水面线计算!B6</f>
        <v>IP1</v>
      </c>
      <c r="B5" s="185">
        <f>IF(C5=0,0,水面线计算!E6)</f>
        <v>10</v>
      </c>
      <c r="C5" s="185">
        <f>水面线计算!F6</f>
        <v>28.047999999999998</v>
      </c>
      <c r="D5" s="185">
        <f>水面线计算!G6</f>
        <v>10.635333971694568</v>
      </c>
      <c r="E5" s="185">
        <f>水面线计算!H6</f>
        <v>13.082983714691416</v>
      </c>
      <c r="F5" s="185">
        <f>水面线计算!I6</f>
        <v>15.530633457688262</v>
      </c>
      <c r="G5" s="185">
        <v>1</v>
      </c>
      <c r="H5" s="185">
        <f t="shared" si="0"/>
        <v>1</v>
      </c>
      <c r="I5" s="185">
        <f t="shared" si="1"/>
        <v>3</v>
      </c>
      <c r="J5" s="185">
        <f t="shared" si="2"/>
        <v>0</v>
      </c>
      <c r="K5" s="185">
        <f>水面线计算!AE6</f>
        <v>0</v>
      </c>
      <c r="L5" s="185">
        <f>水面线计算!Y6</f>
        <v>0</v>
      </c>
      <c r="N5" s="201" t="str">
        <f t="shared" si="3"/>
        <v/>
      </c>
      <c r="O5" s="201" t="str">
        <f>IF(J5=1,IF(COUNTIF(Q4,"*IP*"),"",IF(G4=1,IF((D5-F4-([2]断面设计!$T$83+[2]断面设计!$U$83)-12*[2]断面设计!$S$83)&lt;0,"矩形渠",""),IF(G4=2,IF((D5-F4-([2]断面设计!$T$84+[2]断面设计!$U$84)-12*[2]断面设计!$S$84)&lt;0,"矩形渠",""),IF(G4=3,IF((D5-F4-([2]断面设计!$T$85+[2]断面设计!$U$85)-12*[2]断面设计!$S$85)&lt;0,"矩形渠",""),IF(G4=4,IF((D5-F4-([2]断面设计!$T$86+[2]断面设计!$U$86)-12*[2]断面设计!$S$86)&lt;0,"矩形渠",""),0))))),"")</f>
        <v/>
      </c>
      <c r="P5" s="203" t="str">
        <f t="shared" ref="P5:P19" si="7">IF(J5=0,IF(J4=1,"结构转弯",IF(J3=1,IF(J4=0,"结构转弯",""),"")),"")</f>
        <v/>
      </c>
      <c r="Q5" s="186" t="str">
        <f t="shared" si="4"/>
        <v>IP1</v>
      </c>
      <c r="R5" s="185">
        <f t="shared" si="5"/>
        <v>3</v>
      </c>
      <c r="S5" s="185">
        <f t="shared" si="6"/>
        <v>3</v>
      </c>
      <c r="T5" s="185">
        <v>3</v>
      </c>
    </row>
    <row r="6" spans="1:20" x14ac:dyDescent="0.15">
      <c r="A6" s="185" t="str">
        <f>水面线计算!B7</f>
        <v>IP2</v>
      </c>
      <c r="B6" s="185">
        <f>IF(C6=0,0,水面线计算!E7)</f>
        <v>10</v>
      </c>
      <c r="C6" s="185">
        <f>水面线计算!F7</f>
        <v>17.306000000000001</v>
      </c>
      <c r="D6" s="185">
        <f>水面线计算!G7</f>
        <v>44.274845242587652</v>
      </c>
      <c r="E6" s="185">
        <f>水面线计算!H7</f>
        <v>45.785078644338348</v>
      </c>
      <c r="F6" s="185">
        <f>水面线计算!I7</f>
        <v>47.295312046089037</v>
      </c>
      <c r="G6" s="185">
        <v>1</v>
      </c>
      <c r="H6" s="185">
        <f t="shared" si="0"/>
        <v>1</v>
      </c>
      <c r="I6" s="185">
        <f t="shared" si="1"/>
        <v>3</v>
      </c>
      <c r="J6" s="185">
        <f t="shared" si="2"/>
        <v>0</v>
      </c>
      <c r="K6" s="185">
        <f>水面线计算!AE7</f>
        <v>0</v>
      </c>
      <c r="L6" s="185">
        <f>水面线计算!Y7</f>
        <v>0</v>
      </c>
      <c r="N6" s="201" t="str">
        <f t="shared" si="3"/>
        <v/>
      </c>
      <c r="O6" s="201" t="str">
        <f>IF(J6=1,IF(COUNTIF(Q5,"*IP*"),"",IF(G5=1,IF((D6-F5-([2]断面设计!$T$83+[2]断面设计!$U$83)-12*[2]断面设计!$S$83)&lt;0,"矩形渠",""),IF(G5=2,IF((D6-F5-([2]断面设计!$T$84+[2]断面设计!$U$84)-12*[2]断面设计!$S$84)&lt;0,"矩形渠",""),IF(G5=3,IF((D6-F5-([2]断面设计!$T$85+[2]断面设计!$U$85)-12*[2]断面设计!$S$85)&lt;0,"矩形渠",""),IF(G5=4,IF((D6-F5-([2]断面设计!$T$86+[2]断面设计!$U$86)-12*[2]断面设计!$S$86)&lt;0,"矩形渠",""),0))))),"")</f>
        <v/>
      </c>
      <c r="P6" s="203" t="str">
        <f t="shared" si="7"/>
        <v/>
      </c>
      <c r="Q6" s="186" t="str">
        <f t="shared" si="4"/>
        <v>IP2</v>
      </c>
      <c r="R6" s="185">
        <f t="shared" si="5"/>
        <v>3</v>
      </c>
      <c r="S6" s="185">
        <f t="shared" si="6"/>
        <v>3</v>
      </c>
      <c r="T6" s="185">
        <v>3</v>
      </c>
    </row>
    <row r="7" spans="1:20" x14ac:dyDescent="0.15">
      <c r="A7" s="185" t="str">
        <f>水面线计算!B8</f>
        <v>IP3</v>
      </c>
      <c r="B7" s="185">
        <f>IF(C7=0,0,水面线计算!E8)</f>
        <v>10</v>
      </c>
      <c r="C7" s="185">
        <f>水面线计算!F8</f>
        <v>34.000999999999998</v>
      </c>
      <c r="D7" s="185">
        <f>水面线计算!G8</f>
        <v>119.55114129817177</v>
      </c>
      <c r="E7" s="185">
        <f>水面线计算!H8</f>
        <v>122.51828829302472</v>
      </c>
      <c r="F7" s="185">
        <f>水面线计算!I8</f>
        <v>125.48543528787769</v>
      </c>
      <c r="G7" s="185">
        <v>1</v>
      </c>
      <c r="H7" s="185">
        <f t="shared" si="0"/>
        <v>1</v>
      </c>
      <c r="I7" s="185">
        <f t="shared" si="1"/>
        <v>3</v>
      </c>
      <c r="J7" s="185">
        <f t="shared" si="2"/>
        <v>0</v>
      </c>
      <c r="K7" s="185">
        <f>水面线计算!AE8</f>
        <v>0</v>
      </c>
      <c r="L7" s="185">
        <f>水面线计算!Y8</f>
        <v>0</v>
      </c>
      <c r="N7" s="201" t="str">
        <f t="shared" si="3"/>
        <v/>
      </c>
      <c r="O7" s="201" t="str">
        <f>IF(J7=1,IF(COUNTIF(Q6,"*IP*"),"",IF(G6=1,IF((D7-F6-([2]断面设计!$T$83+[2]断面设计!$U$83)-12*[2]断面设计!$S$83)&lt;0,"矩形渠",""),IF(G6=2,IF((D7-F6-([2]断面设计!$T$84+[2]断面设计!$U$84)-12*[2]断面设计!$S$84)&lt;0,"矩形渠",""),IF(G6=3,IF((D7-F6-([2]断面设计!$T$85+[2]断面设计!$U$85)-12*[2]断面设计!$S$85)&lt;0,"矩形渠",""),IF(G6=4,IF((D7-F6-([2]断面设计!$T$86+[2]断面设计!$U$86)-12*[2]断面设计!$S$86)&lt;0,"矩形渠",""),0))))),"")</f>
        <v/>
      </c>
      <c r="P7" s="203" t="str">
        <f t="shared" si="7"/>
        <v/>
      </c>
      <c r="Q7" s="186" t="str">
        <f t="shared" si="4"/>
        <v>IP3</v>
      </c>
      <c r="R7" s="185">
        <f t="shared" si="5"/>
        <v>3</v>
      </c>
      <c r="S7" s="185">
        <f t="shared" si="6"/>
        <v>3</v>
      </c>
      <c r="T7" s="185">
        <v>3</v>
      </c>
    </row>
    <row r="8" spans="1:20" x14ac:dyDescent="0.15">
      <c r="A8" s="185" t="str">
        <f>水面线计算!B9</f>
        <v>IP4</v>
      </c>
      <c r="B8" s="185">
        <f>IF(C8=0,0,水面线计算!E9)</f>
        <v>10</v>
      </c>
      <c r="C8" s="185">
        <f>水面线计算!F9</f>
        <v>65.007000000000005</v>
      </c>
      <c r="D8" s="185">
        <f>水面线计算!G9</f>
        <v>267.0269457213397</v>
      </c>
      <c r="E8" s="185">
        <f>水面线计算!H9</f>
        <v>272.69987665555948</v>
      </c>
      <c r="F8" s="185">
        <f>水面线计算!I9</f>
        <v>278.37280758977926</v>
      </c>
      <c r="G8" s="185">
        <v>1</v>
      </c>
      <c r="H8" s="185">
        <f t="shared" si="0"/>
        <v>1</v>
      </c>
      <c r="I8" s="185">
        <f t="shared" si="1"/>
        <v>3</v>
      </c>
      <c r="J8" s="185">
        <f t="shared" si="2"/>
        <v>0</v>
      </c>
      <c r="K8" s="185">
        <f>水面线计算!AE9</f>
        <v>0</v>
      </c>
      <c r="L8" s="185">
        <f>水面线计算!Y9</f>
        <v>0</v>
      </c>
      <c r="N8" s="201" t="str">
        <f t="shared" si="3"/>
        <v/>
      </c>
      <c r="O8" s="201" t="str">
        <f>IF(J8=1,IF(COUNTIF(Q7,"*IP*"),"",IF(G7=1,IF((D8-F7-([2]断面设计!$T$83+[2]断面设计!$U$83)-12*[2]断面设计!$S$83)&lt;0,"矩形渠",""),IF(G7=2,IF((D8-F7-([2]断面设计!$T$84+[2]断面设计!$U$84)-12*[2]断面设计!$S$84)&lt;0,"矩形渠",""),IF(G7=3,IF((D8-F7-([2]断面设计!$T$85+[2]断面设计!$U$85)-12*[2]断面设计!$S$85)&lt;0,"矩形渠",""),IF(G7=4,IF((D8-F7-([2]断面设计!$T$86+[2]断面设计!$U$86)-12*[2]断面设计!$S$86)&lt;0,"矩形渠",""),0))))),"")</f>
        <v/>
      </c>
      <c r="P8" s="203" t="str">
        <f t="shared" si="7"/>
        <v/>
      </c>
      <c r="Q8" s="186" t="str">
        <f t="shared" si="4"/>
        <v>IP4</v>
      </c>
      <c r="R8" s="185">
        <f t="shared" si="5"/>
        <v>3</v>
      </c>
      <c r="S8" s="185">
        <f t="shared" si="6"/>
        <v>3</v>
      </c>
      <c r="T8" s="185">
        <v>3</v>
      </c>
    </row>
    <row r="9" spans="1:20" x14ac:dyDescent="0.15">
      <c r="A9" s="185" t="str">
        <f>水面线计算!B10</f>
        <v>IP5</v>
      </c>
      <c r="B9" s="185">
        <f>IF(C9=0,0,水面线计算!E10)</f>
        <v>10</v>
      </c>
      <c r="C9" s="185">
        <f>水面线计算!F10</f>
        <v>94.441999999999993</v>
      </c>
      <c r="D9" s="185">
        <f>水面线计算!G10</f>
        <v>307.39854757643349</v>
      </c>
      <c r="E9" s="185">
        <f>水面线计算!H10</f>
        <v>315.6401668372759</v>
      </c>
      <c r="F9" s="185">
        <f>水面线计算!I10</f>
        <v>323.88178609811831</v>
      </c>
      <c r="G9" s="185">
        <v>1</v>
      </c>
      <c r="H9" s="185">
        <f t="shared" si="0"/>
        <v>1</v>
      </c>
      <c r="I9" s="185">
        <f t="shared" si="1"/>
        <v>3</v>
      </c>
      <c r="J9" s="185">
        <f t="shared" si="2"/>
        <v>0</v>
      </c>
      <c r="K9" s="185">
        <f>水面线计算!AE10</f>
        <v>0</v>
      </c>
      <c r="L9" s="185">
        <f>水面线计算!Y10</f>
        <v>0</v>
      </c>
      <c r="N9" s="201" t="str">
        <f t="shared" si="3"/>
        <v/>
      </c>
      <c r="O9" s="201" t="str">
        <f>IF(J9=1,IF(COUNTIF(Q8,"*IP*"),"",IF(G8=1,IF((D9-F8-([2]断面设计!$T$83+[2]断面设计!$U$83)-12*[2]断面设计!$S$83)&lt;0,"矩形渠",""),IF(G8=2,IF((D9-F8-([2]断面设计!$T$84+[2]断面设计!$U$84)-12*[2]断面设计!$S$84)&lt;0,"矩形渠",""),IF(G8=3,IF((D9-F8-([2]断面设计!$T$85+[2]断面设计!$U$85)-12*[2]断面设计!$S$85)&lt;0,"矩形渠",""),IF(G8=4,IF((D9-F8-([2]断面设计!$T$86+[2]断面设计!$U$86)-12*[2]断面设计!$S$86)&lt;0,"矩形渠",""),0))))),"")</f>
        <v/>
      </c>
      <c r="P9" s="203" t="str">
        <f t="shared" si="7"/>
        <v/>
      </c>
      <c r="Q9" s="186" t="str">
        <f t="shared" si="4"/>
        <v>IP5</v>
      </c>
      <c r="R9" s="185">
        <f t="shared" si="5"/>
        <v>3</v>
      </c>
      <c r="S9" s="185">
        <f t="shared" si="6"/>
        <v>3</v>
      </c>
      <c r="T9" s="185">
        <v>3</v>
      </c>
    </row>
    <row r="10" spans="1:20" x14ac:dyDescent="0.15">
      <c r="A10" s="185" t="str">
        <f>水面线计算!B11</f>
        <v>IP6</v>
      </c>
      <c r="B10" s="185">
        <f>IF(C10=0,0,水面线计算!E11)</f>
        <v>10</v>
      </c>
      <c r="C10" s="185">
        <f>水面线计算!F11</f>
        <v>81.003</v>
      </c>
      <c r="D10" s="185">
        <f>水面线计算!G11</f>
        <v>347.90119834975656</v>
      </c>
      <c r="E10" s="185">
        <f>水面线计算!H11</f>
        <v>354.97004361972137</v>
      </c>
      <c r="F10" s="185">
        <f>水面线计算!I11</f>
        <v>362.03888888968623</v>
      </c>
      <c r="G10" s="185">
        <v>1</v>
      </c>
      <c r="H10" s="185">
        <f t="shared" si="0"/>
        <v>1</v>
      </c>
      <c r="I10" s="185">
        <f t="shared" si="1"/>
        <v>3</v>
      </c>
      <c r="J10" s="185">
        <f t="shared" si="2"/>
        <v>0</v>
      </c>
      <c r="K10" s="185">
        <f>水面线计算!AE11</f>
        <v>0</v>
      </c>
      <c r="L10" s="185">
        <f>水面线计算!Y11</f>
        <v>0</v>
      </c>
      <c r="N10" s="201" t="str">
        <f t="shared" si="3"/>
        <v/>
      </c>
      <c r="O10" s="201" t="str">
        <f>IF(J10=1,IF(COUNTIF(Q9,"*IP*"),"",IF(G9=1,IF((D10-F9-([2]断面设计!$T$83+[2]断面设计!$U$83)-12*[2]断面设计!$S$83)&lt;0,"矩形渠",""),IF(G9=2,IF((D10-F9-([2]断面设计!$T$84+[2]断面设计!$U$84)-12*[2]断面设计!$S$84)&lt;0,"矩形渠",""),IF(G9=3,IF((D10-F9-([2]断面设计!$T$85+[2]断面设计!$U$85)-12*[2]断面设计!$S$85)&lt;0,"矩形渠",""),IF(G9=4,IF((D10-F9-([2]断面设计!$T$86+[2]断面设计!$U$86)-12*[2]断面设计!$S$86)&lt;0,"矩形渠",""),0))))),"")</f>
        <v/>
      </c>
      <c r="P10" s="203" t="str">
        <f t="shared" si="7"/>
        <v/>
      </c>
      <c r="Q10" s="186" t="str">
        <f t="shared" si="4"/>
        <v>IP6</v>
      </c>
      <c r="R10" s="185">
        <f t="shared" si="5"/>
        <v>3</v>
      </c>
      <c r="S10" s="185">
        <f t="shared" si="6"/>
        <v>3</v>
      </c>
      <c r="T10" s="185">
        <v>3</v>
      </c>
    </row>
    <row r="11" spans="1:20" x14ac:dyDescent="0.15">
      <c r="A11" s="185" t="str">
        <f>水面线计算!B12</f>
        <v>IP7</v>
      </c>
      <c r="B11" s="185">
        <f>IF(C11=0,0,水面线计算!E12)</f>
        <v>10</v>
      </c>
      <c r="C11" s="185">
        <f>水面线计算!F12</f>
        <v>29.306999999999999</v>
      </c>
      <c r="D11" s="185">
        <f>水面线计算!G12</f>
        <v>390.28567363753865</v>
      </c>
      <c r="E11" s="185">
        <f>水面线计算!H12</f>
        <v>392.84319185694852</v>
      </c>
      <c r="F11" s="185">
        <f>水面线计算!I12</f>
        <v>395.40071007635845</v>
      </c>
      <c r="G11" s="185">
        <v>1</v>
      </c>
      <c r="H11" s="185">
        <f t="shared" si="0"/>
        <v>1</v>
      </c>
      <c r="I11" s="185">
        <f t="shared" si="1"/>
        <v>3</v>
      </c>
      <c r="J11" s="185">
        <f t="shared" si="2"/>
        <v>0</v>
      </c>
      <c r="K11" s="185">
        <f>水面线计算!AE12</f>
        <v>0</v>
      </c>
      <c r="L11" s="185">
        <f>水面线计算!Y12</f>
        <v>0</v>
      </c>
      <c r="N11" s="201" t="str">
        <f t="shared" si="3"/>
        <v/>
      </c>
      <c r="O11" s="201" t="str">
        <f>IF(J11=1,IF(COUNTIF(Q10,"*IP*"),"",IF(G10=1,IF((D11-F10-([2]断面设计!$T$83+[2]断面设计!$U$83)-12*[2]断面设计!$S$83)&lt;0,"矩形渠",""),IF(G10=2,IF((D11-F10-([2]断面设计!$T$84+[2]断面设计!$U$84)-12*[2]断面设计!$S$84)&lt;0,"矩形渠",""),IF(G10=3,IF((D11-F10-([2]断面设计!$T$85+[2]断面设计!$U$85)-12*[2]断面设计!$S$85)&lt;0,"矩形渠",""),IF(G10=4,IF((D11-F10-([2]断面设计!$T$86+[2]断面设计!$U$86)-12*[2]断面设计!$S$86)&lt;0,"矩形渠",""),0))))),"")</f>
        <v/>
      </c>
      <c r="P11" s="203" t="str">
        <f t="shared" si="7"/>
        <v/>
      </c>
      <c r="Q11" s="186" t="str">
        <f t="shared" si="4"/>
        <v>IP7</v>
      </c>
      <c r="R11" s="185">
        <f t="shared" si="5"/>
        <v>3</v>
      </c>
      <c r="S11" s="185">
        <f t="shared" si="6"/>
        <v>3</v>
      </c>
      <c r="T11" s="185">
        <v>3</v>
      </c>
    </row>
    <row r="12" spans="1:20" x14ac:dyDescent="0.15">
      <c r="A12" s="185" t="str">
        <f>水面线计算!B13</f>
        <v>IP8</v>
      </c>
      <c r="B12" s="185">
        <f>IF(C12=0,0,水面线计算!E13)</f>
        <v>10</v>
      </c>
      <c r="C12" s="185">
        <f>水面线计算!F13</f>
        <v>108.42</v>
      </c>
      <c r="D12" s="185">
        <f>水面线计算!G13</f>
        <v>407.07014620573824</v>
      </c>
      <c r="E12" s="185">
        <f>水面线计算!H13</f>
        <v>416.53157608079948</v>
      </c>
      <c r="F12" s="185">
        <f>水面线计算!I13</f>
        <v>425.99300595586078</v>
      </c>
      <c r="G12" s="185">
        <v>1</v>
      </c>
      <c r="H12" s="185">
        <f t="shared" si="0"/>
        <v>1</v>
      </c>
      <c r="I12" s="185">
        <f t="shared" si="1"/>
        <v>3</v>
      </c>
      <c r="J12" s="185">
        <f t="shared" si="2"/>
        <v>0</v>
      </c>
      <c r="K12" s="185">
        <f>水面线计算!AE13</f>
        <v>0</v>
      </c>
      <c r="L12" s="185">
        <f>水面线计算!Y13</f>
        <v>0</v>
      </c>
      <c r="N12" s="201" t="str">
        <f t="shared" si="3"/>
        <v/>
      </c>
      <c r="O12" s="201" t="str">
        <f>IF(J12=1,IF(COUNTIF(Q11,"*IP*"),"",IF(G11=1,IF((D12-F11-([2]断面设计!$T$83+[2]断面设计!$U$83)-12*[2]断面设计!$S$83)&lt;0,"矩形渠",""),IF(G11=2,IF((D12-F11-([2]断面设计!$T$84+[2]断面设计!$U$84)-12*[2]断面设计!$S$84)&lt;0,"矩形渠",""),IF(G11=3,IF((D12-F11-([2]断面设计!$T$85+[2]断面设计!$U$85)-12*[2]断面设计!$S$85)&lt;0,"矩形渠",""),IF(G11=4,IF((D12-F11-([2]断面设计!$T$86+[2]断面设计!$U$86)-12*[2]断面设计!$S$86)&lt;0,"矩形渠",""),0))))),"")</f>
        <v/>
      </c>
      <c r="P12" s="203" t="str">
        <f t="shared" si="7"/>
        <v/>
      </c>
      <c r="Q12" s="186" t="str">
        <f t="shared" si="4"/>
        <v>IP8</v>
      </c>
      <c r="R12" s="185">
        <f t="shared" si="5"/>
        <v>3</v>
      </c>
      <c r="S12" s="185">
        <f t="shared" si="6"/>
        <v>3</v>
      </c>
      <c r="T12" s="185">
        <v>3</v>
      </c>
    </row>
    <row r="13" spans="1:20" ht="17.100000000000001" customHeight="1" x14ac:dyDescent="0.15">
      <c r="A13" s="185" t="str">
        <f>水面线计算!B14</f>
        <v>IP9</v>
      </c>
      <c r="B13" s="185">
        <f>IF(C13=0,0,水面线计算!E14)</f>
        <v>10</v>
      </c>
      <c r="C13" s="185">
        <f>水面线计算!F14</f>
        <v>61.661999999999999</v>
      </c>
      <c r="D13" s="185">
        <f>水面线计算!G14</f>
        <v>479.69716323983045</v>
      </c>
      <c r="E13" s="185">
        <f>水面线计算!H14</f>
        <v>485.07818785665415</v>
      </c>
      <c r="F13" s="185">
        <f>水面线计算!I14</f>
        <v>490.45921247347786</v>
      </c>
      <c r="G13" s="185">
        <v>1</v>
      </c>
      <c r="H13" s="185">
        <f t="shared" si="0"/>
        <v>1</v>
      </c>
      <c r="I13" s="185">
        <f t="shared" si="1"/>
        <v>3</v>
      </c>
      <c r="J13" s="185">
        <f t="shared" si="2"/>
        <v>0</v>
      </c>
      <c r="K13" s="185">
        <f>水面线计算!AE14</f>
        <v>0</v>
      </c>
      <c r="L13" s="185">
        <f>水面线计算!Y14</f>
        <v>0</v>
      </c>
      <c r="N13" s="201" t="str">
        <f t="shared" si="3"/>
        <v/>
      </c>
      <c r="O13" s="201" t="str">
        <f>IF(J13=1,IF(COUNTIF(Q12,"*IP*"),"",IF(G12=1,IF((D13-F12-([2]断面设计!$T$83+[2]断面设计!$U$83)-12*[2]断面设计!$S$83)&lt;0,"矩形渠",""),IF(G12=2,IF((D13-F12-([2]断面设计!$T$84+[2]断面设计!$U$84)-12*[2]断面设计!$S$84)&lt;0,"矩形渠",""),IF(G12=3,IF((D13-F12-([2]断面设计!$T$85+[2]断面设计!$U$85)-12*[2]断面设计!$S$85)&lt;0,"矩形渠",""),IF(G12=4,IF((D13-F12-([2]断面设计!$T$86+[2]断面设计!$U$86)-12*[2]断面设计!$S$86)&lt;0,"矩形渠",""),0))))),"")</f>
        <v/>
      </c>
      <c r="P13" s="203" t="str">
        <f t="shared" si="7"/>
        <v/>
      </c>
      <c r="Q13" s="186" t="str">
        <f t="shared" si="4"/>
        <v>IP9</v>
      </c>
      <c r="R13" s="185">
        <f t="shared" si="5"/>
        <v>3</v>
      </c>
      <c r="S13" s="185">
        <f t="shared" si="6"/>
        <v>3</v>
      </c>
      <c r="T13" s="185">
        <v>3</v>
      </c>
    </row>
    <row r="14" spans="1:20" x14ac:dyDescent="0.15">
      <c r="A14" s="185" t="str">
        <f>水面线计算!B15</f>
        <v>IP10</v>
      </c>
      <c r="B14" s="185">
        <f>IF(C14=0,0,水面线计算!E15)</f>
        <v>10</v>
      </c>
      <c r="C14" s="185">
        <f>水面线计算!F15</f>
        <v>39.631999999999998</v>
      </c>
      <c r="D14" s="185">
        <f>水面线计算!G15</f>
        <v>511.55654132415441</v>
      </c>
      <c r="E14" s="185">
        <f>水面线计算!H15</f>
        <v>515.01508576990636</v>
      </c>
      <c r="F14" s="185">
        <f>水面线计算!I15</f>
        <v>518.47363021565832</v>
      </c>
      <c r="G14" s="185">
        <v>1</v>
      </c>
      <c r="H14" s="185">
        <f t="shared" si="0"/>
        <v>1</v>
      </c>
      <c r="I14" s="185">
        <f t="shared" si="1"/>
        <v>3</v>
      </c>
      <c r="J14" s="185">
        <f t="shared" si="2"/>
        <v>0</v>
      </c>
      <c r="K14" s="185">
        <f>水面线计算!AE15</f>
        <v>0</v>
      </c>
      <c r="L14" s="185">
        <f>水面线计算!Y15</f>
        <v>0</v>
      </c>
      <c r="N14" s="201" t="str">
        <f t="shared" si="3"/>
        <v/>
      </c>
      <c r="O14" s="201" t="str">
        <f>IF(J14=1,IF(COUNTIF(Q13,"*IP*"),"",IF(G13=1,IF((D14-F13-([2]断面设计!$T$83+[2]断面设计!$U$83)-12*[2]断面设计!$S$83)&lt;0,"矩形渠",""),IF(G13=2,IF((D14-F13-([2]断面设计!$T$84+[2]断面设计!$U$84)-12*[2]断面设计!$S$84)&lt;0,"矩形渠",""),IF(G13=3,IF((D14-F13-([2]断面设计!$T$85+[2]断面设计!$U$85)-12*[2]断面设计!$S$85)&lt;0,"矩形渠",""),IF(G13=4,IF((D14-F13-([2]断面设计!$T$86+[2]断面设计!$U$86)-12*[2]断面设计!$S$86)&lt;0,"矩形渠",""),0))))),"")</f>
        <v/>
      </c>
      <c r="P14" s="203" t="str">
        <f t="shared" si="7"/>
        <v/>
      </c>
      <c r="Q14" s="186" t="str">
        <f t="shared" si="4"/>
        <v>IP10</v>
      </c>
      <c r="R14" s="185">
        <f t="shared" si="5"/>
        <v>3</v>
      </c>
      <c r="S14" s="185">
        <f t="shared" si="6"/>
        <v>3</v>
      </c>
      <c r="T14" s="185">
        <v>3</v>
      </c>
    </row>
    <row r="15" spans="1:20" x14ac:dyDescent="0.15">
      <c r="A15" s="185" t="str">
        <f>水面线计算!B16</f>
        <v>IP11</v>
      </c>
      <c r="B15" s="185">
        <f>IF(C15=0,0,水面线计算!E16)</f>
        <v>10</v>
      </c>
      <c r="C15" s="185">
        <f>水面线计算!F16</f>
        <v>49.905999999999999</v>
      </c>
      <c r="D15" s="185">
        <f>水面线计算!G16</f>
        <v>525.74360454632892</v>
      </c>
      <c r="E15" s="185">
        <f>水面线计算!H16</f>
        <v>530.09872462883038</v>
      </c>
      <c r="F15" s="185">
        <f>水面线计算!I16</f>
        <v>534.45384471133184</v>
      </c>
      <c r="G15" s="185">
        <v>1</v>
      </c>
      <c r="H15" s="185">
        <f t="shared" si="0"/>
        <v>1</v>
      </c>
      <c r="I15" s="185">
        <f t="shared" si="1"/>
        <v>3</v>
      </c>
      <c r="J15" s="185">
        <f t="shared" si="2"/>
        <v>0</v>
      </c>
      <c r="K15" s="185">
        <f>水面线计算!AE16</f>
        <v>0</v>
      </c>
      <c r="L15" s="185">
        <f>水面线计算!Y16</f>
        <v>0</v>
      </c>
      <c r="N15" s="201" t="str">
        <f t="shared" si="3"/>
        <v/>
      </c>
      <c r="O15" s="201" t="str">
        <f>IF(J15=1,IF(COUNTIF(Q14,"*IP*"),"",IF(G14=1,IF((D15-F14-([2]断面设计!$T$83+[2]断面设计!$U$83)-12*[2]断面设计!$S$83)&lt;0,"矩形渠",""),IF(G14=2,IF((D15-F14-([2]断面设计!$T$84+[2]断面设计!$U$84)-12*[2]断面设计!$S$84)&lt;0,"矩形渠",""),IF(G14=3,IF((D15-F14-([2]断面设计!$T$85+[2]断面设计!$U$85)-12*[2]断面设计!$S$85)&lt;0,"矩形渠",""),IF(G14=4,IF((D15-F14-([2]断面设计!$T$86+[2]断面设计!$U$86)-12*[2]断面设计!$S$86)&lt;0,"矩形渠",""),0))))),"")</f>
        <v/>
      </c>
      <c r="P15" s="203" t="str">
        <f t="shared" si="7"/>
        <v/>
      </c>
      <c r="Q15" s="186" t="str">
        <f t="shared" si="4"/>
        <v>IP11</v>
      </c>
      <c r="R15" s="185">
        <f t="shared" si="5"/>
        <v>3</v>
      </c>
      <c r="S15" s="185">
        <f t="shared" si="6"/>
        <v>3</v>
      </c>
      <c r="T15" s="185">
        <v>3</v>
      </c>
    </row>
    <row r="16" spans="1:20" x14ac:dyDescent="0.15">
      <c r="A16" s="185" t="str">
        <f>水面线计算!B17</f>
        <v>IP12</v>
      </c>
      <c r="B16" s="185">
        <f>IF(C16=0,0,水面线计算!E17)</f>
        <v>10</v>
      </c>
      <c r="C16" s="185">
        <f>水面线计算!F17</f>
        <v>34.216000000000001</v>
      </c>
      <c r="D16" s="185">
        <f>水面线计算!G17</f>
        <v>574.00408712895489</v>
      </c>
      <c r="E16" s="185">
        <f>水面线计算!H17</f>
        <v>576.98999641326679</v>
      </c>
      <c r="F16" s="185">
        <f>水面线计算!I17</f>
        <v>579.9759056975787</v>
      </c>
      <c r="G16" s="185">
        <v>1</v>
      </c>
      <c r="H16" s="185">
        <f t="shared" si="0"/>
        <v>1</v>
      </c>
      <c r="I16" s="185">
        <f t="shared" si="1"/>
        <v>3</v>
      </c>
      <c r="J16" s="185">
        <f t="shared" si="2"/>
        <v>0</v>
      </c>
      <c r="K16" s="185">
        <f>水面线计算!AE17</f>
        <v>0</v>
      </c>
      <c r="L16" s="185">
        <f>水面线计算!Y17</f>
        <v>0</v>
      </c>
      <c r="N16" s="201" t="str">
        <f t="shared" si="3"/>
        <v/>
      </c>
      <c r="O16" s="201" t="str">
        <f>IF(J16=1,IF(COUNTIF(Q15,"*IP*"),"",IF(G15=1,IF((D16-F15-([2]断面设计!$T$83+[2]断面设计!$U$83)-12*[2]断面设计!$S$83)&lt;0,"矩形渠",""),IF(G15=2,IF((D16-F15-([2]断面设计!$T$84+[2]断面设计!$U$84)-12*[2]断面设计!$S$84)&lt;0,"矩形渠",""),IF(G15=3,IF((D16-F15-([2]断面设计!$T$85+[2]断面设计!$U$85)-12*[2]断面设计!$S$85)&lt;0,"矩形渠",""),IF(G15=4,IF((D16-F15-([2]断面设计!$T$86+[2]断面设计!$U$86)-12*[2]断面设计!$S$86)&lt;0,"矩形渠",""),0))))),"")</f>
        <v/>
      </c>
      <c r="P16" s="203" t="str">
        <f t="shared" si="7"/>
        <v/>
      </c>
      <c r="Q16" s="186" t="str">
        <f t="shared" si="4"/>
        <v>IP12</v>
      </c>
      <c r="R16" s="185">
        <f t="shared" si="5"/>
        <v>3</v>
      </c>
      <c r="S16" s="185">
        <f t="shared" si="6"/>
        <v>3</v>
      </c>
      <c r="T16" s="185">
        <v>3</v>
      </c>
    </row>
    <row r="17" spans="1:20" x14ac:dyDescent="0.15">
      <c r="A17" s="185" t="str">
        <f>水面线计算!B19</f>
        <v>IP13</v>
      </c>
      <c r="B17" s="185">
        <f>IF(C17=0,0,水面线计算!E19)</f>
        <v>10</v>
      </c>
      <c r="C17" s="185">
        <f>水面线计算!F19</f>
        <v>59.359000000000002</v>
      </c>
      <c r="D17" s="185">
        <f>水面线计算!G19</f>
        <v>622.56039743291365</v>
      </c>
      <c r="E17" s="185">
        <f>水面线计算!H19</f>
        <v>627.74044738637019</v>
      </c>
      <c r="F17" s="185">
        <f>水面线计算!I19</f>
        <v>632.92049733982674</v>
      </c>
      <c r="G17" s="185">
        <v>1</v>
      </c>
      <c r="H17" s="185">
        <f t="shared" si="0"/>
        <v>1</v>
      </c>
      <c r="I17" s="185">
        <f t="shared" si="1"/>
        <v>3</v>
      </c>
      <c r="J17" s="185">
        <f t="shared" si="2"/>
        <v>0</v>
      </c>
      <c r="K17" s="185">
        <f>水面线计算!AE19</f>
        <v>0</v>
      </c>
      <c r="L17" s="185">
        <f>水面线计算!Y19</f>
        <v>0</v>
      </c>
      <c r="N17" s="201" t="str">
        <f t="shared" si="3"/>
        <v/>
      </c>
      <c r="O17" s="201" t="str">
        <f>IF(J17=1,IF(COUNTIF(Q16,"*IP*"),"",IF(G16=1,IF((D17-F16-([2]断面设计!$T$83+[2]断面设计!$U$83)-12*[2]断面设计!$S$83)&lt;0,"矩形渠",""),IF(G16=2,IF((D17-F16-([2]断面设计!$T$84+[2]断面设计!$U$84)-12*[2]断面设计!$S$84)&lt;0,"矩形渠",""),IF(G16=3,IF((D17-F16-([2]断面设计!$T$85+[2]断面设计!$U$85)-12*[2]断面设计!$S$85)&lt;0,"矩形渠",""),IF(G16=4,IF((D17-F16-([2]断面设计!$T$86+[2]断面设计!$U$86)-12*[2]断面设计!$S$86)&lt;0,"矩形渠",""),0))))),"")</f>
        <v/>
      </c>
      <c r="P17" s="203" t="str">
        <f t="shared" si="7"/>
        <v/>
      </c>
      <c r="Q17" s="186" t="str">
        <f t="shared" si="4"/>
        <v>IP13</v>
      </c>
      <c r="R17" s="185">
        <f t="shared" si="5"/>
        <v>3</v>
      </c>
      <c r="S17" s="185">
        <f t="shared" si="6"/>
        <v>3</v>
      </c>
      <c r="T17" s="185">
        <v>3</v>
      </c>
    </row>
    <row r="18" spans="1:20" x14ac:dyDescent="0.15">
      <c r="A18" s="185" t="str">
        <f>水面线计算!B20</f>
        <v>IP14</v>
      </c>
      <c r="B18" s="185">
        <f>IF(C18=0,0,水面线计算!E20)</f>
        <v>10</v>
      </c>
      <c r="C18" s="185">
        <f>水面线计算!F20</f>
        <v>114.583</v>
      </c>
      <c r="D18" s="185">
        <f>水面线计算!G20</f>
        <v>638.96102446220596</v>
      </c>
      <c r="E18" s="185">
        <f>水面线计算!H20</f>
        <v>648.96027754626925</v>
      </c>
      <c r="F18" s="185">
        <f>水面线计算!I20</f>
        <v>658.95953063033255</v>
      </c>
      <c r="G18" s="185">
        <v>1</v>
      </c>
      <c r="H18" s="185">
        <f t="shared" si="0"/>
        <v>1</v>
      </c>
      <c r="I18" s="185">
        <f t="shared" si="1"/>
        <v>3</v>
      </c>
      <c r="J18" s="185">
        <f t="shared" si="2"/>
        <v>0</v>
      </c>
      <c r="K18" s="185">
        <f>水面线计算!AE20</f>
        <v>0</v>
      </c>
      <c r="L18" s="185">
        <f>水面线计算!Y20</f>
        <v>0</v>
      </c>
      <c r="N18" s="201" t="str">
        <f t="shared" si="3"/>
        <v/>
      </c>
      <c r="O18" s="201" t="str">
        <f>IF(J18=1,IF(COUNTIF(Q17,"*IP*"),"",IF(G17=1,IF((D18-F17-([2]断面设计!$T$83+[2]断面设计!$U$83)-12*[2]断面设计!$S$83)&lt;0,"矩形渠",""),IF(G17=2,IF((D18-F17-([2]断面设计!$T$84+[2]断面设计!$U$84)-12*[2]断面设计!$S$84)&lt;0,"矩形渠",""),IF(G17=3,IF((D18-F17-([2]断面设计!$T$85+[2]断面设计!$U$85)-12*[2]断面设计!$S$85)&lt;0,"矩形渠",""),IF(G17=4,IF((D18-F17-([2]断面设计!$T$86+[2]断面设计!$U$86)-12*[2]断面设计!$S$86)&lt;0,"矩形渠",""),0))))),"")</f>
        <v/>
      </c>
      <c r="P18" s="203" t="str">
        <f t="shared" si="7"/>
        <v/>
      </c>
      <c r="Q18" s="186" t="str">
        <f t="shared" si="4"/>
        <v>IP14</v>
      </c>
      <c r="R18" s="185">
        <f t="shared" si="5"/>
        <v>3</v>
      </c>
      <c r="S18" s="185">
        <f t="shared" si="6"/>
        <v>3</v>
      </c>
      <c r="T18" s="185">
        <v>3</v>
      </c>
    </row>
    <row r="19" spans="1:20" x14ac:dyDescent="0.15">
      <c r="A19" s="185" t="str">
        <f>水面线计算!B21</f>
        <v>IP15</v>
      </c>
      <c r="B19" s="185">
        <f>IF(C19=0,0,水面线计算!E21)</f>
        <v>10</v>
      </c>
      <c r="C19" s="185">
        <f>水面线计算!F21</f>
        <v>62.408000000000001</v>
      </c>
      <c r="D19" s="185">
        <f>水面线计算!G21</f>
        <v>690.79805069316023</v>
      </c>
      <c r="E19" s="185">
        <f>水面线计算!H21</f>
        <v>696.24417609108332</v>
      </c>
      <c r="F19" s="185">
        <f>水面线计算!I21</f>
        <v>701.6903014890064</v>
      </c>
      <c r="G19" s="185">
        <v>1</v>
      </c>
      <c r="H19" s="185">
        <f t="shared" si="0"/>
        <v>1</v>
      </c>
      <c r="I19" s="185">
        <f t="shared" si="1"/>
        <v>3</v>
      </c>
      <c r="J19" s="185">
        <f t="shared" si="2"/>
        <v>0</v>
      </c>
      <c r="K19" s="185">
        <f>水面线计算!AE21</f>
        <v>0</v>
      </c>
      <c r="L19" s="185">
        <f>水面线计算!Y21</f>
        <v>0</v>
      </c>
      <c r="N19" s="201" t="str">
        <f t="shared" si="3"/>
        <v/>
      </c>
      <c r="O19" s="201" t="str">
        <f>IF(J19=1,IF(COUNTIF(Q18,"*IP*"),"",IF(G18=1,IF((D19-F18-([2]断面设计!$T$83+[2]断面设计!$U$83)-12*[2]断面设计!$S$83)&lt;0,"矩形渠",""),IF(G18=2,IF((D19-F18-([2]断面设计!$T$84+[2]断面设计!$U$84)-12*[2]断面设计!$S$84)&lt;0,"矩形渠",""),IF(G18=3,IF((D19-F18-([2]断面设计!$T$85+[2]断面设计!$U$85)-12*[2]断面设计!$S$85)&lt;0,"矩形渠",""),IF(G18=4,IF((D19-F18-([2]断面设计!$T$86+[2]断面设计!$U$86)-12*[2]断面设计!$S$86)&lt;0,"矩形渠",""),0))))),"")</f>
        <v/>
      </c>
      <c r="P19" s="203" t="str">
        <f t="shared" si="7"/>
        <v/>
      </c>
      <c r="Q19" s="186" t="str">
        <f t="shared" si="4"/>
        <v>IP15</v>
      </c>
      <c r="R19" s="185">
        <f t="shared" si="5"/>
        <v>3</v>
      </c>
      <c r="S19" s="185">
        <f t="shared" si="6"/>
        <v>3</v>
      </c>
      <c r="T19" s="185">
        <v>3</v>
      </c>
    </row>
    <row r="20" spans="1:20" x14ac:dyDescent="0.15">
      <c r="A20" s="185" t="str">
        <f>水面线计算!B22</f>
        <v>IP16</v>
      </c>
      <c r="B20" s="185">
        <f>IF(C20=0,0,水面线计算!E22)</f>
        <v>10</v>
      </c>
      <c r="C20" s="185">
        <f>水面线计算!F22</f>
        <v>50.216000000000001</v>
      </c>
      <c r="D20" s="185">
        <f>水面线计算!G22</f>
        <v>839.30555047265148</v>
      </c>
      <c r="E20" s="185">
        <f>水面线计算!H22</f>
        <v>843.68772315855881</v>
      </c>
      <c r="F20" s="185">
        <f>水面线计算!I22</f>
        <v>848.06989584446615</v>
      </c>
      <c r="G20" s="185">
        <v>1</v>
      </c>
      <c r="H20" s="185">
        <f t="shared" si="0"/>
        <v>1</v>
      </c>
      <c r="I20" s="185">
        <f t="shared" si="1"/>
        <v>3</v>
      </c>
      <c r="J20" s="185">
        <f t="shared" si="2"/>
        <v>0</v>
      </c>
      <c r="K20" s="185">
        <f>水面线计算!AE22</f>
        <v>0</v>
      </c>
      <c r="L20" s="185">
        <f>水面线计算!Y22</f>
        <v>0</v>
      </c>
      <c r="N20" s="201"/>
      <c r="O20" s="201"/>
      <c r="P20" s="203"/>
      <c r="Q20" s="186" t="str">
        <f t="shared" si="4"/>
        <v>IP16</v>
      </c>
      <c r="R20" s="185">
        <f t="shared" si="5"/>
        <v>3</v>
      </c>
      <c r="S20" s="185">
        <f t="shared" si="6"/>
        <v>3</v>
      </c>
      <c r="T20" s="185">
        <v>3</v>
      </c>
    </row>
    <row r="21" spans="1:20" x14ac:dyDescent="0.15">
      <c r="A21" s="185" t="str">
        <f>水面线计算!B23</f>
        <v>IP17</v>
      </c>
      <c r="B21" s="185">
        <f>IF(C21=0,0,水面线计算!E23)</f>
        <v>10</v>
      </c>
      <c r="C21" s="185">
        <f>水面线计算!F23</f>
        <v>62.91</v>
      </c>
      <c r="D21" s="185">
        <f>水面线计算!G23</f>
        <v>857.66188944005785</v>
      </c>
      <c r="E21" s="185">
        <f>水面线计算!H23</f>
        <v>863.15182260220604</v>
      </c>
      <c r="F21" s="185">
        <f>水面线计算!I23</f>
        <v>868.64175576435423</v>
      </c>
      <c r="G21" s="185">
        <v>1</v>
      </c>
      <c r="H21" s="185">
        <f t="shared" si="0"/>
        <v>1</v>
      </c>
      <c r="I21" s="185">
        <f t="shared" si="1"/>
        <v>3</v>
      </c>
      <c r="J21" s="185">
        <f t="shared" si="2"/>
        <v>0</v>
      </c>
      <c r="K21" s="185">
        <f>水面线计算!AE23</f>
        <v>0</v>
      </c>
      <c r="L21" s="185">
        <f>水面线计算!Y23</f>
        <v>0</v>
      </c>
      <c r="N21" s="201" t="str">
        <f>IF(J21=1,IF(O21="矩形渠","",IF(COUNTIF(Q19,"*IP*"),"","补点")),"")</f>
        <v/>
      </c>
      <c r="O21" s="201" t="str">
        <f>IF(J21=1,IF(COUNTIF(Q19,"*IP*"),"",IF(G19=1,IF((D21-F19-([2]断面设计!$T$83+[2]断面设计!$U$83)-12*[2]断面设计!$S$83)&lt;0,"矩形渠",""),IF(G19=2,IF((D21-F19-([2]断面设计!$T$84+[2]断面设计!$U$84)-12*[2]断面设计!$S$84)&lt;0,"矩形渠",""),IF(G19=3,IF((D21-F19-([2]断面设计!$T$85+[2]断面设计!$U$85)-12*[2]断面设计!$S$85)&lt;0,"矩形渠",""),IF(G19=4,IF((D21-F19-([2]断面设计!$T$86+[2]断面设计!$U$86)-12*[2]断面设计!$S$86)&lt;0,"矩形渠",""),0))))),"")</f>
        <v/>
      </c>
      <c r="P21" s="203" t="str">
        <f>IF(J21=0,IF(J19=1,"结构转弯",IF(J18=1,IF(J19=0,"结构转弯",""),"")),"")</f>
        <v/>
      </c>
      <c r="Q21" s="186" t="str">
        <f>IF(COUNTIF(A21,"*隧*"),"隧洞",IF(COUNTIF(A21,"*渡*"),"渡槽",IF(COUNTIF(A21,"*倒*"),"倒虹管",IF(COUNTIF(A21,"*暗*"),"暗渠",IF(COUNTIF(A21,"*分水*"),"分水闸",IF(P21="结构转弯",Q19,IF(COUNTIF(A21,"*泄*"),"泄水闸",A21)))))))</f>
        <v>IP17</v>
      </c>
      <c r="R21" s="185">
        <f t="shared" si="5"/>
        <v>3</v>
      </c>
      <c r="S21" s="185">
        <f t="shared" si="6"/>
        <v>3</v>
      </c>
      <c r="T21" s="185">
        <v>3</v>
      </c>
    </row>
    <row r="22" spans="1:20" x14ac:dyDescent="0.15">
      <c r="A22" s="185" t="str">
        <f>水面线计算!B24</f>
        <v>IP18</v>
      </c>
      <c r="B22" s="185">
        <f>IF(C22=0,0,水面线计算!E24)</f>
        <v>10</v>
      </c>
      <c r="C22" s="185">
        <f>水面线计算!F24</f>
        <v>17.641999999999999</v>
      </c>
      <c r="D22" s="185">
        <f>水面线计算!G24</f>
        <v>898.29218983460873</v>
      </c>
      <c r="E22" s="185">
        <f>水面线计算!H24</f>
        <v>899.83174476779288</v>
      </c>
      <c r="F22" s="185">
        <f>水面线计算!I24</f>
        <v>901.37129970097715</v>
      </c>
      <c r="G22" s="185">
        <v>1</v>
      </c>
      <c r="H22" s="185">
        <f t="shared" si="0"/>
        <v>1</v>
      </c>
      <c r="I22" s="185">
        <f t="shared" si="1"/>
        <v>3</v>
      </c>
      <c r="J22" s="185">
        <f t="shared" si="2"/>
        <v>0</v>
      </c>
      <c r="K22" s="185">
        <f>水面线计算!AE24</f>
        <v>0</v>
      </c>
      <c r="L22" s="185">
        <f>水面线计算!Y24</f>
        <v>0</v>
      </c>
      <c r="N22" s="201" t="str">
        <f t="shared" ref="N22:N47" si="8">IF(J22=1,IF(O22="矩形渠","",IF(COUNTIF(Q21,"*IP*"),"","补点")),"")</f>
        <v/>
      </c>
      <c r="O22" s="201" t="str">
        <f>IF(J22=1,IF(COUNTIF(Q21,"*IP*"),"",IF(G21=1,IF((D22-F21-([2]断面设计!$T$83+[2]断面设计!$U$83)-12*[2]断面设计!$S$83)&lt;0,"矩形渠",""),IF(G21=2,IF((D22-F21-([2]断面设计!$T$84+[2]断面设计!$U$84)-12*[2]断面设计!$S$84)&lt;0,"矩形渠",""),IF(G21=3,IF((D22-F21-([2]断面设计!$T$85+[2]断面设计!$U$85)-12*[2]断面设计!$S$85)&lt;0,"矩形渠",""),IF(G21=4,IF((D22-F21-([2]断面设计!$T$86+[2]断面设计!$U$86)-12*[2]断面设计!$S$86)&lt;0,"矩形渠",""),0))))),"")</f>
        <v/>
      </c>
      <c r="P22" s="203" t="str">
        <f>IF(J22=0,IF(J21=1,"结构转弯",IF(J19=1,IF(J21=0,"结构转弯",""),"")),"")</f>
        <v/>
      </c>
      <c r="Q22" s="186" t="str">
        <f t="shared" ref="Q22:Q48" si="9">IF(COUNTIF(A22,"*隧*"),"隧洞",IF(COUNTIF(A22,"*渡*"),"渡槽",IF(COUNTIF(A22,"*倒*"),"倒虹管",IF(COUNTIF(A22,"*暗*"),"暗渠",IF(COUNTIF(A22,"*分水*"),"分水闸",IF(P22="结构转弯",Q21,IF(COUNTIF(A22,"*泄*"),"泄水闸",A22)))))))</f>
        <v>IP18</v>
      </c>
      <c r="R22" s="185">
        <f t="shared" si="5"/>
        <v>3</v>
      </c>
      <c r="S22" s="185">
        <f t="shared" si="6"/>
        <v>3</v>
      </c>
      <c r="T22" s="185">
        <v>3</v>
      </c>
    </row>
    <row r="23" spans="1:20" x14ac:dyDescent="0.15">
      <c r="A23" s="185" t="str">
        <f>水面线计算!B25</f>
        <v>IP19</v>
      </c>
      <c r="B23" s="185">
        <f>IF(C23=0,0,水面线计算!E25)</f>
        <v>10</v>
      </c>
      <c r="C23" s="185">
        <f>水面线计算!F25</f>
        <v>7.4210000000000003</v>
      </c>
      <c r="D23" s="185">
        <f>水面线计算!G25</f>
        <v>1047.2447695618639</v>
      </c>
      <c r="E23" s="185">
        <f>水面线计算!H25</f>
        <v>1047.8923739808165</v>
      </c>
      <c r="F23" s="185">
        <f>水面线计算!I25</f>
        <v>1048.5399783997689</v>
      </c>
      <c r="G23" s="185">
        <v>1</v>
      </c>
      <c r="H23" s="185">
        <f t="shared" si="0"/>
        <v>1</v>
      </c>
      <c r="I23" s="185">
        <f t="shared" si="1"/>
        <v>3</v>
      </c>
      <c r="J23" s="185">
        <f t="shared" si="2"/>
        <v>0</v>
      </c>
      <c r="K23" s="185">
        <f>水面线计算!AE25</f>
        <v>0</v>
      </c>
      <c r="L23" s="185">
        <f>水面线计算!Y25</f>
        <v>0</v>
      </c>
      <c r="N23" s="201" t="str">
        <f t="shared" si="8"/>
        <v/>
      </c>
      <c r="O23" s="201" t="str">
        <f>IF(J23=1,IF(COUNTIF(Q22,"*IP*"),"",IF(G22=1,IF((D23-F22-([2]断面设计!$T$83+[2]断面设计!$U$83)-12*[2]断面设计!$S$83)&lt;0,"矩形渠",""),IF(G22=2,IF((D23-F22-([2]断面设计!$T$84+[2]断面设计!$U$84)-12*[2]断面设计!$S$84)&lt;0,"矩形渠",""),IF(G22=3,IF((D23-F22-([2]断面设计!$T$85+[2]断面设计!$U$85)-12*[2]断面设计!$S$85)&lt;0,"矩形渠",""),IF(G22=4,IF((D23-F22-([2]断面设计!$T$86+[2]断面设计!$U$86)-12*[2]断面设计!$S$86)&lt;0,"矩形渠",""),0))))),"")</f>
        <v/>
      </c>
      <c r="P23" s="203" t="str">
        <f t="shared" ref="P23:P47" si="10">IF(J23=0,IF(J22=1,"结构转弯",IF(J21=1,IF(J22=0,"结构转弯",""),"")),"")</f>
        <v/>
      </c>
      <c r="Q23" s="186" t="str">
        <f t="shared" si="9"/>
        <v>IP19</v>
      </c>
      <c r="R23" s="185">
        <f t="shared" si="5"/>
        <v>3</v>
      </c>
      <c r="S23" s="185">
        <f t="shared" si="6"/>
        <v>3</v>
      </c>
      <c r="T23" s="185">
        <v>3</v>
      </c>
    </row>
    <row r="24" spans="1:20" x14ac:dyDescent="0.15">
      <c r="A24" s="185" t="str">
        <f>水面线计算!B26</f>
        <v>IP20</v>
      </c>
      <c r="B24" s="185">
        <f>IF(C24=0,0,水面线计算!E26)</f>
        <v>10</v>
      </c>
      <c r="C24" s="185">
        <f>水面线计算!F26</f>
        <v>76.069000000000003</v>
      </c>
      <c r="D24" s="185">
        <f>水面线计算!G26</f>
        <v>1162.7779033944723</v>
      </c>
      <c r="E24" s="185">
        <f>水面线计算!H26</f>
        <v>1169.4161759379701</v>
      </c>
      <c r="F24" s="185">
        <f>水面线计算!I26</f>
        <v>1176.0544484814679</v>
      </c>
      <c r="G24" s="185">
        <v>1</v>
      </c>
      <c r="H24" s="185">
        <f t="shared" si="0"/>
        <v>1</v>
      </c>
      <c r="I24" s="185">
        <f t="shared" si="1"/>
        <v>3</v>
      </c>
      <c r="J24" s="185">
        <f t="shared" si="2"/>
        <v>0</v>
      </c>
      <c r="K24" s="185">
        <f>水面线计算!AE26</f>
        <v>0</v>
      </c>
      <c r="L24" s="185">
        <f>水面线计算!Y26</f>
        <v>0</v>
      </c>
      <c r="N24" s="201" t="str">
        <f t="shared" si="8"/>
        <v/>
      </c>
      <c r="O24" s="201" t="str">
        <f>IF(J24=1,IF(COUNTIF(Q23,"*IP*"),"",IF(G23=1,IF((D24-F23-([2]断面设计!$T$83+[2]断面设计!$U$83)-12*[2]断面设计!$S$83)&lt;0,"矩形渠",""),IF(G23=2,IF((D24-F23-([2]断面设计!$T$84+[2]断面设计!$U$84)-12*[2]断面设计!$S$84)&lt;0,"矩形渠",""),IF(G23=3,IF((D24-F23-([2]断面设计!$T$85+[2]断面设计!$U$85)-12*[2]断面设计!$S$85)&lt;0,"矩形渠",""),IF(G23=4,IF((D24-F23-([2]断面设计!$T$86+[2]断面设计!$U$86)-12*[2]断面设计!$S$86)&lt;0,"矩形渠",""),0))))),"")</f>
        <v/>
      </c>
      <c r="P24" s="203" t="str">
        <f t="shared" si="10"/>
        <v/>
      </c>
      <c r="Q24" s="186" t="str">
        <f t="shared" si="9"/>
        <v>IP20</v>
      </c>
      <c r="R24" s="185">
        <f t="shared" si="5"/>
        <v>3</v>
      </c>
      <c r="S24" s="185">
        <f t="shared" si="6"/>
        <v>3</v>
      </c>
      <c r="T24" s="185">
        <v>3</v>
      </c>
    </row>
    <row r="25" spans="1:20" x14ac:dyDescent="0.15">
      <c r="A25" s="185" t="str">
        <f>水面线计算!B27</f>
        <v>IP21</v>
      </c>
      <c r="B25" s="185">
        <f>IF(C25=0,0,水面线计算!E27)</f>
        <v>10</v>
      </c>
      <c r="C25" s="185">
        <f>水面线计算!F27</f>
        <v>50.201999999999998</v>
      </c>
      <c r="D25" s="185">
        <f>水面线计算!G27</f>
        <v>1218.3115275559182</v>
      </c>
      <c r="E25" s="185">
        <f>水面线计算!H27</f>
        <v>1222.6924785113492</v>
      </c>
      <c r="F25" s="185">
        <f>水面线计算!I27</f>
        <v>1227.0734294667802</v>
      </c>
      <c r="G25" s="185">
        <v>1</v>
      </c>
      <c r="H25" s="185">
        <f t="shared" si="0"/>
        <v>1</v>
      </c>
      <c r="I25" s="185">
        <f t="shared" si="1"/>
        <v>3</v>
      </c>
      <c r="J25" s="185">
        <f t="shared" si="2"/>
        <v>0</v>
      </c>
      <c r="K25" s="185">
        <f>水面线计算!AE27</f>
        <v>0</v>
      </c>
      <c r="L25" s="185">
        <f>水面线计算!Y27</f>
        <v>0</v>
      </c>
      <c r="N25" s="201" t="str">
        <f t="shared" si="8"/>
        <v/>
      </c>
      <c r="O25" s="201" t="str">
        <f>IF(J25=1,IF(COUNTIF(Q24,"*IP*"),"",IF(G24=1,IF((D25-F24-([2]断面设计!$T$83+[2]断面设计!$U$83)-12*[2]断面设计!$S$83)&lt;0,"矩形渠",""),IF(G24=2,IF((D25-F24-([2]断面设计!$T$84+[2]断面设计!$U$84)-12*[2]断面设计!$S$84)&lt;0,"矩形渠",""),IF(G24=3,IF((D25-F24-([2]断面设计!$T$85+[2]断面设计!$U$85)-12*[2]断面设计!$S$85)&lt;0,"矩形渠",""),IF(G24=4,IF((D25-F24-([2]断面设计!$T$86+[2]断面设计!$U$86)-12*[2]断面设计!$S$86)&lt;0,"矩形渠",""),0))))),"")</f>
        <v/>
      </c>
      <c r="P25" s="203" t="str">
        <f t="shared" si="10"/>
        <v/>
      </c>
      <c r="Q25" s="186" t="str">
        <f t="shared" si="9"/>
        <v>IP21</v>
      </c>
      <c r="R25" s="185">
        <f t="shared" si="5"/>
        <v>3</v>
      </c>
      <c r="S25" s="185">
        <f t="shared" si="6"/>
        <v>3</v>
      </c>
      <c r="T25" s="185">
        <v>3</v>
      </c>
    </row>
    <row r="26" spans="1:20" x14ac:dyDescent="0.15">
      <c r="A26" s="185" t="str">
        <f>水面线计算!B28</f>
        <v>1#倒进</v>
      </c>
      <c r="B26" s="185">
        <f>IF(C26=0,0,水面线计算!E28)</f>
        <v>0</v>
      </c>
      <c r="C26" s="185">
        <f>水面线计算!F28</f>
        <v>0</v>
      </c>
      <c r="D26" s="185">
        <f>水面线计算!G28</f>
        <v>1269.312462340293</v>
      </c>
      <c r="E26" s="185">
        <f>水面线计算!H28</f>
        <v>1269.312462340293</v>
      </c>
      <c r="F26" s="185">
        <f>水面线计算!I28</f>
        <v>1269.312462340293</v>
      </c>
      <c r="G26" s="185">
        <v>1</v>
      </c>
      <c r="H26" s="185">
        <f t="shared" si="0"/>
        <v>1</v>
      </c>
      <c r="I26" s="185">
        <f t="shared" si="1"/>
        <v>5</v>
      </c>
      <c r="J26" s="185">
        <f t="shared" si="2"/>
        <v>1</v>
      </c>
      <c r="K26" s="185">
        <f>水面线计算!AE28</f>
        <v>0</v>
      </c>
      <c r="L26" s="185">
        <f>水面线计算!Y28</f>
        <v>0</v>
      </c>
      <c r="N26" s="201" t="str">
        <f t="shared" si="8"/>
        <v/>
      </c>
      <c r="O26" s="201" t="str">
        <f>IF(J26=1,IF(COUNTIF(Q25,"*IP*"),"",IF(G25=1,IF((D26-F25-([2]断面设计!$T$83+[2]断面设计!$U$83)-12*[2]断面设计!$S$83)&lt;0,"矩形渠",""),IF(G25=2,IF((D26-F25-([2]断面设计!$T$84+[2]断面设计!$U$84)-12*[2]断面设计!$S$84)&lt;0,"矩形渠",""),IF(G25=3,IF((D26-F25-([2]断面设计!$T$85+[2]断面设计!$U$85)-12*[2]断面设计!$S$85)&lt;0,"矩形渠",""),IF(G25=4,IF((D26-F25-([2]断面设计!$T$86+[2]断面设计!$U$86)-12*[2]断面设计!$S$86)&lt;0,"矩形渠",""),0))))),"")</f>
        <v/>
      </c>
      <c r="P26" s="203" t="str">
        <f t="shared" si="10"/>
        <v/>
      </c>
      <c r="Q26" s="186" t="str">
        <f t="shared" si="9"/>
        <v>倒虹管</v>
      </c>
      <c r="R26" s="185">
        <f t="shared" si="5"/>
        <v>5</v>
      </c>
      <c r="S26" s="185">
        <f t="shared" si="6"/>
        <v>3</v>
      </c>
      <c r="T26" s="185">
        <v>3</v>
      </c>
    </row>
    <row r="27" spans="1:20" x14ac:dyDescent="0.15">
      <c r="A27" s="185" t="str">
        <f>水面线计算!B29</f>
        <v>IP22</v>
      </c>
      <c r="B27" s="185">
        <f>IF(C27=0,0,水面线计算!E29)</f>
        <v>2.4</v>
      </c>
      <c r="C27" s="185">
        <f>水面线计算!F29</f>
        <v>28.937000000000001</v>
      </c>
      <c r="D27" s="185">
        <f>水面线计算!G29</f>
        <v>1296.2735504239454</v>
      </c>
      <c r="E27" s="185">
        <f>水面线计算!H29</f>
        <v>1296.879605534725</v>
      </c>
      <c r="F27" s="185">
        <f>水面线计算!I29</f>
        <v>1297.4856606455044</v>
      </c>
      <c r="G27" s="185">
        <v>1</v>
      </c>
      <c r="H27" s="185">
        <f t="shared" si="0"/>
        <v>1</v>
      </c>
      <c r="I27" s="185">
        <f t="shared" si="1"/>
        <v>5</v>
      </c>
      <c r="J27" s="185">
        <f t="shared" si="2"/>
        <v>0</v>
      </c>
      <c r="K27" s="185">
        <f>水面线计算!AE29</f>
        <v>0</v>
      </c>
      <c r="L27" s="185">
        <f>水面线计算!Y29</f>
        <v>0</v>
      </c>
      <c r="N27" s="201" t="str">
        <f t="shared" si="8"/>
        <v/>
      </c>
      <c r="O27" s="201" t="str">
        <f>IF(J27=1,IF(COUNTIF(Q26,"*IP*"),"",IF(G26=1,IF((D27-F26-([2]断面设计!$T$83+[2]断面设计!$U$83)-12*[2]断面设计!$S$83)&lt;0,"矩形渠",""),IF(G26=2,IF((D27-F26-([2]断面设计!$T$84+[2]断面设计!$U$84)-12*[2]断面设计!$S$84)&lt;0,"矩形渠",""),IF(G26=3,IF((D27-F26-([2]断面设计!$T$85+[2]断面设计!$U$85)-12*[2]断面设计!$S$85)&lt;0,"矩形渠",""),IF(G26=4,IF((D27-F26-([2]断面设计!$T$86+[2]断面设计!$U$86)-12*[2]断面设计!$S$86)&lt;0,"矩形渠",""),0))))),"")</f>
        <v/>
      </c>
      <c r="P27" s="203" t="str">
        <f t="shared" si="10"/>
        <v>结构转弯</v>
      </c>
      <c r="Q27" s="186" t="str">
        <f t="shared" si="9"/>
        <v>倒虹管</v>
      </c>
      <c r="R27" s="185">
        <f t="shared" si="5"/>
        <v>5</v>
      </c>
      <c r="S27" s="185">
        <f t="shared" si="6"/>
        <v>3</v>
      </c>
      <c r="T27" s="185">
        <v>3</v>
      </c>
    </row>
    <row r="28" spans="1:20" x14ac:dyDescent="0.15">
      <c r="A28" s="185" t="str">
        <f>水面线计算!B30</f>
        <v>IP23</v>
      </c>
      <c r="B28" s="185">
        <f>IF(C28=0,0,水面线计算!E30)</f>
        <v>2.4</v>
      </c>
      <c r="C28" s="185">
        <f>水面线计算!F30</f>
        <v>85.268000000000001</v>
      </c>
      <c r="D28" s="185">
        <f>水面线计算!G30</f>
        <v>1642.5755298739725</v>
      </c>
      <c r="E28" s="185">
        <f>水面线计算!H30</f>
        <v>1644.3613786898811</v>
      </c>
      <c r="F28" s="185">
        <f>水面线计算!I30</f>
        <v>1646.1472275057897</v>
      </c>
      <c r="G28" s="185">
        <v>1</v>
      </c>
      <c r="H28" s="185">
        <f t="shared" si="0"/>
        <v>1</v>
      </c>
      <c r="I28" s="185">
        <f t="shared" si="1"/>
        <v>5</v>
      </c>
      <c r="J28" s="185">
        <f t="shared" si="2"/>
        <v>0</v>
      </c>
      <c r="K28" s="185">
        <f>水面线计算!AE30</f>
        <v>0</v>
      </c>
      <c r="L28" s="185">
        <f>水面线计算!Y30</f>
        <v>0</v>
      </c>
      <c r="N28" s="201" t="str">
        <f t="shared" si="8"/>
        <v/>
      </c>
      <c r="O28" s="201" t="str">
        <f>IF(J28=1,IF(COUNTIF(Q27,"*IP*"),"",IF(G27=1,IF((D28-F27-([2]断面设计!$T$83+[2]断面设计!$U$83)-12*[2]断面设计!$S$83)&lt;0,"矩形渠",""),IF(G27=2,IF((D28-F27-([2]断面设计!$T$84+[2]断面设计!$U$84)-12*[2]断面设计!$S$84)&lt;0,"矩形渠",""),IF(G27=3,IF((D28-F27-([2]断面设计!$T$85+[2]断面设计!$U$85)-12*[2]断面设计!$S$85)&lt;0,"矩形渠",""),IF(G27=4,IF((D28-F27-([2]断面设计!$T$86+[2]断面设计!$U$86)-12*[2]断面设计!$S$86)&lt;0,"矩形渠",""),0))))),"")</f>
        <v/>
      </c>
      <c r="P28" s="203" t="str">
        <f t="shared" si="10"/>
        <v>结构转弯</v>
      </c>
      <c r="Q28" s="186" t="str">
        <f t="shared" si="9"/>
        <v>倒虹管</v>
      </c>
      <c r="R28" s="185">
        <f t="shared" si="5"/>
        <v>5</v>
      </c>
      <c r="S28" s="185">
        <f t="shared" si="6"/>
        <v>3</v>
      </c>
      <c r="T28" s="185">
        <v>3</v>
      </c>
    </row>
    <row r="29" spans="1:20" x14ac:dyDescent="0.15">
      <c r="A29" s="185" t="str">
        <f>水面线计算!B31</f>
        <v>1#倒出</v>
      </c>
      <c r="B29" s="185">
        <f>IF(C29=0,0,水面线计算!E31)</f>
        <v>0</v>
      </c>
      <c r="C29" s="185">
        <f>水面线计算!F31</f>
        <v>0</v>
      </c>
      <c r="D29" s="185">
        <f>水面线计算!G31</f>
        <v>1672.5492409974554</v>
      </c>
      <c r="E29" s="185">
        <f>水面线计算!H31</f>
        <v>1672.5492409974554</v>
      </c>
      <c r="F29" s="185">
        <f>水面线计算!I31</f>
        <v>1672.5492409974554</v>
      </c>
      <c r="G29" s="185">
        <v>1</v>
      </c>
      <c r="H29" s="185">
        <f t="shared" si="0"/>
        <v>1</v>
      </c>
      <c r="I29" s="185">
        <f t="shared" si="1"/>
        <v>5</v>
      </c>
      <c r="J29" s="185">
        <f t="shared" si="2"/>
        <v>2</v>
      </c>
      <c r="K29" s="185">
        <f>水面线计算!AE31</f>
        <v>0</v>
      </c>
      <c r="L29" s="185">
        <f>水面线计算!Y31</f>
        <v>1.03</v>
      </c>
      <c r="N29" s="201" t="str">
        <f t="shared" si="8"/>
        <v/>
      </c>
      <c r="O29" s="201" t="str">
        <f>IF(J29=1,IF(COUNTIF(Q28,"*IP*"),"",IF(G28=1,IF((D29-F28-([2]断面设计!$T$83+[2]断面设计!$U$83)-12*[2]断面设计!$S$83)&lt;0,"矩形渠",""),IF(G28=2,IF((D29-F28-([2]断面设计!$T$84+[2]断面设计!$U$84)-12*[2]断面设计!$S$84)&lt;0,"矩形渠",""),IF(G28=3,IF((D29-F28-([2]断面设计!$T$85+[2]断面设计!$U$85)-12*[2]断面设计!$S$85)&lt;0,"矩形渠",""),IF(G28=4,IF((D29-F28-([2]断面设计!$T$86+[2]断面设计!$U$86)-12*[2]断面设计!$S$86)&lt;0,"矩形渠",""),0))))),"")</f>
        <v/>
      </c>
      <c r="P29" s="203" t="str">
        <f t="shared" si="10"/>
        <v/>
      </c>
      <c r="Q29" s="186" t="str">
        <f t="shared" si="9"/>
        <v>倒虹管</v>
      </c>
      <c r="R29" s="185">
        <f t="shared" si="5"/>
        <v>5</v>
      </c>
      <c r="S29" s="185">
        <f t="shared" si="6"/>
        <v>3</v>
      </c>
      <c r="T29" s="185">
        <v>3</v>
      </c>
    </row>
    <row r="30" spans="1:20" x14ac:dyDescent="0.15">
      <c r="A30" s="185" t="str">
        <f>水面线计算!B32</f>
        <v>IP24</v>
      </c>
      <c r="B30" s="185">
        <f>IF(C30=0,0,水面线计算!E32)</f>
        <v>10</v>
      </c>
      <c r="C30" s="185">
        <f>水面线计算!F32</f>
        <v>11.305</v>
      </c>
      <c r="D30" s="185">
        <f>水面线计算!G32</f>
        <v>1706.0324671627793</v>
      </c>
      <c r="E30" s="185">
        <f>水面线计算!H32</f>
        <v>1707.0190145224692</v>
      </c>
      <c r="F30" s="185">
        <f>水面线计算!I32</f>
        <v>1708.0055618821589</v>
      </c>
      <c r="G30" s="185">
        <v>1</v>
      </c>
      <c r="H30" s="185">
        <f t="shared" si="0"/>
        <v>1</v>
      </c>
      <c r="I30" s="185">
        <f t="shared" si="1"/>
        <v>3</v>
      </c>
      <c r="J30" s="185">
        <f t="shared" si="2"/>
        <v>0</v>
      </c>
      <c r="K30" s="185">
        <f>水面线计算!AE32</f>
        <v>0</v>
      </c>
      <c r="L30" s="185">
        <f>水面线计算!Y32</f>
        <v>0</v>
      </c>
      <c r="N30" s="201" t="str">
        <f t="shared" si="8"/>
        <v/>
      </c>
      <c r="O30" s="201" t="str">
        <f>IF(J30=1,IF(COUNTIF(Q29,"*IP*"),"",IF(G29=1,IF((D30-F29-([2]断面设计!$T$83+[2]断面设计!$U$83)-12*[2]断面设计!$S$83)&lt;0,"矩形渠",""),IF(G29=2,IF((D30-F29-([2]断面设计!$T$84+[2]断面设计!$U$84)-12*[2]断面设计!$S$84)&lt;0,"矩形渠",""),IF(G29=3,IF((D30-F29-([2]断面设计!$T$85+[2]断面设计!$U$85)-12*[2]断面设计!$S$85)&lt;0,"矩形渠",""),IF(G29=4,IF((D30-F29-([2]断面设计!$T$86+[2]断面设计!$U$86)-12*[2]断面设计!$S$86)&lt;0,"矩形渠",""),0))))),"")</f>
        <v/>
      </c>
      <c r="P30" s="203" t="str">
        <f t="shared" si="10"/>
        <v/>
      </c>
      <c r="Q30" s="186" t="str">
        <f t="shared" si="9"/>
        <v>IP24</v>
      </c>
      <c r="R30" s="185">
        <f t="shared" si="5"/>
        <v>3</v>
      </c>
      <c r="S30" s="185">
        <f t="shared" si="6"/>
        <v>3</v>
      </c>
      <c r="T30" s="185">
        <v>3</v>
      </c>
    </row>
    <row r="31" spans="1:20" x14ac:dyDescent="0.15">
      <c r="A31" s="185" t="str">
        <f>水面线计算!B33</f>
        <v>IP25</v>
      </c>
      <c r="B31" s="185">
        <f>IF(C31=0,0,水面线计算!E33)</f>
        <v>10</v>
      </c>
      <c r="C31" s="185">
        <f>水面线计算!F33</f>
        <v>30.234000000000002</v>
      </c>
      <c r="D31" s="185">
        <f>水面线计算!G33</f>
        <v>1723.5715433953685</v>
      </c>
      <c r="E31" s="185">
        <f>水面线计算!H33</f>
        <v>1726.2099576256082</v>
      </c>
      <c r="F31" s="185">
        <f>水面线计算!I33</f>
        <v>1728.8483718558482</v>
      </c>
      <c r="G31" s="185">
        <v>1</v>
      </c>
      <c r="H31" s="185">
        <f t="shared" si="0"/>
        <v>1</v>
      </c>
      <c r="I31" s="185">
        <f t="shared" si="1"/>
        <v>3</v>
      </c>
      <c r="J31" s="185">
        <f t="shared" si="2"/>
        <v>0</v>
      </c>
      <c r="K31" s="185">
        <f>水面线计算!AE33</f>
        <v>0</v>
      </c>
      <c r="L31" s="185">
        <f>水面线计算!Y33</f>
        <v>0</v>
      </c>
      <c r="N31" s="201" t="str">
        <f t="shared" si="8"/>
        <v/>
      </c>
      <c r="O31" s="201" t="str">
        <f>IF(J31=1,IF(COUNTIF(Q30,"*IP*"),"",IF(G30=1,IF((D31-F30-([2]断面设计!$T$83+[2]断面设计!$U$83)-12*[2]断面设计!$S$83)&lt;0,"矩形渠",""),IF(G30=2,IF((D31-F30-([2]断面设计!$T$84+[2]断面设计!$U$84)-12*[2]断面设计!$S$84)&lt;0,"矩形渠",""),IF(G30=3,IF((D31-F30-([2]断面设计!$T$85+[2]断面设计!$U$85)-12*[2]断面设计!$S$85)&lt;0,"矩形渠",""),IF(G30=4,IF((D31-F30-([2]断面设计!$T$86+[2]断面设计!$U$86)-12*[2]断面设计!$S$86)&lt;0,"矩形渠",""),0))))),"")</f>
        <v/>
      </c>
      <c r="P31" s="203" t="str">
        <f t="shared" si="10"/>
        <v/>
      </c>
      <c r="Q31" s="186" t="str">
        <f t="shared" si="9"/>
        <v>IP25</v>
      </c>
      <c r="R31" s="185">
        <f t="shared" si="5"/>
        <v>3</v>
      </c>
      <c r="S31" s="185">
        <f t="shared" si="6"/>
        <v>3</v>
      </c>
      <c r="T31" s="185">
        <v>3</v>
      </c>
    </row>
    <row r="32" spans="1:20" x14ac:dyDescent="0.15">
      <c r="A32" s="185" t="str">
        <f>水面线计算!B34</f>
        <v>IP26</v>
      </c>
      <c r="B32" s="185">
        <f>IF(C32=0,0,水面线计算!E34)</f>
        <v>10</v>
      </c>
      <c r="C32" s="185">
        <f>水面线计算!F34</f>
        <v>69.191000000000003</v>
      </c>
      <c r="D32" s="185">
        <f>水面线计算!G34</f>
        <v>1767.8259767055533</v>
      </c>
      <c r="E32" s="185">
        <f>水面线计算!H34</f>
        <v>1773.8640305192903</v>
      </c>
      <c r="F32" s="185">
        <f>水面线计算!I34</f>
        <v>1779.9020843330272</v>
      </c>
      <c r="G32" s="185">
        <v>1</v>
      </c>
      <c r="H32" s="185">
        <f t="shared" si="0"/>
        <v>1</v>
      </c>
      <c r="I32" s="185">
        <f t="shared" si="1"/>
        <v>3</v>
      </c>
      <c r="J32" s="185">
        <f t="shared" si="2"/>
        <v>0</v>
      </c>
      <c r="K32" s="185">
        <f>水面线计算!AE34</f>
        <v>0</v>
      </c>
      <c r="L32" s="185">
        <f>水面线计算!Y34</f>
        <v>0</v>
      </c>
      <c r="N32" s="201" t="str">
        <f t="shared" si="8"/>
        <v/>
      </c>
      <c r="O32" s="201" t="str">
        <f>IF(J32=1,IF(COUNTIF(Q31,"*IP*"),"",IF(G31=1,IF((D32-F31-([2]断面设计!$T$83+[2]断面设计!$U$83)-12*[2]断面设计!$S$83)&lt;0,"矩形渠",""),IF(G31=2,IF((D32-F31-([2]断面设计!$T$84+[2]断面设计!$U$84)-12*[2]断面设计!$S$84)&lt;0,"矩形渠",""),IF(G31=3,IF((D32-F31-([2]断面设计!$T$85+[2]断面设计!$U$85)-12*[2]断面设计!$S$85)&lt;0,"矩形渠",""),IF(G31=4,IF((D32-F31-([2]断面设计!$T$86+[2]断面设计!$U$86)-12*[2]断面设计!$S$86)&lt;0,"矩形渠",""),0))))),"")</f>
        <v/>
      </c>
      <c r="P32" s="203" t="str">
        <f t="shared" si="10"/>
        <v/>
      </c>
      <c r="Q32" s="186" t="str">
        <f t="shared" si="9"/>
        <v>IP26</v>
      </c>
      <c r="R32" s="185">
        <f t="shared" si="5"/>
        <v>3</v>
      </c>
      <c r="S32" s="185">
        <f t="shared" si="6"/>
        <v>3</v>
      </c>
      <c r="T32" s="185">
        <v>3</v>
      </c>
    </row>
    <row r="33" spans="1:20" x14ac:dyDescent="0.15">
      <c r="A33" s="185" t="str">
        <f>水面线计算!B36</f>
        <v>IP27</v>
      </c>
      <c r="B33" s="185">
        <f>IF(C33=0,0,水面线计算!E36)</f>
        <v>10</v>
      </c>
      <c r="C33" s="185">
        <f>水面线计算!F36</f>
        <v>135.37299999999999</v>
      </c>
      <c r="D33" s="185">
        <f>水面线计算!G36</f>
        <v>1802.4392507562372</v>
      </c>
      <c r="E33" s="185">
        <f>水面线计算!H36</f>
        <v>1814.2527735977487</v>
      </c>
      <c r="F33" s="185">
        <f>水面线计算!I36</f>
        <v>1826.06629643926</v>
      </c>
      <c r="G33" s="185">
        <v>1</v>
      </c>
      <c r="H33" s="185">
        <f t="shared" si="0"/>
        <v>1</v>
      </c>
      <c r="I33" s="185">
        <f t="shared" si="1"/>
        <v>3</v>
      </c>
      <c r="J33" s="185">
        <f t="shared" si="2"/>
        <v>0</v>
      </c>
      <c r="K33" s="185">
        <f>水面线计算!AE36</f>
        <v>0</v>
      </c>
      <c r="L33" s="185">
        <f>水面线计算!Y36</f>
        <v>0</v>
      </c>
      <c r="N33" s="201" t="str">
        <f t="shared" si="8"/>
        <v/>
      </c>
      <c r="O33" s="201" t="str">
        <f>IF(J33=1,IF(COUNTIF(Q32,"*IP*"),"",IF(G32=1,IF((D33-F32-([2]断面设计!$T$83+[2]断面设计!$U$83)-12*[2]断面设计!$S$83)&lt;0,"矩形渠",""),IF(G32=2,IF((D33-F32-([2]断面设计!$T$84+[2]断面设计!$U$84)-12*[2]断面设计!$S$84)&lt;0,"矩形渠",""),IF(G32=3,IF((D33-F32-([2]断面设计!$T$85+[2]断面设计!$U$85)-12*[2]断面设计!$S$85)&lt;0,"矩形渠",""),IF(G32=4,IF((D33-F32-([2]断面设计!$T$86+[2]断面设计!$U$86)-12*[2]断面设计!$S$86)&lt;0,"矩形渠",""),0))))),"")</f>
        <v/>
      </c>
      <c r="P33" s="203" t="str">
        <f t="shared" si="10"/>
        <v/>
      </c>
      <c r="Q33" s="186" t="str">
        <f t="shared" si="9"/>
        <v>IP27</v>
      </c>
      <c r="R33" s="185">
        <f t="shared" si="5"/>
        <v>3</v>
      </c>
      <c r="S33" s="185">
        <f t="shared" si="6"/>
        <v>3</v>
      </c>
      <c r="T33" s="185">
        <v>3</v>
      </c>
    </row>
    <row r="34" spans="1:20" x14ac:dyDescent="0.15">
      <c r="A34" s="185" t="str">
        <f>水面线计算!B37</f>
        <v>IP28</v>
      </c>
      <c r="B34" s="185">
        <f>IF(C34=0,0,水面线计算!E37)</f>
        <v>10</v>
      </c>
      <c r="C34" s="185">
        <f>水面线计算!F37</f>
        <v>61.941000000000003</v>
      </c>
      <c r="D34" s="185">
        <f>水面线计算!G37</f>
        <v>1852.4307084878158</v>
      </c>
      <c r="E34" s="185">
        <f>水面线计算!H37</f>
        <v>1857.8360804477047</v>
      </c>
      <c r="F34" s="185">
        <f>水面线计算!I37</f>
        <v>1863.2414524075939</v>
      </c>
      <c r="G34" s="185">
        <v>1</v>
      </c>
      <c r="H34" s="185">
        <f t="shared" si="0"/>
        <v>1</v>
      </c>
      <c r="I34" s="185">
        <f t="shared" si="1"/>
        <v>3</v>
      </c>
      <c r="J34" s="185">
        <f t="shared" si="2"/>
        <v>0</v>
      </c>
      <c r="K34" s="185">
        <f>水面线计算!AE37</f>
        <v>0</v>
      </c>
      <c r="L34" s="185">
        <f>水面线计算!Y37</f>
        <v>0</v>
      </c>
      <c r="N34" s="201" t="str">
        <f t="shared" si="8"/>
        <v/>
      </c>
      <c r="O34" s="201" t="str">
        <f>IF(J34=1,IF(COUNTIF(Q33,"*IP*"),"",IF(G33=1,IF((D34-F33-([2]断面设计!$T$83+[2]断面设计!$U$83)-12*[2]断面设计!$S$83)&lt;0,"矩形渠",""),IF(G33=2,IF((D34-F33-([2]断面设计!$T$84+[2]断面设计!$U$84)-12*[2]断面设计!$S$84)&lt;0,"矩形渠",""),IF(G33=3,IF((D34-F33-([2]断面设计!$T$85+[2]断面设计!$U$85)-12*[2]断面设计!$S$85)&lt;0,"矩形渠",""),IF(G33=4,IF((D34-F33-([2]断面设计!$T$86+[2]断面设计!$U$86)-12*[2]断面设计!$S$86)&lt;0,"矩形渠",""),0))))),"")</f>
        <v/>
      </c>
      <c r="P34" s="203" t="str">
        <f t="shared" si="10"/>
        <v/>
      </c>
      <c r="Q34" s="186" t="str">
        <f t="shared" si="9"/>
        <v>IP28</v>
      </c>
      <c r="R34" s="185">
        <f t="shared" si="5"/>
        <v>3</v>
      </c>
      <c r="S34" s="185">
        <f t="shared" si="6"/>
        <v>3</v>
      </c>
      <c r="T34" s="185">
        <v>3</v>
      </c>
    </row>
    <row r="35" spans="1:20" x14ac:dyDescent="0.15">
      <c r="A35" s="185" t="str">
        <f>水面线计算!B38</f>
        <v>IP29</v>
      </c>
      <c r="B35" s="185">
        <f>IF(C35=0,0,水面线计算!E38)</f>
        <v>10</v>
      </c>
      <c r="C35" s="185">
        <f>水面线计算!F38</f>
        <v>38.130000000000003</v>
      </c>
      <c r="D35" s="185">
        <f>水面线计算!G38</f>
        <v>1870.5806323174659</v>
      </c>
      <c r="E35" s="185">
        <f>水面线计算!H38</f>
        <v>1873.908102536393</v>
      </c>
      <c r="F35" s="185">
        <f>水面线计算!I38</f>
        <v>1877.2355727553202</v>
      </c>
      <c r="G35" s="185">
        <v>1</v>
      </c>
      <c r="H35" s="185">
        <f t="shared" si="0"/>
        <v>1</v>
      </c>
      <c r="I35" s="185">
        <f t="shared" si="1"/>
        <v>3</v>
      </c>
      <c r="J35" s="185">
        <f t="shared" si="2"/>
        <v>0</v>
      </c>
      <c r="K35" s="185">
        <f>水面线计算!AE38</f>
        <v>0</v>
      </c>
      <c r="L35" s="185">
        <f>水面线计算!Y38</f>
        <v>0</v>
      </c>
      <c r="N35" s="201" t="str">
        <f t="shared" si="8"/>
        <v/>
      </c>
      <c r="O35" s="201" t="str">
        <f>IF(J35=1,IF(COUNTIF(Q34,"*IP*"),"",IF(G34=1,IF((D35-F34-([2]断面设计!$T$83+[2]断面设计!$U$83)-12*[2]断面设计!$S$83)&lt;0,"矩形渠",""),IF(G34=2,IF((D35-F34-([2]断面设计!$T$84+[2]断面设计!$U$84)-12*[2]断面设计!$S$84)&lt;0,"矩形渠",""),IF(G34=3,IF((D35-F34-([2]断面设计!$T$85+[2]断面设计!$U$85)-12*[2]断面设计!$S$85)&lt;0,"矩形渠",""),IF(G34=4,IF((D35-F34-([2]断面设计!$T$86+[2]断面设计!$U$86)-12*[2]断面设计!$S$86)&lt;0,"矩形渠",""),0))))),"")</f>
        <v/>
      </c>
      <c r="P35" s="203" t="str">
        <f t="shared" si="10"/>
        <v/>
      </c>
      <c r="Q35" s="186" t="str">
        <f t="shared" si="9"/>
        <v>IP29</v>
      </c>
      <c r="R35" s="185">
        <f t="shared" si="5"/>
        <v>3</v>
      </c>
      <c r="S35" s="185">
        <f t="shared" si="6"/>
        <v>3</v>
      </c>
      <c r="T35" s="185">
        <v>3</v>
      </c>
    </row>
    <row r="36" spans="1:20" x14ac:dyDescent="0.15">
      <c r="A36" s="185" t="str">
        <f>水面线计算!B39</f>
        <v>IP30</v>
      </c>
      <c r="B36" s="185">
        <f>IF(C36=0,0,水面线计算!E39)</f>
        <v>10</v>
      </c>
      <c r="C36" s="185">
        <f>水面线计算!F39</f>
        <v>45.655000000000001</v>
      </c>
      <c r="D36" s="185">
        <f>水面线计算!G39</f>
        <v>1933.3676614369519</v>
      </c>
      <c r="E36" s="185">
        <f>水面线计算!H39</f>
        <v>1937.3518117869421</v>
      </c>
      <c r="F36" s="185">
        <f>水面线计算!I39</f>
        <v>1941.335962136932</v>
      </c>
      <c r="G36" s="185">
        <v>1</v>
      </c>
      <c r="H36" s="185">
        <f t="shared" si="0"/>
        <v>1</v>
      </c>
      <c r="I36" s="185">
        <f t="shared" si="1"/>
        <v>3</v>
      </c>
      <c r="J36" s="185">
        <f t="shared" si="2"/>
        <v>0</v>
      </c>
      <c r="K36" s="185">
        <f>水面线计算!AE39</f>
        <v>0</v>
      </c>
      <c r="L36" s="185">
        <f>水面线计算!Y39</f>
        <v>0</v>
      </c>
      <c r="N36" s="201" t="str">
        <f t="shared" si="8"/>
        <v/>
      </c>
      <c r="O36" s="201" t="str">
        <f>IF(J36=1,IF(COUNTIF(Q35,"*IP*"),"",IF(G35=1,IF((D36-F35-([2]断面设计!$T$83+[2]断面设计!$U$83)-12*[2]断面设计!$S$83)&lt;0,"矩形渠",""),IF(G35=2,IF((D36-F35-([2]断面设计!$T$84+[2]断面设计!$U$84)-12*[2]断面设计!$S$84)&lt;0,"矩形渠",""),IF(G35=3,IF((D36-F35-([2]断面设计!$T$85+[2]断面设计!$U$85)-12*[2]断面设计!$S$85)&lt;0,"矩形渠",""),IF(G35=4,IF((D36-F35-([2]断面设计!$T$86+[2]断面设计!$U$86)-12*[2]断面设计!$S$86)&lt;0,"矩形渠",""),0))))),"")</f>
        <v/>
      </c>
      <c r="P36" s="203" t="str">
        <f t="shared" si="10"/>
        <v/>
      </c>
      <c r="Q36" s="186" t="str">
        <f t="shared" si="9"/>
        <v>IP30</v>
      </c>
      <c r="R36" s="185">
        <f t="shared" si="5"/>
        <v>3</v>
      </c>
      <c r="S36" s="185">
        <f t="shared" si="6"/>
        <v>3</v>
      </c>
      <c r="T36" s="185">
        <v>3</v>
      </c>
    </row>
    <row r="37" spans="1:20" x14ac:dyDescent="0.15">
      <c r="A37" s="185" t="str">
        <f>水面线计算!B40</f>
        <v>IP31</v>
      </c>
      <c r="B37" s="185">
        <f>IF(C37=0,0,水面线计算!E40)</f>
        <v>10</v>
      </c>
      <c r="C37" s="185">
        <f>水面线计算!F40</f>
        <v>21.603000000000002</v>
      </c>
      <c r="D37" s="185">
        <f>水面线计算!G40</f>
        <v>1982.7202285160827</v>
      </c>
      <c r="E37" s="185">
        <f>水面线计算!H40</f>
        <v>1984.6054459076242</v>
      </c>
      <c r="F37" s="185">
        <f>水面线计算!I40</f>
        <v>1986.490663299166</v>
      </c>
      <c r="G37" s="185">
        <v>1</v>
      </c>
      <c r="H37" s="185">
        <f t="shared" si="0"/>
        <v>1</v>
      </c>
      <c r="I37" s="185">
        <f t="shared" si="1"/>
        <v>3</v>
      </c>
      <c r="J37" s="185">
        <f t="shared" si="2"/>
        <v>0</v>
      </c>
      <c r="K37" s="185">
        <f>水面线计算!AE40</f>
        <v>0</v>
      </c>
      <c r="L37" s="185">
        <f>水面线计算!Y40</f>
        <v>0</v>
      </c>
      <c r="N37" s="201" t="str">
        <f t="shared" si="8"/>
        <v/>
      </c>
      <c r="O37" s="201" t="str">
        <f>IF(J37=1,IF(COUNTIF(Q36,"*IP*"),"",IF(G36=1,IF((D37-F36-([2]断面设计!$T$83+[2]断面设计!$U$83)-12*[2]断面设计!$S$83)&lt;0,"矩形渠",""),IF(G36=2,IF((D37-F36-([2]断面设计!$T$84+[2]断面设计!$U$84)-12*[2]断面设计!$S$84)&lt;0,"矩形渠",""),IF(G36=3,IF((D37-F36-([2]断面设计!$T$85+[2]断面设计!$U$85)-12*[2]断面设计!$S$85)&lt;0,"矩形渠",""),IF(G36=4,IF((D37-F36-([2]断面设计!$T$86+[2]断面设计!$U$86)-12*[2]断面设计!$S$86)&lt;0,"矩形渠",""),0))))),"")</f>
        <v/>
      </c>
      <c r="P37" s="203" t="str">
        <f t="shared" si="10"/>
        <v/>
      </c>
      <c r="Q37" s="186" t="str">
        <f t="shared" si="9"/>
        <v>IP31</v>
      </c>
      <c r="R37" s="185">
        <f t="shared" si="5"/>
        <v>3</v>
      </c>
      <c r="S37" s="185">
        <f t="shared" si="6"/>
        <v>3</v>
      </c>
      <c r="T37" s="185">
        <v>3</v>
      </c>
    </row>
    <row r="38" spans="1:20" x14ac:dyDescent="0.15">
      <c r="A38" s="185" t="str">
        <f>水面线计算!B41</f>
        <v>IP32</v>
      </c>
      <c r="B38" s="185">
        <f>IF(C38=0,0,水面线计算!E41)</f>
        <v>10</v>
      </c>
      <c r="C38" s="185">
        <f>水面线计算!F41</f>
        <v>54.347000000000001</v>
      </c>
      <c r="D38" s="185">
        <f>水面线计算!G41</f>
        <v>2016.0670216102001</v>
      </c>
      <c r="E38" s="185">
        <f>水面线计算!H41</f>
        <v>2020.8096920531068</v>
      </c>
      <c r="F38" s="185">
        <f>水面线计算!I41</f>
        <v>2025.5523624960138</v>
      </c>
      <c r="G38" s="185">
        <v>1</v>
      </c>
      <c r="H38" s="185">
        <f t="shared" si="0"/>
        <v>1</v>
      </c>
      <c r="I38" s="185">
        <f t="shared" si="1"/>
        <v>3</v>
      </c>
      <c r="J38" s="185">
        <f t="shared" si="2"/>
        <v>0</v>
      </c>
      <c r="K38" s="185">
        <f>水面线计算!AE41</f>
        <v>0</v>
      </c>
      <c r="L38" s="185">
        <f>水面线计算!Y41</f>
        <v>0</v>
      </c>
      <c r="N38" s="201" t="str">
        <f t="shared" si="8"/>
        <v/>
      </c>
      <c r="O38" s="201" t="str">
        <f>IF(J38=1,IF(COUNTIF(Q37,"*IP*"),"",IF(G37=1,IF((D38-F37-([2]断面设计!$T$83+[2]断面设计!$U$83)-12*[2]断面设计!$S$83)&lt;0,"矩形渠",""),IF(G37=2,IF((D38-F37-([2]断面设计!$T$84+[2]断面设计!$U$84)-12*[2]断面设计!$S$84)&lt;0,"矩形渠",""),IF(G37=3,IF((D38-F37-([2]断面设计!$T$85+[2]断面设计!$U$85)-12*[2]断面设计!$S$85)&lt;0,"矩形渠",""),IF(G37=4,IF((D38-F37-([2]断面设计!$T$86+[2]断面设计!$U$86)-12*[2]断面设计!$S$86)&lt;0,"矩形渠",""),0))))),"")</f>
        <v/>
      </c>
      <c r="P38" s="203" t="str">
        <f t="shared" si="10"/>
        <v/>
      </c>
      <c r="Q38" s="186" t="str">
        <f t="shared" si="9"/>
        <v>IP32</v>
      </c>
      <c r="R38" s="185">
        <f t="shared" si="5"/>
        <v>3</v>
      </c>
      <c r="S38" s="185">
        <f t="shared" si="6"/>
        <v>3</v>
      </c>
      <c r="T38" s="185">
        <v>3</v>
      </c>
    </row>
    <row r="39" spans="1:20" x14ac:dyDescent="0.15">
      <c r="A39" s="185" t="str">
        <f>水面线计算!B42</f>
        <v>IP33</v>
      </c>
      <c r="B39" s="185">
        <f>IF(C39=0,0,水面线计算!E42)</f>
        <v>10</v>
      </c>
      <c r="C39" s="185">
        <f>水面线计算!F42</f>
        <v>46.878999999999998</v>
      </c>
      <c r="D39" s="185">
        <f>水面线计算!G42</f>
        <v>2043.3469255848752</v>
      </c>
      <c r="E39" s="185">
        <f>水面线计算!H42</f>
        <v>2047.4378900850872</v>
      </c>
      <c r="F39" s="185">
        <f>水面线计算!I42</f>
        <v>2051.5288545852995</v>
      </c>
      <c r="G39" s="185">
        <v>1</v>
      </c>
      <c r="H39" s="185">
        <f t="shared" si="0"/>
        <v>1</v>
      </c>
      <c r="I39" s="185">
        <f t="shared" si="1"/>
        <v>3</v>
      </c>
      <c r="J39" s="185">
        <f t="shared" si="2"/>
        <v>0</v>
      </c>
      <c r="K39" s="185">
        <f>水面线计算!AE42</f>
        <v>0</v>
      </c>
      <c r="L39" s="185">
        <f>水面线计算!Y42</f>
        <v>0</v>
      </c>
      <c r="N39" s="201" t="str">
        <f t="shared" si="8"/>
        <v/>
      </c>
      <c r="O39" s="201" t="str">
        <f>IF(J39=1,IF(COUNTIF(Q38,"*IP*"),"",IF(G38=1,IF((D39-F38-([2]断面设计!$T$83+[2]断面设计!$U$83)-12*[2]断面设计!$S$83)&lt;0,"矩形渠",""),IF(G38=2,IF((D39-F38-([2]断面设计!$T$84+[2]断面设计!$U$84)-12*[2]断面设计!$S$84)&lt;0,"矩形渠",""),IF(G38=3,IF((D39-F38-([2]断面设计!$T$85+[2]断面设计!$U$85)-12*[2]断面设计!$S$85)&lt;0,"矩形渠",""),IF(G38=4,IF((D39-F38-([2]断面设计!$T$86+[2]断面设计!$U$86)-12*[2]断面设计!$S$86)&lt;0,"矩形渠",""),0))))),"")</f>
        <v/>
      </c>
      <c r="P39" s="203" t="str">
        <f t="shared" si="10"/>
        <v/>
      </c>
      <c r="Q39" s="186" t="str">
        <f t="shared" si="9"/>
        <v>IP33</v>
      </c>
      <c r="R39" s="185">
        <f t="shared" si="5"/>
        <v>3</v>
      </c>
      <c r="S39" s="185">
        <f t="shared" si="6"/>
        <v>3</v>
      </c>
      <c r="T39" s="185">
        <v>3</v>
      </c>
    </row>
    <row r="40" spans="1:20" x14ac:dyDescent="0.15">
      <c r="A40" s="185" t="str">
        <f>水面线计算!B43</f>
        <v>IP34</v>
      </c>
      <c r="B40" s="185">
        <f>IF(C40=0,0,水面线计算!E43)</f>
        <v>10</v>
      </c>
      <c r="C40" s="185">
        <f>水面线计算!F43</f>
        <v>71.641999999999996</v>
      </c>
      <c r="D40" s="185">
        <f>水面线计算!G43</f>
        <v>2157.572020418987</v>
      </c>
      <c r="E40" s="185">
        <f>水面线计算!H43</f>
        <v>2163.823964332556</v>
      </c>
      <c r="F40" s="185">
        <f>水面线计算!I43</f>
        <v>2170.075908246125</v>
      </c>
      <c r="G40" s="185">
        <v>1</v>
      </c>
      <c r="H40" s="185">
        <f t="shared" si="0"/>
        <v>1</v>
      </c>
      <c r="I40" s="185">
        <f t="shared" si="1"/>
        <v>3</v>
      </c>
      <c r="J40" s="185">
        <f t="shared" si="2"/>
        <v>0</v>
      </c>
      <c r="K40" s="185">
        <f>水面线计算!AE43</f>
        <v>0</v>
      </c>
      <c r="L40" s="185">
        <f>水面线计算!Y43</f>
        <v>0</v>
      </c>
      <c r="N40" s="201" t="str">
        <f t="shared" si="8"/>
        <v/>
      </c>
      <c r="O40" s="201" t="str">
        <f>IF(J40=1,IF(COUNTIF(Q39,"*IP*"),"",IF(G39=1,IF((D40-F39-([2]断面设计!$T$83+[2]断面设计!$U$83)-12*[2]断面设计!$S$83)&lt;0,"矩形渠",""),IF(G39=2,IF((D40-F39-([2]断面设计!$T$84+[2]断面设计!$U$84)-12*[2]断面设计!$S$84)&lt;0,"矩形渠",""),IF(G39=3,IF((D40-F39-([2]断面设计!$T$85+[2]断面设计!$U$85)-12*[2]断面设计!$S$85)&lt;0,"矩形渠",""),IF(G39=4,IF((D40-F39-([2]断面设计!$T$86+[2]断面设计!$U$86)-12*[2]断面设计!$S$86)&lt;0,"矩形渠",""),0))))),"")</f>
        <v/>
      </c>
      <c r="P40" s="203" t="str">
        <f t="shared" si="10"/>
        <v/>
      </c>
      <c r="Q40" s="186" t="str">
        <f t="shared" si="9"/>
        <v>IP34</v>
      </c>
      <c r="R40" s="185">
        <f t="shared" si="5"/>
        <v>3</v>
      </c>
      <c r="S40" s="185">
        <f t="shared" si="6"/>
        <v>3</v>
      </c>
      <c r="T40" s="185">
        <v>3</v>
      </c>
    </row>
    <row r="41" spans="1:20" x14ac:dyDescent="0.15">
      <c r="A41" s="185" t="str">
        <f>水面线计算!B44</f>
        <v>IP35</v>
      </c>
      <c r="B41" s="185">
        <f>IF(C41=0,0,水面线计算!E44)</f>
        <v>10</v>
      </c>
      <c r="C41" s="185">
        <f>水面线计算!F44</f>
        <v>103.94199999999999</v>
      </c>
      <c r="D41" s="185">
        <f>水面线计算!G44</f>
        <v>2202.6154966794375</v>
      </c>
      <c r="E41" s="185">
        <f>水面线计算!H44</f>
        <v>2211.6861473349772</v>
      </c>
      <c r="F41" s="185">
        <f>水面线计算!I44</f>
        <v>2220.756797990517</v>
      </c>
      <c r="G41" s="185">
        <v>1</v>
      </c>
      <c r="H41" s="185">
        <f t="shared" si="0"/>
        <v>1</v>
      </c>
      <c r="I41" s="185">
        <f t="shared" si="1"/>
        <v>3</v>
      </c>
      <c r="J41" s="185">
        <f t="shared" si="2"/>
        <v>0</v>
      </c>
      <c r="K41" s="185">
        <f>水面线计算!AE44</f>
        <v>0</v>
      </c>
      <c r="L41" s="185">
        <f>水面线计算!Y44</f>
        <v>0</v>
      </c>
      <c r="N41" s="201" t="str">
        <f t="shared" si="8"/>
        <v/>
      </c>
      <c r="O41" s="201" t="str">
        <f>IF(J41=1,IF(COUNTIF(Q40,"*IP*"),"",IF(G40=1,IF((D41-F40-([2]断面设计!$T$83+[2]断面设计!$U$83)-12*[2]断面设计!$S$83)&lt;0,"矩形渠",""),IF(G40=2,IF((D41-F40-([2]断面设计!$T$84+[2]断面设计!$U$84)-12*[2]断面设计!$S$84)&lt;0,"矩形渠",""),IF(G40=3,IF((D41-F40-([2]断面设计!$T$85+[2]断面设计!$U$85)-12*[2]断面设计!$S$85)&lt;0,"矩形渠",""),IF(G40=4,IF((D41-F40-([2]断面设计!$T$86+[2]断面设计!$U$86)-12*[2]断面设计!$S$86)&lt;0,"矩形渠",""),0))))),"")</f>
        <v/>
      </c>
      <c r="P41" s="203" t="str">
        <f t="shared" si="10"/>
        <v/>
      </c>
      <c r="Q41" s="186" t="str">
        <f t="shared" si="9"/>
        <v>IP35</v>
      </c>
      <c r="R41" s="185">
        <f t="shared" si="5"/>
        <v>3</v>
      </c>
      <c r="S41" s="185">
        <f t="shared" si="6"/>
        <v>3</v>
      </c>
      <c r="T41" s="185">
        <v>3</v>
      </c>
    </row>
    <row r="42" spans="1:20" x14ac:dyDescent="0.15">
      <c r="A42" s="185" t="str">
        <f>水面线计算!B45</f>
        <v>IP36</v>
      </c>
      <c r="B42" s="185">
        <f>IF(C42=0,0,水面线计算!E45)</f>
        <v>10</v>
      </c>
      <c r="C42" s="185">
        <f>水面线计算!F45</f>
        <v>70.049000000000007</v>
      </c>
      <c r="D42" s="185">
        <f>水面线计算!G45</f>
        <v>2248.6499082780292</v>
      </c>
      <c r="E42" s="185">
        <f>水面线计算!H45</f>
        <v>2254.7628367166767</v>
      </c>
      <c r="F42" s="185">
        <f>水面线计算!I45</f>
        <v>2260.8757651553242</v>
      </c>
      <c r="G42" s="185">
        <v>1</v>
      </c>
      <c r="H42" s="185">
        <f t="shared" si="0"/>
        <v>1</v>
      </c>
      <c r="I42" s="185">
        <f t="shared" si="1"/>
        <v>3</v>
      </c>
      <c r="J42" s="185">
        <f t="shared" si="2"/>
        <v>0</v>
      </c>
      <c r="K42" s="185">
        <f>水面线计算!AE45</f>
        <v>0</v>
      </c>
      <c r="L42" s="185">
        <f>水面线计算!Y45</f>
        <v>0</v>
      </c>
      <c r="N42" s="201" t="str">
        <f t="shared" si="8"/>
        <v/>
      </c>
      <c r="O42" s="201" t="str">
        <f>IF(J42=1,IF(COUNTIF(Q41,"*IP*"),"",IF(G41=1,IF((D42-F41-([2]断面设计!$T$83+[2]断面设计!$U$83)-12*[2]断面设计!$S$83)&lt;0,"矩形渠",""),IF(G41=2,IF((D42-F41-([2]断面设计!$T$84+[2]断面设计!$U$84)-12*[2]断面设计!$S$84)&lt;0,"矩形渠",""),IF(G41=3,IF((D42-F41-([2]断面设计!$T$85+[2]断面设计!$U$85)-12*[2]断面设计!$S$85)&lt;0,"矩形渠",""),IF(G41=4,IF((D42-F41-([2]断面设计!$T$86+[2]断面设计!$U$86)-12*[2]断面设计!$S$86)&lt;0,"矩形渠",""),0))))),"")</f>
        <v/>
      </c>
      <c r="P42" s="203" t="str">
        <f t="shared" si="10"/>
        <v/>
      </c>
      <c r="Q42" s="186" t="str">
        <f t="shared" si="9"/>
        <v>IP36</v>
      </c>
      <c r="R42" s="185">
        <f t="shared" si="5"/>
        <v>3</v>
      </c>
      <c r="S42" s="185">
        <f t="shared" si="6"/>
        <v>3</v>
      </c>
      <c r="T42" s="185">
        <v>3</v>
      </c>
    </row>
    <row r="43" spans="1:20" x14ac:dyDescent="0.15">
      <c r="A43" s="185" t="str">
        <f>水面线计算!B46</f>
        <v>2#倒进</v>
      </c>
      <c r="B43" s="185">
        <f>IF(C43=0,0,水面线计算!E46)</f>
        <v>0</v>
      </c>
      <c r="C43" s="185">
        <f>水面线计算!F46</f>
        <v>0</v>
      </c>
      <c r="D43" s="185">
        <f>水面线计算!G46</f>
        <v>2318.0385998755933</v>
      </c>
      <c r="E43" s="185">
        <f>水面线计算!H46</f>
        <v>2318.0385998755933</v>
      </c>
      <c r="F43" s="185">
        <f>水面线计算!I46</f>
        <v>2318.0385998755933</v>
      </c>
      <c r="G43" s="185">
        <v>1</v>
      </c>
      <c r="H43" s="185">
        <f t="shared" si="0"/>
        <v>1</v>
      </c>
      <c r="I43" s="185">
        <f t="shared" si="1"/>
        <v>5</v>
      </c>
      <c r="J43" s="185">
        <f t="shared" si="2"/>
        <v>1</v>
      </c>
      <c r="K43" s="185">
        <f>水面线计算!AE46</f>
        <v>0</v>
      </c>
      <c r="L43" s="185">
        <f>水面线计算!Y46</f>
        <v>0</v>
      </c>
      <c r="N43" s="201" t="str">
        <f t="shared" si="8"/>
        <v/>
      </c>
      <c r="O43" s="201" t="str">
        <f>IF(J43=1,IF(COUNTIF(Q42,"*IP*"),"",IF(G42=1,IF((D43-F42-([2]断面设计!$T$83+[2]断面设计!$U$83)-12*[2]断面设计!$S$83)&lt;0,"矩形渠",""),IF(G42=2,IF((D43-F42-([2]断面设计!$T$84+[2]断面设计!$U$84)-12*[2]断面设计!$S$84)&lt;0,"矩形渠",""),IF(G42=3,IF((D43-F42-([2]断面设计!$T$85+[2]断面设计!$U$85)-12*[2]断面设计!$S$85)&lt;0,"矩形渠",""),IF(G42=4,IF((D43-F42-([2]断面设计!$T$86+[2]断面设计!$U$86)-12*[2]断面设计!$S$86)&lt;0,"矩形渠",""),0))))),"")</f>
        <v/>
      </c>
      <c r="P43" s="203" t="str">
        <f t="shared" si="10"/>
        <v/>
      </c>
      <c r="Q43" s="186" t="str">
        <f t="shared" si="9"/>
        <v>倒虹管</v>
      </c>
      <c r="R43" s="185">
        <f t="shared" si="5"/>
        <v>5</v>
      </c>
      <c r="S43" s="185">
        <f t="shared" si="6"/>
        <v>3</v>
      </c>
      <c r="T43" s="185">
        <v>3</v>
      </c>
    </row>
    <row r="44" spans="1:20" x14ac:dyDescent="0.15">
      <c r="A44" s="185" t="str">
        <f>水面线计算!B47</f>
        <v>IP37</v>
      </c>
      <c r="B44" s="185">
        <f>IF(C44=0,0,水面线计算!E47)</f>
        <v>2.4</v>
      </c>
      <c r="C44" s="185">
        <f>水面线计算!F47</f>
        <v>28.981000000000002</v>
      </c>
      <c r="D44" s="185">
        <f>水面线计算!G47</f>
        <v>2350.002741909047</v>
      </c>
      <c r="E44" s="185">
        <f>水面线计算!H47</f>
        <v>2350.6097185536714</v>
      </c>
      <c r="F44" s="185">
        <f>水面线计算!I47</f>
        <v>2351.2166951982963</v>
      </c>
      <c r="G44" s="185">
        <v>1</v>
      </c>
      <c r="H44" s="185">
        <f t="shared" si="0"/>
        <v>1</v>
      </c>
      <c r="I44" s="185">
        <f t="shared" si="1"/>
        <v>5</v>
      </c>
      <c r="J44" s="185">
        <f t="shared" si="2"/>
        <v>0</v>
      </c>
      <c r="K44" s="185">
        <f>水面线计算!AE47</f>
        <v>0</v>
      </c>
      <c r="L44" s="185">
        <f>水面线计算!Y47</f>
        <v>0</v>
      </c>
      <c r="N44" s="201" t="str">
        <f t="shared" si="8"/>
        <v/>
      </c>
      <c r="O44" s="201" t="str">
        <f>IF(J44=1,IF(COUNTIF(Q43,"*IP*"),"",IF(G43=1,IF((D44-F43-([2]断面设计!$T$83+[2]断面设计!$U$83)-12*[2]断面设计!$S$83)&lt;0,"矩形渠",""),IF(G43=2,IF((D44-F43-([2]断面设计!$T$84+[2]断面设计!$U$84)-12*[2]断面设计!$S$84)&lt;0,"矩形渠",""),IF(G43=3,IF((D44-F43-([2]断面设计!$T$85+[2]断面设计!$U$85)-12*[2]断面设计!$S$85)&lt;0,"矩形渠",""),IF(G43=4,IF((D44-F43-([2]断面设计!$T$86+[2]断面设计!$U$86)-12*[2]断面设计!$S$86)&lt;0,"矩形渠",""),0))))),"")</f>
        <v/>
      </c>
      <c r="P44" s="203" t="str">
        <f t="shared" si="10"/>
        <v>结构转弯</v>
      </c>
      <c r="Q44" s="186" t="str">
        <f t="shared" si="9"/>
        <v>倒虹管</v>
      </c>
      <c r="R44" s="185">
        <f t="shared" si="5"/>
        <v>5</v>
      </c>
      <c r="S44" s="185">
        <f t="shared" si="6"/>
        <v>3</v>
      </c>
      <c r="T44" s="185">
        <v>3</v>
      </c>
    </row>
    <row r="45" spans="1:20" x14ac:dyDescent="0.15">
      <c r="A45" s="185" t="str">
        <f>水面线计算!B48</f>
        <v>IP38</v>
      </c>
      <c r="B45" s="185">
        <f>IF(C45=0,0,水面线计算!E48)</f>
        <v>2.4</v>
      </c>
      <c r="C45" s="185">
        <f>水面线计算!F48</f>
        <v>28.629000000000001</v>
      </c>
      <c r="D45" s="185">
        <f>水面线计算!G48</f>
        <v>2552.9213117619342</v>
      </c>
      <c r="E45" s="185">
        <f>水面线计算!H48</f>
        <v>2553.5209161357984</v>
      </c>
      <c r="F45" s="185">
        <f>水面线计算!I48</f>
        <v>2554.1205205096626</v>
      </c>
      <c r="G45" s="185">
        <v>1</v>
      </c>
      <c r="H45" s="185">
        <f t="shared" si="0"/>
        <v>1</v>
      </c>
      <c r="I45" s="185">
        <f t="shared" si="1"/>
        <v>5</v>
      </c>
      <c r="J45" s="185">
        <f t="shared" si="2"/>
        <v>0</v>
      </c>
      <c r="K45" s="185">
        <f>水面线计算!AE48</f>
        <v>0</v>
      </c>
      <c r="L45" s="185">
        <f>水面线计算!Y48</f>
        <v>0</v>
      </c>
      <c r="N45" s="201" t="str">
        <f t="shared" si="8"/>
        <v/>
      </c>
      <c r="O45" s="201" t="str">
        <f>IF(J45=1,IF(COUNTIF(Q44,"*IP*"),"",IF(G44=1,IF((D45-F44-([2]断面设计!$T$83+[2]断面设计!$U$83)-12*[2]断面设计!$S$83)&lt;0,"矩形渠",""),IF(G44=2,IF((D45-F44-([2]断面设计!$T$84+[2]断面设计!$U$84)-12*[2]断面设计!$S$84)&lt;0,"矩形渠",""),IF(G44=3,IF((D45-F44-([2]断面设计!$T$85+[2]断面设计!$U$85)-12*[2]断面设计!$S$85)&lt;0,"矩形渠",""),IF(G44=4,IF((D45-F44-([2]断面设计!$T$86+[2]断面设计!$U$86)-12*[2]断面设计!$S$86)&lt;0,"矩形渠",""),0))))),"")</f>
        <v/>
      </c>
      <c r="P45" s="203" t="str">
        <f t="shared" si="10"/>
        <v>结构转弯</v>
      </c>
      <c r="Q45" s="186" t="str">
        <f t="shared" si="9"/>
        <v>倒虹管</v>
      </c>
      <c r="R45" s="185">
        <f t="shared" si="5"/>
        <v>5</v>
      </c>
      <c r="S45" s="185">
        <f t="shared" si="6"/>
        <v>3</v>
      </c>
      <c r="T45" s="185">
        <v>3</v>
      </c>
    </row>
    <row r="46" spans="1:20" x14ac:dyDescent="0.15">
      <c r="A46" s="185" t="str">
        <f>水面线计算!B49</f>
        <v>2#倒出</v>
      </c>
      <c r="B46" s="185">
        <f>IF(C46=0,0,水面线计算!E49)</f>
        <v>0</v>
      </c>
      <c r="C46" s="185">
        <f>水面线计算!F49</f>
        <v>0</v>
      </c>
      <c r="D46" s="185">
        <f>水面线计算!G49</f>
        <v>2576.0598539957141</v>
      </c>
      <c r="E46" s="185">
        <f>水面线计算!H49</f>
        <v>2576.0598539957141</v>
      </c>
      <c r="F46" s="185">
        <f>水面线计算!I49</f>
        <v>2576.0598539957141</v>
      </c>
      <c r="G46" s="185">
        <v>1</v>
      </c>
      <c r="H46" s="185">
        <f t="shared" si="0"/>
        <v>1</v>
      </c>
      <c r="I46" s="185">
        <f t="shared" si="1"/>
        <v>5</v>
      </c>
      <c r="J46" s="185">
        <f t="shared" si="2"/>
        <v>2</v>
      </c>
      <c r="K46" s="185">
        <f>水面线计算!AE49</f>
        <v>0</v>
      </c>
      <c r="L46" s="185">
        <f>水面线计算!Y49</f>
        <v>0.6</v>
      </c>
      <c r="N46" s="201" t="str">
        <f t="shared" si="8"/>
        <v/>
      </c>
      <c r="O46" s="201" t="str">
        <f>IF(J46=1,IF(COUNTIF(Q45,"*IP*"),"",IF(G45=1,IF((D46-F45-([2]断面设计!$T$83+[2]断面设计!$U$83)-12*[2]断面设计!$S$83)&lt;0,"矩形渠",""),IF(G45=2,IF((D46-F45-([2]断面设计!$T$84+[2]断面设计!$U$84)-12*[2]断面设计!$S$84)&lt;0,"矩形渠",""),IF(G45=3,IF((D46-F45-([2]断面设计!$T$85+[2]断面设计!$U$85)-12*[2]断面设计!$S$85)&lt;0,"矩形渠",""),IF(G45=4,IF((D46-F45-([2]断面设计!$T$86+[2]断面设计!$U$86)-12*[2]断面设计!$S$86)&lt;0,"矩形渠",""),0))))),"")</f>
        <v/>
      </c>
      <c r="P46" s="203" t="str">
        <f t="shared" si="10"/>
        <v/>
      </c>
      <c r="Q46" s="186" t="str">
        <f t="shared" si="9"/>
        <v>倒虹管</v>
      </c>
      <c r="R46" s="185">
        <f t="shared" si="5"/>
        <v>5</v>
      </c>
      <c r="S46" s="185">
        <f t="shared" si="6"/>
        <v>3</v>
      </c>
      <c r="T46" s="185">
        <v>3</v>
      </c>
    </row>
    <row r="47" spans="1:20" x14ac:dyDescent="0.15">
      <c r="A47" s="185" t="str">
        <f>水面线计算!B50</f>
        <v>IP39</v>
      </c>
      <c r="B47" s="185">
        <f>IF(C47=0,0,水面线计算!E50)</f>
        <v>10</v>
      </c>
      <c r="C47" s="185">
        <f>水面线计算!F50</f>
        <v>19.556999999999999</v>
      </c>
      <c r="D47" s="185">
        <f>水面线计算!G50</f>
        <v>2705.5041410899948</v>
      </c>
      <c r="E47" s="185">
        <f>水面线计算!H50</f>
        <v>2707.2108112990577</v>
      </c>
      <c r="F47" s="185">
        <f>水面线计算!I50</f>
        <v>2708.9174815081201</v>
      </c>
      <c r="G47" s="185">
        <v>1</v>
      </c>
      <c r="H47" s="185">
        <f t="shared" si="0"/>
        <v>1</v>
      </c>
      <c r="I47" s="185">
        <f t="shared" si="1"/>
        <v>3</v>
      </c>
      <c r="J47" s="185">
        <f t="shared" si="2"/>
        <v>0</v>
      </c>
      <c r="K47" s="185">
        <f>水面线计算!AE50</f>
        <v>0</v>
      </c>
      <c r="L47" s="185">
        <f>水面线计算!Y50</f>
        <v>0</v>
      </c>
      <c r="N47" s="201" t="str">
        <f t="shared" si="8"/>
        <v/>
      </c>
      <c r="O47" s="201" t="str">
        <f>IF(J47=1,IF(COUNTIF(Q46,"*IP*"),"",IF(G46=1,IF((D47-F46-([2]断面设计!$T$83+[2]断面设计!$U$83)-12*[2]断面设计!$S$83)&lt;0,"矩形渠",""),IF(G46=2,IF((D47-F46-([2]断面设计!$T$84+[2]断面设计!$U$84)-12*[2]断面设计!$S$84)&lt;0,"矩形渠",""),IF(G46=3,IF((D47-F46-([2]断面设计!$T$85+[2]断面设计!$U$85)-12*[2]断面设计!$S$85)&lt;0,"矩形渠",""),IF(G46=4,IF((D47-F46-([2]断面设计!$T$86+[2]断面设计!$U$86)-12*[2]断面设计!$S$86)&lt;0,"矩形渠",""),0))))),"")</f>
        <v/>
      </c>
      <c r="P47" s="203" t="str">
        <f t="shared" si="10"/>
        <v/>
      </c>
      <c r="Q47" s="186" t="str">
        <f t="shared" si="9"/>
        <v>IP39</v>
      </c>
      <c r="R47" s="185">
        <f t="shared" si="5"/>
        <v>3</v>
      </c>
      <c r="S47" s="185">
        <f t="shared" si="6"/>
        <v>3</v>
      </c>
      <c r="T47" s="185">
        <v>3</v>
      </c>
    </row>
    <row r="48" spans="1:20" x14ac:dyDescent="0.15">
      <c r="A48" s="185" t="str">
        <f>水面线计算!B52</f>
        <v>IP40</v>
      </c>
      <c r="B48" s="185">
        <f>IF(C48=0,0,水面线计算!E52)</f>
        <v>10</v>
      </c>
      <c r="C48" s="185">
        <f>水面线计算!F52</f>
        <v>63.279000000000003</v>
      </c>
      <c r="D48" s="185">
        <f>水面线计算!G52</f>
        <v>2896.3780145191913</v>
      </c>
      <c r="E48" s="185">
        <f>水面线计算!H52</f>
        <v>2901.9001490060386</v>
      </c>
      <c r="F48" s="185">
        <f>水面线计算!I52</f>
        <v>2907.4222834928864</v>
      </c>
      <c r="G48" s="185">
        <v>1</v>
      </c>
      <c r="H48" s="185">
        <f t="shared" si="0"/>
        <v>1</v>
      </c>
      <c r="I48" s="185">
        <f t="shared" si="1"/>
        <v>3</v>
      </c>
      <c r="J48" s="185">
        <f t="shared" si="2"/>
        <v>0</v>
      </c>
      <c r="K48" s="185">
        <f>水面线计算!AE52</f>
        <v>0</v>
      </c>
      <c r="L48" s="185">
        <f>水面线计算!Y52</f>
        <v>0</v>
      </c>
      <c r="N48" s="201"/>
      <c r="O48" s="201"/>
      <c r="P48" s="203"/>
      <c r="Q48" s="186" t="str">
        <f t="shared" si="9"/>
        <v>IP40</v>
      </c>
      <c r="R48" s="185">
        <f t="shared" si="5"/>
        <v>3</v>
      </c>
      <c r="S48" s="185">
        <f t="shared" si="6"/>
        <v>3</v>
      </c>
      <c r="T48" s="185">
        <v>3</v>
      </c>
    </row>
    <row r="49" spans="1:20" x14ac:dyDescent="0.15">
      <c r="A49" s="185" t="str">
        <f>水面线计算!B53</f>
        <v>3#倒进</v>
      </c>
      <c r="B49" s="185">
        <f>IF(C49=0,0,水面线计算!E53)</f>
        <v>0</v>
      </c>
      <c r="C49" s="185">
        <f>水面线计算!F53</f>
        <v>0</v>
      </c>
      <c r="D49" s="185">
        <f>水面线计算!G53</f>
        <v>2946.260689177906</v>
      </c>
      <c r="E49" s="185">
        <f>水面线计算!H53</f>
        <v>2946.260689177906</v>
      </c>
      <c r="F49" s="185">
        <f>水面线计算!I53</f>
        <v>2946.260689177906</v>
      </c>
      <c r="G49" s="185">
        <v>1</v>
      </c>
      <c r="H49" s="185">
        <f t="shared" si="0"/>
        <v>1</v>
      </c>
      <c r="I49" s="185">
        <f t="shared" si="1"/>
        <v>5</v>
      </c>
      <c r="J49" s="185">
        <f t="shared" si="2"/>
        <v>1</v>
      </c>
      <c r="K49" s="185">
        <f>水面线计算!AE53</f>
        <v>0</v>
      </c>
      <c r="L49" s="185">
        <f>水面线计算!Y53</f>
        <v>0</v>
      </c>
      <c r="N49" s="201" t="str">
        <f>IF(J49=1,IF(O49="矩形渠","",IF(COUNTIF(Q47,"*IP*"),"","补点")),"")</f>
        <v/>
      </c>
      <c r="O49" s="201" t="str">
        <f>IF(J49=1,IF(COUNTIF(Q47,"*IP*"),"",IF(G47=1,IF((D49-F47-([2]断面设计!$T$83+[2]断面设计!$U$83)-12*[2]断面设计!$S$83)&lt;0,"矩形渠",""),IF(G47=2,IF((D49-F47-([2]断面设计!$T$84+[2]断面设计!$U$84)-12*[2]断面设计!$S$84)&lt;0,"矩形渠",""),IF(G47=3,IF((D49-F47-([2]断面设计!$T$85+[2]断面设计!$U$85)-12*[2]断面设计!$S$85)&lt;0,"矩形渠",""),IF(G47=4,IF((D49-F47-([2]断面设计!$T$86+[2]断面设计!$U$86)-12*[2]断面设计!$S$86)&lt;0,"矩形渠",""),0))))),"")</f>
        <v/>
      </c>
      <c r="P49" s="203" t="str">
        <f>IF(J49=0,IF(J47=1,"结构转弯",IF(J46=1,IF(J47=0,"结构转弯",""),"")),"")</f>
        <v/>
      </c>
      <c r="Q49" s="186" t="str">
        <f>IF(COUNTIF(A49,"*隧*"),"隧洞",IF(COUNTIF(A49,"*渡*"),"渡槽",IF(COUNTIF(A49,"*倒*"),"倒虹管",IF(COUNTIF(A49,"*暗*"),"暗渠",IF(COUNTIF(A49,"*分水*"),"分水闸",IF(P49="结构转弯",Q47,IF(COUNTIF(A49,"*泄*"),"泄水闸",A49)))))))</f>
        <v>倒虹管</v>
      </c>
      <c r="R49" s="185">
        <f t="shared" si="5"/>
        <v>5</v>
      </c>
      <c r="S49" s="185">
        <f t="shared" si="6"/>
        <v>3</v>
      </c>
      <c r="T49" s="185">
        <v>3</v>
      </c>
    </row>
    <row r="50" spans="1:20" x14ac:dyDescent="0.15">
      <c r="A50" s="185" t="str">
        <f>水面线计算!B54</f>
        <v>IP41</v>
      </c>
      <c r="B50" s="185">
        <f>IF(C50=0,0,水面线计算!E54)</f>
        <v>2.4</v>
      </c>
      <c r="C50" s="185">
        <f>水面线计算!F54</f>
        <v>71.498999999999995</v>
      </c>
      <c r="D50" s="185">
        <f>水面线计算!G54</f>
        <v>3143.9846479590092</v>
      </c>
      <c r="E50" s="185">
        <f>水面线计算!H54</f>
        <v>3145.4821195132695</v>
      </c>
      <c r="F50" s="185">
        <f>水面线计算!I54</f>
        <v>3146.9795910675293</v>
      </c>
      <c r="G50" s="185">
        <v>1</v>
      </c>
      <c r="H50" s="185">
        <f t="shared" si="0"/>
        <v>1</v>
      </c>
      <c r="I50" s="185">
        <f t="shared" si="1"/>
        <v>5</v>
      </c>
      <c r="J50" s="185">
        <f t="shared" si="2"/>
        <v>0</v>
      </c>
      <c r="K50" s="185">
        <f>水面线计算!AE54</f>
        <v>0</v>
      </c>
      <c r="L50" s="185">
        <f>水面线计算!Y54</f>
        <v>0</v>
      </c>
      <c r="N50" s="201" t="str">
        <f>IF(J50=1,IF(O50="矩形渠","",IF(COUNTIF(Q49,"*IP*"),"","补点")),"")</f>
        <v/>
      </c>
      <c r="O50" s="201" t="str">
        <f>IF(J50=1,IF(COUNTIF(Q49,"*IP*"),"",IF(G49=1,IF((D50-F49-([2]断面设计!$T$83+[2]断面设计!$U$83)-12*[2]断面设计!$S$83)&lt;0,"矩形渠",""),IF(G49=2,IF((D50-F49-([2]断面设计!$T$84+[2]断面设计!$U$84)-12*[2]断面设计!$S$84)&lt;0,"矩形渠",""),IF(G49=3,IF((D50-F49-([2]断面设计!$T$85+[2]断面设计!$U$85)-12*[2]断面设计!$S$85)&lt;0,"矩形渠",""),IF(G49=4,IF((D50-F49-([2]断面设计!$T$86+[2]断面设计!$U$86)-12*[2]断面设计!$S$86)&lt;0,"矩形渠",""),0))))),"")</f>
        <v/>
      </c>
      <c r="P50" s="203" t="str">
        <f>IF(J50=0,IF(J49=1,"结构转弯",IF(J47=1,IF(J49=0,"结构转弯",""),"")),"")</f>
        <v>结构转弯</v>
      </c>
      <c r="Q50" s="186" t="str">
        <f>IF(COUNTIF(A50,"*隧*"),"隧洞",IF(COUNTIF(A50,"*渡*"),"渡槽",IF(COUNTIF(A50,"*倒*"),"倒虹管",IF(COUNTIF(A50,"*暗*"),"暗渠",IF(COUNTIF(A50,"*分水*"),"分水闸",IF(P50="结构转弯",Q49,IF(COUNTIF(A50,"*泄*"),"泄水闸",A50)))))))</f>
        <v>倒虹管</v>
      </c>
      <c r="R50" s="185">
        <f t="shared" si="5"/>
        <v>5</v>
      </c>
      <c r="S50" s="185">
        <f t="shared" si="6"/>
        <v>3</v>
      </c>
      <c r="T50" s="185">
        <v>3</v>
      </c>
    </row>
    <row r="51" spans="1:20" x14ac:dyDescent="0.15">
      <c r="A51" s="185" t="str">
        <f>水面线计算!B55</f>
        <v>3#倒出</v>
      </c>
      <c r="B51" s="185">
        <f>IF(C51=0,0,水面线计算!E55)</f>
        <v>0</v>
      </c>
      <c r="C51" s="185">
        <f>水面线计算!F55</f>
        <v>0</v>
      </c>
      <c r="D51" s="185">
        <f>水面线计算!G55</f>
        <v>3172.4505658999014</v>
      </c>
      <c r="E51" s="185">
        <f>水面线计算!H55</f>
        <v>3172.4505658999014</v>
      </c>
      <c r="F51" s="185">
        <f>水面线计算!I55</f>
        <v>3172.4505658999014</v>
      </c>
      <c r="G51" s="185">
        <v>1</v>
      </c>
      <c r="H51" s="185">
        <f t="shared" si="0"/>
        <v>1</v>
      </c>
      <c r="I51" s="185">
        <f t="shared" si="1"/>
        <v>5</v>
      </c>
      <c r="J51" s="185">
        <f t="shared" si="2"/>
        <v>2</v>
      </c>
      <c r="K51" s="185">
        <f>水面线计算!AE55</f>
        <v>0</v>
      </c>
      <c r="L51" s="185">
        <f>水面线计算!Y55</f>
        <v>0.56000000000000005</v>
      </c>
      <c r="N51" s="201"/>
      <c r="O51" s="201"/>
      <c r="P51" s="203"/>
      <c r="Q51" s="186" t="str">
        <f>IF(COUNTIF(A51,"*隧*"),"隧洞",IF(COUNTIF(A51,"*渡*"),"渡槽",IF(COUNTIF(A51,"*倒*"),"倒虹管",IF(COUNTIF(A51,"*暗*"),"暗渠",IF(COUNTIF(A51,"*分水*"),"分水闸",IF(P51="结构转弯",Q50,IF(COUNTIF(A51,"*泄*"),"泄水闸",A51)))))))</f>
        <v>倒虹管</v>
      </c>
      <c r="R51" s="185">
        <f t="shared" si="5"/>
        <v>5</v>
      </c>
      <c r="S51" s="185">
        <f t="shared" si="6"/>
        <v>3</v>
      </c>
      <c r="T51" s="185">
        <v>3</v>
      </c>
    </row>
    <row r="52" spans="1:20" x14ac:dyDescent="0.15">
      <c r="A52" s="185" t="str">
        <f>水面线计算!B56</f>
        <v>IP42</v>
      </c>
      <c r="B52" s="185">
        <f>IF(C52=0,0,水面线计算!E56)</f>
        <v>10</v>
      </c>
      <c r="C52" s="185">
        <f>水面线计算!F56</f>
        <v>41.322000000000003</v>
      </c>
      <c r="D52" s="185">
        <f>水面线计算!G56</f>
        <v>3211.2583302410007</v>
      </c>
      <c r="E52" s="185">
        <f>水面线计算!H56</f>
        <v>3214.8643550085462</v>
      </c>
      <c r="F52" s="185">
        <f>水面线计算!I56</f>
        <v>3218.4703797760917</v>
      </c>
      <c r="G52" s="185">
        <v>1</v>
      </c>
      <c r="H52" s="185">
        <f t="shared" si="0"/>
        <v>1</v>
      </c>
      <c r="I52" s="185">
        <f t="shared" si="1"/>
        <v>5</v>
      </c>
      <c r="J52" s="185">
        <f t="shared" si="2"/>
        <v>0</v>
      </c>
      <c r="K52" s="185">
        <f>水面线计算!AE56</f>
        <v>0</v>
      </c>
      <c r="L52" s="185">
        <f>水面线计算!Y56</f>
        <v>0</v>
      </c>
      <c r="N52" s="201" t="str">
        <f>IF(J52=1,IF(O52="矩形渠","",IF(COUNTIF(Q50,"*IP*"),"","补点")),"")</f>
        <v/>
      </c>
      <c r="O52" s="201" t="str">
        <f>IF(J52=1,IF(COUNTIF(Q50,"*IP*"),"",IF(G50=1,IF((D52-F50-([2]断面设计!$T$83+[2]断面设计!$U$83)-12*[2]断面设计!$S$83)&lt;0,"矩形渠",""),IF(G50=2,IF((D52-F50-([2]断面设计!$T$84+[2]断面设计!$U$84)-12*[2]断面设计!$S$84)&lt;0,"矩形渠",""),IF(G50=3,IF((D52-F50-([2]断面设计!$T$85+[2]断面设计!$U$85)-12*[2]断面设计!$S$85)&lt;0,"矩形渠",""),IF(G50=4,IF((D52-F50-([2]断面设计!$T$86+[2]断面设计!$U$86)-12*[2]断面设计!$S$86)&lt;0,"矩形渠",""),0))))),"")</f>
        <v/>
      </c>
      <c r="P52" s="203" t="str">
        <f>IF(J52=0,IF(J50=1,"结构转弯",IF(J49=1,IF(J50=0,"结构转弯",""),"")),"")</f>
        <v>结构转弯</v>
      </c>
      <c r="Q52" s="186" t="str">
        <f>IF(COUNTIF(A52,"*隧*"),"隧洞",IF(COUNTIF(A52,"*渡*"),"渡槽",IF(COUNTIF(A52,"*倒*"),"倒虹管",IF(COUNTIF(A52,"*暗*"),"暗渠",IF(COUNTIF(A52,"*分水*"),"分水闸",IF(P52="结构转弯",Q50,IF(COUNTIF(A52,"*泄*"),"泄水闸",A52)))))))</f>
        <v>倒虹管</v>
      </c>
      <c r="R52" s="185">
        <f t="shared" si="5"/>
        <v>5</v>
      </c>
      <c r="S52" s="185">
        <f t="shared" si="6"/>
        <v>3</v>
      </c>
      <c r="T52" s="185">
        <v>3</v>
      </c>
    </row>
    <row r="53" spans="1:20" x14ac:dyDescent="0.15">
      <c r="A53" s="185" t="str">
        <f>水面线计算!B57</f>
        <v>IP43</v>
      </c>
      <c r="B53" s="185">
        <f>IF(C53=0,0,水面线计算!E57)</f>
        <v>10</v>
      </c>
      <c r="C53" s="185">
        <f>水面线计算!F57</f>
        <v>52.103000000000002</v>
      </c>
      <c r="D53" s="185">
        <f>水面线计算!G57</f>
        <v>3296.5541927805853</v>
      </c>
      <c r="E53" s="185">
        <f>水面线计算!H57</f>
        <v>3301.1010372814185</v>
      </c>
      <c r="F53" s="185">
        <f>水面线计算!I57</f>
        <v>3305.6478817822513</v>
      </c>
      <c r="G53" s="185">
        <v>1</v>
      </c>
      <c r="H53" s="185">
        <f t="shared" si="0"/>
        <v>1</v>
      </c>
      <c r="I53" s="185">
        <f t="shared" si="1"/>
        <v>3</v>
      </c>
      <c r="J53" s="185">
        <f t="shared" si="2"/>
        <v>0</v>
      </c>
      <c r="K53" s="185">
        <f>水面线计算!AE57</f>
        <v>0</v>
      </c>
      <c r="L53" s="185">
        <f>水面线计算!Y57</f>
        <v>0</v>
      </c>
      <c r="N53" s="201" t="str">
        <f t="shared" ref="N53:N83" si="11">IF(J53=1,IF(O53="矩形渠","",IF(COUNTIF(Q52,"*IP*"),"","补点")),"")</f>
        <v/>
      </c>
      <c r="O53" s="201" t="str">
        <f>IF(J53=1,IF(COUNTIF(Q52,"*IP*"),"",IF(G52=1,IF((D53-F52-([2]断面设计!$T$83+[2]断面设计!$U$83)-12*[2]断面设计!$S$83)&lt;0,"矩形渠",""),IF(G52=2,IF((D53-F52-([2]断面设计!$T$84+[2]断面设计!$U$84)-12*[2]断面设计!$S$84)&lt;0,"矩形渠",""),IF(G52=3,IF((D53-F52-([2]断面设计!$T$85+[2]断面设计!$U$85)-12*[2]断面设计!$S$85)&lt;0,"矩形渠",""),IF(G52=4,IF((D53-F52-([2]断面设计!$T$86+[2]断面设计!$U$86)-12*[2]断面设计!$S$86)&lt;0,"矩形渠",""),0))))),"")</f>
        <v/>
      </c>
      <c r="P53" s="203" t="str">
        <f>IF(J53=0,IF(J52=1,"结构转弯",IF(J50=1,IF(J52=0,"结构转弯",""),"")),"")</f>
        <v/>
      </c>
      <c r="Q53" s="186" t="str">
        <f t="shared" ref="Q53:Q114" si="12">IF(COUNTIF(A53,"*隧*"),"隧洞",IF(COUNTIF(A53,"*渡*"),"渡槽",IF(COUNTIF(A53,"*倒*"),"倒虹管",IF(COUNTIF(A53,"*暗*"),"暗渠",IF(COUNTIF(A53,"*分水*"),"分水闸",IF(P53="结构转弯",Q52,IF(COUNTIF(A53,"*泄*"),"泄水闸",A53)))))))</f>
        <v>IP43</v>
      </c>
      <c r="R53" s="185">
        <f t="shared" si="5"/>
        <v>3</v>
      </c>
      <c r="S53" s="185">
        <f t="shared" si="6"/>
        <v>3</v>
      </c>
      <c r="T53" s="185">
        <v>3</v>
      </c>
    </row>
    <row r="54" spans="1:20" x14ac:dyDescent="0.15">
      <c r="A54" s="185" t="str">
        <f>水面线计算!B59</f>
        <v>IP44</v>
      </c>
      <c r="B54" s="185">
        <f>IF(C54=0,0,水面线计算!E59)</f>
        <v>10</v>
      </c>
      <c r="C54" s="185">
        <f>水面线计算!F59</f>
        <v>56.485999999999997</v>
      </c>
      <c r="D54" s="185">
        <f>水面线计算!G59</f>
        <v>3539.2037260377406</v>
      </c>
      <c r="E54" s="185">
        <f>水面线计算!H59</f>
        <v>3544.1330594441483</v>
      </c>
      <c r="F54" s="185">
        <f>水面线计算!I59</f>
        <v>3549.0623928505556</v>
      </c>
      <c r="G54" s="185">
        <v>1</v>
      </c>
      <c r="H54" s="185">
        <f t="shared" si="0"/>
        <v>1</v>
      </c>
      <c r="I54" s="185">
        <f t="shared" si="1"/>
        <v>3</v>
      </c>
      <c r="J54" s="185">
        <f t="shared" si="2"/>
        <v>0</v>
      </c>
      <c r="K54" s="185">
        <f>水面线计算!AE59</f>
        <v>0</v>
      </c>
      <c r="L54" s="185">
        <f>水面线计算!Y59</f>
        <v>0</v>
      </c>
      <c r="N54" s="201" t="str">
        <f t="shared" si="11"/>
        <v/>
      </c>
      <c r="O54" s="201" t="str">
        <f>IF(J54=1,IF(COUNTIF(Q53,"*IP*"),"",IF(G53=1,IF((D54-F53-([2]断面设计!$T$83+[2]断面设计!$U$83)-12*[2]断面设计!$S$83)&lt;0,"矩形渠",""),IF(G53=2,IF((D54-F53-([2]断面设计!$T$84+[2]断面设计!$U$84)-12*[2]断面设计!$S$84)&lt;0,"矩形渠",""),IF(G53=3,IF((D54-F53-([2]断面设计!$T$85+[2]断面设计!$U$85)-12*[2]断面设计!$S$85)&lt;0,"矩形渠",""),IF(G53=4,IF((D54-F53-([2]断面设计!$T$86+[2]断面设计!$U$86)-12*[2]断面设计!$S$86)&lt;0,"矩形渠",""),0))))),"")</f>
        <v/>
      </c>
      <c r="P54" s="203" t="str">
        <f t="shared" ref="P54:P80" si="13">IF(J54=0,IF(J53=1,"结构转弯",IF(J52=1,IF(J53=0,"结构转弯",""),"")),"")</f>
        <v/>
      </c>
      <c r="Q54" s="186" t="str">
        <f t="shared" si="12"/>
        <v>IP44</v>
      </c>
      <c r="R54" s="185">
        <f t="shared" si="5"/>
        <v>3</v>
      </c>
      <c r="S54" s="185">
        <f t="shared" si="6"/>
        <v>3</v>
      </c>
      <c r="T54" s="185">
        <v>3</v>
      </c>
    </row>
    <row r="55" spans="1:20" x14ac:dyDescent="0.15">
      <c r="A55" s="185" t="str">
        <f>水面线计算!B60</f>
        <v>4#倒进</v>
      </c>
      <c r="B55" s="185">
        <f>IF(C55=0,0,水面线计算!E60)</f>
        <v>0</v>
      </c>
      <c r="C55" s="185">
        <f>水面线计算!F60</f>
        <v>0</v>
      </c>
      <c r="D55" s="185">
        <f>水面线计算!G60</f>
        <v>3549.0603039879065</v>
      </c>
      <c r="E55" s="185">
        <f>水面线计算!H60</f>
        <v>3549.0603039879065</v>
      </c>
      <c r="F55" s="185">
        <f>水面线计算!I60</f>
        <v>3549.0603039879065</v>
      </c>
      <c r="G55" s="185">
        <v>1</v>
      </c>
      <c r="H55" s="185">
        <f t="shared" si="0"/>
        <v>1</v>
      </c>
      <c r="I55" s="185">
        <f t="shared" si="1"/>
        <v>5</v>
      </c>
      <c r="J55" s="185">
        <f t="shared" si="2"/>
        <v>1</v>
      </c>
      <c r="K55" s="185">
        <f>水面线计算!AE60</f>
        <v>0</v>
      </c>
      <c r="L55" s="185">
        <f>水面线计算!Y60</f>
        <v>0</v>
      </c>
      <c r="N55" s="201" t="str">
        <f t="shared" si="11"/>
        <v/>
      </c>
      <c r="O55" s="201" t="str">
        <f>IF(J55=1,IF(COUNTIF(Q54,"*IP*"),"",IF(G54=1,IF((D55-F54-([2]断面设计!$T$83+[2]断面设计!$U$83)-12*[2]断面设计!$S$83)&lt;0,"矩形渠",""),IF(G54=2,IF((D55-F54-([2]断面设计!$T$84+[2]断面设计!$U$84)-12*[2]断面设计!$S$84)&lt;0,"矩形渠",""),IF(G54=3,IF((D55-F54-([2]断面设计!$T$85+[2]断面设计!$U$85)-12*[2]断面设计!$S$85)&lt;0,"矩形渠",""),IF(G54=4,IF((D55-F54-([2]断面设计!$T$86+[2]断面设计!$U$86)-12*[2]断面设计!$S$86)&lt;0,"矩形渠",""),0))))),"")</f>
        <v/>
      </c>
      <c r="P55" s="203" t="str">
        <f t="shared" si="13"/>
        <v/>
      </c>
      <c r="Q55" s="186" t="str">
        <f t="shared" si="12"/>
        <v>倒虹管</v>
      </c>
      <c r="R55" s="185">
        <f t="shared" si="5"/>
        <v>5</v>
      </c>
      <c r="S55" s="185">
        <f t="shared" si="6"/>
        <v>3</v>
      </c>
      <c r="T55" s="185">
        <v>3</v>
      </c>
    </row>
    <row r="56" spans="1:20" x14ac:dyDescent="0.15">
      <c r="A56" s="185" t="e">
        <f>水面线计算!#REF!</f>
        <v>#REF!</v>
      </c>
      <c r="B56" s="185" t="e">
        <f>IF(C56=0,0,水面线计算!#REF!)</f>
        <v>#REF!</v>
      </c>
      <c r="C56" s="185" t="e">
        <f>水面线计算!#REF!</f>
        <v>#REF!</v>
      </c>
      <c r="D56" s="185" t="e">
        <f>水面线计算!#REF!</f>
        <v>#REF!</v>
      </c>
      <c r="E56" s="185" t="e">
        <f>水面线计算!#REF!</f>
        <v>#REF!</v>
      </c>
      <c r="F56" s="185" t="e">
        <f>水面线计算!#REF!</f>
        <v>#REF!</v>
      </c>
      <c r="G56" s="185">
        <v>1</v>
      </c>
      <c r="H56" s="185">
        <f t="shared" si="0"/>
        <v>1</v>
      </c>
      <c r="I56" s="185">
        <f t="shared" si="1"/>
        <v>5</v>
      </c>
      <c r="J56" s="185">
        <f t="shared" si="2"/>
        <v>0</v>
      </c>
      <c r="K56" s="185" t="e">
        <f>水面线计算!#REF!</f>
        <v>#REF!</v>
      </c>
      <c r="L56" s="185" t="e">
        <f>水面线计算!#REF!</f>
        <v>#REF!</v>
      </c>
      <c r="N56" s="201" t="str">
        <f t="shared" si="11"/>
        <v/>
      </c>
      <c r="O56" s="201" t="str">
        <f>IF(J56=1,IF(COUNTIF(Q55,"*IP*"),"",IF(G55=1,IF((D56-F55-([2]断面设计!$T$83+[2]断面设计!$U$83)-12*[2]断面设计!$S$83)&lt;0,"矩形渠",""),IF(G55=2,IF((D56-F55-([2]断面设计!$T$84+[2]断面设计!$U$84)-12*[2]断面设计!$S$84)&lt;0,"矩形渠",""),IF(G55=3,IF((D56-F55-([2]断面设计!$T$85+[2]断面设计!$U$85)-12*[2]断面设计!$S$85)&lt;0,"矩形渠",""),IF(G55=4,IF((D56-F55-([2]断面设计!$T$86+[2]断面设计!$U$86)-12*[2]断面设计!$S$86)&lt;0,"矩形渠",""),0))))),"")</f>
        <v/>
      </c>
      <c r="P56" s="203" t="str">
        <f t="shared" si="13"/>
        <v>结构转弯</v>
      </c>
      <c r="Q56" s="186" t="str">
        <f t="shared" si="12"/>
        <v>倒虹管</v>
      </c>
      <c r="R56" s="185">
        <f t="shared" si="5"/>
        <v>5</v>
      </c>
      <c r="S56" s="185">
        <f t="shared" si="6"/>
        <v>3</v>
      </c>
      <c r="T56" s="185">
        <v>3</v>
      </c>
    </row>
    <row r="57" spans="1:20" x14ac:dyDescent="0.15">
      <c r="A57" s="185" t="str">
        <f>水面线计算!B61</f>
        <v>4#倒出</v>
      </c>
      <c r="B57" s="185">
        <f>IF(C57=0,0,水面线计算!E61)</f>
        <v>0</v>
      </c>
      <c r="C57" s="185">
        <f>水面线计算!F61</f>
        <v>0</v>
      </c>
      <c r="D57" s="185">
        <f>水面线计算!G61</f>
        <v>3745.1482280600312</v>
      </c>
      <c r="E57" s="185">
        <f>水面线计算!H61</f>
        <v>3745.1482280600312</v>
      </c>
      <c r="F57" s="185">
        <f>水面线计算!I61</f>
        <v>3745.1482280600312</v>
      </c>
      <c r="G57" s="185">
        <v>1</v>
      </c>
      <c r="H57" s="185">
        <f t="shared" si="0"/>
        <v>1</v>
      </c>
      <c r="I57" s="185">
        <f t="shared" si="1"/>
        <v>5</v>
      </c>
      <c r="J57" s="185">
        <f t="shared" si="2"/>
        <v>2</v>
      </c>
      <c r="K57" s="185">
        <f>水面线计算!AE61</f>
        <v>0</v>
      </c>
      <c r="L57" s="185">
        <f>水面线计算!Y61</f>
        <v>0.56999999999999995</v>
      </c>
      <c r="N57" s="201" t="str">
        <f t="shared" si="11"/>
        <v/>
      </c>
      <c r="O57" s="201" t="str">
        <f>IF(J57=1,IF(COUNTIF(Q56,"*IP*"),"",IF(G56=1,IF((D57-F56-([2]断面设计!$T$83+[2]断面设计!$U$83)-12*[2]断面设计!$S$83)&lt;0,"矩形渠",""),IF(G56=2,IF((D57-F56-([2]断面设计!$T$84+[2]断面设计!$U$84)-12*[2]断面设计!$S$84)&lt;0,"矩形渠",""),IF(G56=3,IF((D57-F56-([2]断面设计!$T$85+[2]断面设计!$U$85)-12*[2]断面设计!$S$85)&lt;0,"矩形渠",""),IF(G56=4,IF((D57-F56-([2]断面设计!$T$86+[2]断面设计!$U$86)-12*[2]断面设计!$S$86)&lt;0,"矩形渠",""),0))))),"")</f>
        <v/>
      </c>
      <c r="P57" s="203" t="str">
        <f t="shared" si="13"/>
        <v/>
      </c>
      <c r="Q57" s="186" t="str">
        <f t="shared" si="12"/>
        <v>倒虹管</v>
      </c>
      <c r="R57" s="185">
        <f t="shared" si="5"/>
        <v>5</v>
      </c>
      <c r="S57" s="185">
        <f t="shared" si="6"/>
        <v>3</v>
      </c>
      <c r="T57" s="185">
        <v>3</v>
      </c>
    </row>
    <row r="58" spans="1:20" x14ac:dyDescent="0.15">
      <c r="A58" s="185" t="str">
        <f>水面线计算!B62</f>
        <v>IP45</v>
      </c>
      <c r="B58" s="185">
        <f>IF(C58=0,0,水面线计算!E62)</f>
        <v>10</v>
      </c>
      <c r="C58" s="185">
        <f>水面线计算!F62</f>
        <v>67.454999999999998</v>
      </c>
      <c r="D58" s="185">
        <f>水面线计算!G62</f>
        <v>3799.4402566868007</v>
      </c>
      <c r="E58" s="185">
        <f>水面线计算!H62</f>
        <v>3805.3268159214645</v>
      </c>
      <c r="F58" s="185">
        <f>水面线计算!I62</f>
        <v>3811.2133751561282</v>
      </c>
      <c r="G58" s="185">
        <v>1</v>
      </c>
      <c r="H58" s="185">
        <f t="shared" si="0"/>
        <v>1</v>
      </c>
      <c r="I58" s="185">
        <f t="shared" si="1"/>
        <v>3</v>
      </c>
      <c r="J58" s="185">
        <f t="shared" si="2"/>
        <v>0</v>
      </c>
      <c r="K58" s="185">
        <f>水面线计算!AE62</f>
        <v>0</v>
      </c>
      <c r="L58" s="185">
        <f>水面线计算!Y62</f>
        <v>0</v>
      </c>
      <c r="N58" s="201" t="str">
        <f t="shared" si="11"/>
        <v/>
      </c>
      <c r="O58" s="201" t="str">
        <f>IF(J58=1,IF(COUNTIF(Q57,"*IP*"),"",IF(G57=1,IF((D58-F57-([2]断面设计!$T$83+[2]断面设计!$U$83)-12*[2]断面设计!$S$83)&lt;0,"矩形渠",""),IF(G57=2,IF((D58-F57-([2]断面设计!$T$84+[2]断面设计!$U$84)-12*[2]断面设计!$S$84)&lt;0,"矩形渠",""),IF(G57=3,IF((D58-F57-([2]断面设计!$T$85+[2]断面设计!$U$85)-12*[2]断面设计!$S$85)&lt;0,"矩形渠",""),IF(G57=4,IF((D58-F57-([2]断面设计!$T$86+[2]断面设计!$U$86)-12*[2]断面设计!$S$86)&lt;0,"矩形渠",""),0))))),"")</f>
        <v/>
      </c>
      <c r="P58" s="203" t="str">
        <f t="shared" si="13"/>
        <v/>
      </c>
      <c r="Q58" s="186" t="str">
        <f t="shared" si="12"/>
        <v>IP45</v>
      </c>
      <c r="R58" s="185">
        <f t="shared" si="5"/>
        <v>3</v>
      </c>
      <c r="S58" s="185">
        <f t="shared" si="6"/>
        <v>3</v>
      </c>
      <c r="T58" s="185">
        <v>3</v>
      </c>
    </row>
    <row r="59" spans="1:20" x14ac:dyDescent="0.15">
      <c r="A59" s="185" t="str">
        <f>水面线计算!B63</f>
        <v>IP46</v>
      </c>
      <c r="B59" s="185">
        <f>IF(C59=0,0,水面线计算!E63)</f>
        <v>10</v>
      </c>
      <c r="C59" s="185">
        <f>水面线计算!F63</f>
        <v>11.757</v>
      </c>
      <c r="D59" s="185">
        <f>水面线计算!G63</f>
        <v>3830.4324031962597</v>
      </c>
      <c r="E59" s="185">
        <f>水面线计算!H63</f>
        <v>3831.4583949970447</v>
      </c>
      <c r="F59" s="185">
        <f>水面线计算!I63</f>
        <v>3832.4843867978293</v>
      </c>
      <c r="G59" s="185">
        <v>1</v>
      </c>
      <c r="H59" s="185">
        <f t="shared" si="0"/>
        <v>1</v>
      </c>
      <c r="I59" s="185">
        <f t="shared" si="1"/>
        <v>3</v>
      </c>
      <c r="J59" s="185">
        <f t="shared" si="2"/>
        <v>0</v>
      </c>
      <c r="K59" s="185">
        <f>水面线计算!AE63</f>
        <v>0</v>
      </c>
      <c r="L59" s="185">
        <f>水面线计算!Y63</f>
        <v>0</v>
      </c>
      <c r="N59" s="201" t="str">
        <f t="shared" si="11"/>
        <v/>
      </c>
      <c r="O59" s="201" t="str">
        <f>IF(J59=1,IF(COUNTIF(Q58,"*IP*"),"",IF(G58=1,IF((D59-F58-([2]断面设计!$T$83+[2]断面设计!$U$83)-12*[2]断面设计!$S$83)&lt;0,"矩形渠",""),IF(G58=2,IF((D59-F58-([2]断面设计!$T$84+[2]断面设计!$U$84)-12*[2]断面设计!$S$84)&lt;0,"矩形渠",""),IF(G58=3,IF((D59-F58-([2]断面设计!$T$85+[2]断面设计!$U$85)-12*[2]断面设计!$S$85)&lt;0,"矩形渠",""),IF(G58=4,IF((D59-F58-([2]断面设计!$T$86+[2]断面设计!$U$86)-12*[2]断面设计!$S$86)&lt;0,"矩形渠",""),0))))),"")</f>
        <v/>
      </c>
      <c r="P59" s="203" t="str">
        <f t="shared" si="13"/>
        <v/>
      </c>
      <c r="Q59" s="186" t="str">
        <f t="shared" si="12"/>
        <v>IP46</v>
      </c>
      <c r="R59" s="185">
        <f t="shared" si="5"/>
        <v>3</v>
      </c>
      <c r="S59" s="185">
        <f t="shared" si="6"/>
        <v>3</v>
      </c>
      <c r="T59" s="185">
        <v>3</v>
      </c>
    </row>
    <row r="60" spans="1:20" x14ac:dyDescent="0.15">
      <c r="A60" s="185" t="str">
        <f>水面线计算!B64</f>
        <v>IP47</v>
      </c>
      <c r="B60" s="185">
        <f>IF(C60=0,0,水面线计算!E64)</f>
        <v>10</v>
      </c>
      <c r="C60" s="185">
        <f>水面线计算!F64</f>
        <v>28.210999999999999</v>
      </c>
      <c r="D60" s="185">
        <f>水面线计算!G64</f>
        <v>3842.0242513576027</v>
      </c>
      <c r="E60" s="185">
        <f>水面线计算!H64</f>
        <v>3844.4861255340033</v>
      </c>
      <c r="F60" s="185">
        <f>水面线计算!I64</f>
        <v>3846.947999710404</v>
      </c>
      <c r="G60" s="185">
        <v>1</v>
      </c>
      <c r="H60" s="185">
        <f t="shared" si="0"/>
        <v>1</v>
      </c>
      <c r="I60" s="185">
        <f t="shared" si="1"/>
        <v>3</v>
      </c>
      <c r="J60" s="185">
        <f t="shared" si="2"/>
        <v>0</v>
      </c>
      <c r="K60" s="185">
        <f>水面线计算!AE64</f>
        <v>0</v>
      </c>
      <c r="L60" s="185">
        <f>水面线计算!Y64</f>
        <v>0</v>
      </c>
      <c r="N60" s="201" t="str">
        <f t="shared" si="11"/>
        <v/>
      </c>
      <c r="O60" s="201" t="str">
        <f>IF(J60=1,IF(COUNTIF(Q59,"*IP*"),"",IF(G59=1,IF((D60-F59-([2]断面设计!$T$83+[2]断面设计!$U$83)-12*[2]断面设计!$S$83)&lt;0,"矩形渠",""),IF(G59=2,IF((D60-F59-([2]断面设计!$T$84+[2]断面设计!$U$84)-12*[2]断面设计!$S$84)&lt;0,"矩形渠",""),IF(G59=3,IF((D60-F59-([2]断面设计!$T$85+[2]断面设计!$U$85)-12*[2]断面设计!$S$85)&lt;0,"矩形渠",""),IF(G59=4,IF((D60-F59-([2]断面设计!$T$86+[2]断面设计!$U$86)-12*[2]断面设计!$S$86)&lt;0,"矩形渠",""),0))))),"")</f>
        <v/>
      </c>
      <c r="P60" s="203" t="str">
        <f t="shared" si="13"/>
        <v/>
      </c>
      <c r="Q60" s="186" t="str">
        <f t="shared" si="12"/>
        <v>IP47</v>
      </c>
      <c r="R60" s="185">
        <f t="shared" si="5"/>
        <v>3</v>
      </c>
      <c r="S60" s="185">
        <f t="shared" si="6"/>
        <v>3</v>
      </c>
      <c r="T60" s="185">
        <v>3</v>
      </c>
    </row>
    <row r="61" spans="1:20" x14ac:dyDescent="0.15">
      <c r="A61" s="185" t="str">
        <f>水面线计算!B65</f>
        <v>IP48</v>
      </c>
      <c r="B61" s="185">
        <f>IF(C61=0,0,水面线计算!E65)</f>
        <v>10</v>
      </c>
      <c r="C61" s="185">
        <f>水面线计算!F65</f>
        <v>59.933999999999997</v>
      </c>
      <c r="D61" s="185">
        <f>水面线计算!G65</f>
        <v>3867.4315769153072</v>
      </c>
      <c r="E61" s="185">
        <f>水面线计算!H65</f>
        <v>3872.6618050847587</v>
      </c>
      <c r="F61" s="185">
        <f>水面线计算!I65</f>
        <v>3877.8920332542102</v>
      </c>
      <c r="G61" s="185">
        <v>1</v>
      </c>
      <c r="H61" s="185">
        <f t="shared" si="0"/>
        <v>1</v>
      </c>
      <c r="I61" s="185">
        <f t="shared" si="1"/>
        <v>3</v>
      </c>
      <c r="J61" s="185">
        <f t="shared" si="2"/>
        <v>0</v>
      </c>
      <c r="K61" s="185">
        <f>水面线计算!AE65</f>
        <v>0</v>
      </c>
      <c r="L61" s="185">
        <f>水面线计算!Y65</f>
        <v>0</v>
      </c>
      <c r="N61" s="201" t="str">
        <f t="shared" si="11"/>
        <v/>
      </c>
      <c r="O61" s="201" t="str">
        <f>IF(J61=1,IF(COUNTIF(Q60,"*IP*"),"",IF(G60=1,IF((D61-F60-([2]断面设计!$T$83+[2]断面设计!$U$83)-12*[2]断面设计!$S$83)&lt;0,"矩形渠",""),IF(G60=2,IF((D61-F60-([2]断面设计!$T$84+[2]断面设计!$U$84)-12*[2]断面设计!$S$84)&lt;0,"矩形渠",""),IF(G60=3,IF((D61-F60-([2]断面设计!$T$85+[2]断面设计!$U$85)-12*[2]断面设计!$S$85)&lt;0,"矩形渠",""),IF(G60=4,IF((D61-F60-([2]断面设计!$T$86+[2]断面设计!$U$86)-12*[2]断面设计!$S$86)&lt;0,"矩形渠",""),0))))),"")</f>
        <v/>
      </c>
      <c r="P61" s="203" t="str">
        <f t="shared" si="13"/>
        <v/>
      </c>
      <c r="Q61" s="186" t="str">
        <f t="shared" si="12"/>
        <v>IP48</v>
      </c>
      <c r="R61" s="185">
        <f t="shared" si="5"/>
        <v>3</v>
      </c>
      <c r="S61" s="185">
        <f t="shared" si="6"/>
        <v>3</v>
      </c>
      <c r="T61" s="185">
        <v>3</v>
      </c>
    </row>
    <row r="62" spans="1:20" x14ac:dyDescent="0.15">
      <c r="A62" s="185" t="str">
        <f>水面线计算!B66</f>
        <v>1#隧进</v>
      </c>
      <c r="B62" s="185">
        <f>IF(C62=0,0,水面线计算!E66)</f>
        <v>0</v>
      </c>
      <c r="C62" s="185">
        <f>水面线计算!F66</f>
        <v>0</v>
      </c>
      <c r="D62" s="185">
        <f>水面线计算!G66</f>
        <v>3894.7862583655656</v>
      </c>
      <c r="E62" s="185">
        <f>水面线计算!H66</f>
        <v>3894.7862583655656</v>
      </c>
      <c r="F62" s="185">
        <f>水面线计算!I66</f>
        <v>3894.7862583655656</v>
      </c>
      <c r="G62" s="185">
        <v>1</v>
      </c>
      <c r="H62" s="185">
        <f t="shared" si="0"/>
        <v>3</v>
      </c>
      <c r="I62" s="185">
        <f t="shared" si="1"/>
        <v>1</v>
      </c>
      <c r="J62" s="185">
        <f t="shared" si="2"/>
        <v>1</v>
      </c>
      <c r="K62" s="185">
        <f>水面线计算!AE66</f>
        <v>5</v>
      </c>
      <c r="L62" s="185">
        <f>水面线计算!Y66</f>
        <v>0</v>
      </c>
      <c r="N62" s="201" t="str">
        <f t="shared" si="11"/>
        <v/>
      </c>
      <c r="O62" s="201" t="str">
        <f>IF(J62=1,IF(COUNTIF(Q61,"*IP*"),"",IF(G61=1,IF((D62-F61-([2]断面设计!$T$83+[2]断面设计!$U$83)-12*[2]断面设计!$S$83)&lt;0,"矩形渠",""),IF(G61=2,IF((D62-F61-([2]断面设计!$T$84+[2]断面设计!$U$84)-12*[2]断面设计!$S$84)&lt;0,"矩形渠",""),IF(G61=3,IF((D62-F61-([2]断面设计!$T$85+[2]断面设计!$U$85)-12*[2]断面设计!$S$85)&lt;0,"矩形渠",""),IF(G61=4,IF((D62-F61-([2]断面设计!$T$86+[2]断面设计!$U$86)-12*[2]断面设计!$S$86)&lt;0,"矩形渠",""),0))))),"")</f>
        <v/>
      </c>
      <c r="P62" s="203" t="str">
        <f t="shared" si="13"/>
        <v/>
      </c>
      <c r="Q62" s="186" t="str">
        <f t="shared" si="12"/>
        <v>隧洞</v>
      </c>
      <c r="R62" s="185">
        <f t="shared" si="5"/>
        <v>3</v>
      </c>
      <c r="S62" s="185">
        <f t="shared" si="6"/>
        <v>3</v>
      </c>
      <c r="T62" s="185">
        <v>3</v>
      </c>
    </row>
    <row r="63" spans="1:20" x14ac:dyDescent="0.15">
      <c r="A63" s="185" t="str">
        <f>水面线计算!B67</f>
        <v>1#隧出</v>
      </c>
      <c r="B63" s="185">
        <f>IF(C63=0,0,水面线计算!E67)</f>
        <v>0</v>
      </c>
      <c r="C63" s="185">
        <f>水面线计算!F67</f>
        <v>0</v>
      </c>
      <c r="D63" s="185">
        <f>水面线计算!G67</f>
        <v>4114.6661349455844</v>
      </c>
      <c r="E63" s="185">
        <f>水面线计算!H67</f>
        <v>4114.6661349455844</v>
      </c>
      <c r="F63" s="185">
        <f>水面线计算!I67</f>
        <v>4114.6661349455844</v>
      </c>
      <c r="G63" s="185">
        <v>1</v>
      </c>
      <c r="H63" s="185">
        <f t="shared" si="0"/>
        <v>3</v>
      </c>
      <c r="I63" s="185">
        <f t="shared" si="1"/>
        <v>1</v>
      </c>
      <c r="J63" s="185">
        <f t="shared" si="2"/>
        <v>2</v>
      </c>
      <c r="K63" s="185">
        <f>水面线计算!AE67</f>
        <v>5</v>
      </c>
      <c r="L63" s="185">
        <f>水面线计算!Y67</f>
        <v>0</v>
      </c>
      <c r="N63" s="201" t="str">
        <f t="shared" si="11"/>
        <v/>
      </c>
      <c r="O63" s="201" t="str">
        <f>IF(J63=1,IF(COUNTIF(Q62,"*IP*"),"",IF(G62=1,IF((D63-F62-([2]断面设计!$T$83+[2]断面设计!$U$83)-12*[2]断面设计!$S$83)&lt;0,"矩形渠",""),IF(G62=2,IF((D63-F62-([2]断面设计!$T$84+[2]断面设计!$U$84)-12*[2]断面设计!$S$84)&lt;0,"矩形渠",""),IF(G62=3,IF((D63-F62-([2]断面设计!$T$85+[2]断面设计!$U$85)-12*[2]断面设计!$S$85)&lt;0,"矩形渠",""),IF(G62=4,IF((D63-F62-([2]断面设计!$T$86+[2]断面设计!$U$86)-12*[2]断面设计!$S$86)&lt;0,"矩形渠",""),0))))),"")</f>
        <v/>
      </c>
      <c r="P63" s="203" t="str">
        <f t="shared" si="13"/>
        <v/>
      </c>
      <c r="Q63" s="186" t="str">
        <f t="shared" si="12"/>
        <v>隧洞</v>
      </c>
      <c r="R63" s="185">
        <f t="shared" si="5"/>
        <v>3</v>
      </c>
      <c r="S63" s="185">
        <f t="shared" si="6"/>
        <v>3</v>
      </c>
      <c r="T63" s="185">
        <v>3</v>
      </c>
    </row>
    <row r="64" spans="1:20" x14ac:dyDescent="0.15">
      <c r="A64" s="185" t="str">
        <f>水面线计算!B68</f>
        <v>IP49</v>
      </c>
      <c r="B64" s="185">
        <f>IF(C64=0,0,水面线计算!E68)</f>
        <v>10</v>
      </c>
      <c r="C64" s="185">
        <f>水面线计算!F68</f>
        <v>5.3310000000000004</v>
      </c>
      <c r="D64" s="185">
        <f>水面线计算!G68</f>
        <v>4175.9918719422867</v>
      </c>
      <c r="E64" s="185">
        <f>水面线计算!H68</f>
        <v>4176.4570894544058</v>
      </c>
      <c r="F64" s="185">
        <f>水面线计算!I68</f>
        <v>4176.922306966525</v>
      </c>
      <c r="G64" s="185">
        <v>1</v>
      </c>
      <c r="H64" s="185">
        <f t="shared" si="0"/>
        <v>1</v>
      </c>
      <c r="I64" s="185">
        <f t="shared" si="1"/>
        <v>3</v>
      </c>
      <c r="J64" s="185">
        <f t="shared" si="2"/>
        <v>0</v>
      </c>
      <c r="K64" s="185">
        <f>水面线计算!AE68</f>
        <v>0</v>
      </c>
      <c r="L64" s="185">
        <f>水面线计算!Y68</f>
        <v>0</v>
      </c>
      <c r="N64" s="201" t="str">
        <f t="shared" si="11"/>
        <v/>
      </c>
      <c r="O64" s="201" t="str">
        <f>IF(J64=1,IF(COUNTIF(Q63,"*IP*"),"",IF(G63=1,IF((D64-F63-([2]断面设计!$T$83+[2]断面设计!$U$83)-12*[2]断面设计!$S$83)&lt;0,"矩形渠",""),IF(G63=2,IF((D64-F63-([2]断面设计!$T$84+[2]断面设计!$U$84)-12*[2]断面设计!$S$84)&lt;0,"矩形渠",""),IF(G63=3,IF((D64-F63-([2]断面设计!$T$85+[2]断面设计!$U$85)-12*[2]断面设计!$S$85)&lt;0,"矩形渠",""),IF(G63=4,IF((D64-F63-([2]断面设计!$T$86+[2]断面设计!$U$86)-12*[2]断面设计!$S$86)&lt;0,"矩形渠",""),0))))),"")</f>
        <v/>
      </c>
      <c r="P64" s="203" t="str">
        <f t="shared" si="13"/>
        <v/>
      </c>
      <c r="Q64" s="186" t="str">
        <f t="shared" si="12"/>
        <v>IP49</v>
      </c>
      <c r="R64" s="185">
        <f t="shared" si="5"/>
        <v>3</v>
      </c>
      <c r="S64" s="185">
        <f t="shared" si="6"/>
        <v>3</v>
      </c>
      <c r="T64" s="185">
        <v>3</v>
      </c>
    </row>
    <row r="65" spans="1:20" x14ac:dyDescent="0.15">
      <c r="A65" s="185" t="str">
        <f>水面线计算!B69</f>
        <v>5#倒进</v>
      </c>
      <c r="B65" s="185">
        <f>IF(C65=0,0,水面线计算!E69)</f>
        <v>10</v>
      </c>
      <c r="C65" s="185">
        <f>水面线计算!F69</f>
        <v>4.0000000000000001E-3</v>
      </c>
      <c r="D65" s="185">
        <f>水面线计算!G69</f>
        <v>4176.9216262857726</v>
      </c>
      <c r="E65" s="185">
        <f>水面线计算!H69</f>
        <v>4176.9219753516227</v>
      </c>
      <c r="F65" s="185">
        <f>水面线计算!I69</f>
        <v>4176.9223244174736</v>
      </c>
      <c r="G65" s="185">
        <v>1</v>
      </c>
      <c r="H65" s="185">
        <f t="shared" si="0"/>
        <v>1</v>
      </c>
      <c r="I65" s="185">
        <f t="shared" si="1"/>
        <v>5</v>
      </c>
      <c r="J65" s="185">
        <f t="shared" si="2"/>
        <v>1</v>
      </c>
      <c r="K65" s="185">
        <f>水面线计算!AE69</f>
        <v>0</v>
      </c>
      <c r="L65" s="185">
        <f>水面线计算!Y69</f>
        <v>0</v>
      </c>
      <c r="N65" s="201" t="str">
        <f t="shared" si="11"/>
        <v/>
      </c>
      <c r="O65" s="201" t="str">
        <f>IF(J65=1,IF(COUNTIF(Q64,"*IP*"),"",IF(G64=1,IF((D65-F64-([2]断面设计!$T$83+[2]断面设计!$U$83)-12*[2]断面设计!$S$83)&lt;0,"矩形渠",""),IF(G64=2,IF((D65-F64-([2]断面设计!$T$84+[2]断面设计!$U$84)-12*[2]断面设计!$S$84)&lt;0,"矩形渠",""),IF(G64=3,IF((D65-F64-([2]断面设计!$T$85+[2]断面设计!$U$85)-12*[2]断面设计!$S$85)&lt;0,"矩形渠",""),IF(G64=4,IF((D65-F64-([2]断面设计!$T$86+[2]断面设计!$U$86)-12*[2]断面设计!$S$86)&lt;0,"矩形渠",""),0))))),"")</f>
        <v/>
      </c>
      <c r="P65" s="203" t="str">
        <f t="shared" si="13"/>
        <v/>
      </c>
      <c r="Q65" s="186" t="str">
        <f t="shared" si="12"/>
        <v>倒虹管</v>
      </c>
      <c r="R65" s="185">
        <f t="shared" si="5"/>
        <v>5</v>
      </c>
      <c r="S65" s="185">
        <f t="shared" si="6"/>
        <v>3</v>
      </c>
      <c r="T65" s="185">
        <v>3</v>
      </c>
    </row>
    <row r="66" spans="1:20" x14ac:dyDescent="0.15">
      <c r="A66" s="185" t="str">
        <f>水面线计算!B70</f>
        <v>IP50</v>
      </c>
      <c r="B66" s="185">
        <f>IF(C66=0,0,水面线计算!E70)</f>
        <v>2.4</v>
      </c>
      <c r="C66" s="185">
        <f>水面线计算!F70</f>
        <v>34.020000000000003</v>
      </c>
      <c r="D66" s="185">
        <f>水面线计算!G70</f>
        <v>4341.1085623602694</v>
      </c>
      <c r="E66" s="185">
        <f>水面线计算!H70</f>
        <v>4341.8210755741038</v>
      </c>
      <c r="F66" s="185">
        <f>水面线计算!I70</f>
        <v>4342.5335887879373</v>
      </c>
      <c r="G66" s="185">
        <v>1</v>
      </c>
      <c r="H66" s="185">
        <f t="shared" si="0"/>
        <v>1</v>
      </c>
      <c r="I66" s="185">
        <f t="shared" si="1"/>
        <v>5</v>
      </c>
      <c r="J66" s="185">
        <f t="shared" si="2"/>
        <v>0</v>
      </c>
      <c r="K66" s="185">
        <f>水面线计算!AE70</f>
        <v>0</v>
      </c>
      <c r="L66" s="185">
        <f>水面线计算!Y70</f>
        <v>0</v>
      </c>
      <c r="N66" s="201" t="str">
        <f t="shared" si="11"/>
        <v/>
      </c>
      <c r="O66" s="201" t="str">
        <f>IF(J66=1,IF(COUNTIF(Q65,"*IP*"),"",IF(G65=1,IF((D66-F65-([2]断面设计!$T$83+[2]断面设计!$U$83)-12*[2]断面设计!$S$83)&lt;0,"矩形渠",""),IF(G65=2,IF((D66-F65-([2]断面设计!$T$84+[2]断面设计!$U$84)-12*[2]断面设计!$S$84)&lt;0,"矩形渠",""),IF(G65=3,IF((D66-F65-([2]断面设计!$T$85+[2]断面设计!$U$85)-12*[2]断面设计!$S$85)&lt;0,"矩形渠",""),IF(G65=4,IF((D66-F65-([2]断面设计!$T$86+[2]断面设计!$U$86)-12*[2]断面设计!$S$86)&lt;0,"矩形渠",""),0))))),"")</f>
        <v/>
      </c>
      <c r="P66" s="203" t="str">
        <f t="shared" si="13"/>
        <v>结构转弯</v>
      </c>
      <c r="Q66" s="186" t="str">
        <f t="shared" si="12"/>
        <v>倒虹管</v>
      </c>
      <c r="R66" s="185">
        <f t="shared" si="5"/>
        <v>5</v>
      </c>
      <c r="S66" s="185">
        <f t="shared" si="6"/>
        <v>3</v>
      </c>
      <c r="T66" s="185">
        <v>3</v>
      </c>
    </row>
    <row r="67" spans="1:20" x14ac:dyDescent="0.15">
      <c r="A67" s="185" t="str">
        <f>水面线计算!B71</f>
        <v>IP51</v>
      </c>
      <c r="B67" s="185">
        <f>IF(C67=0,0,水面线计算!E71)</f>
        <v>2.4</v>
      </c>
      <c r="C67" s="185">
        <f>水面线计算!F71</f>
        <v>53.015999999999998</v>
      </c>
      <c r="D67" s="185">
        <f>水面线计算!G71</f>
        <v>4555.7725199978167</v>
      </c>
      <c r="E67" s="185">
        <f>水面线计算!H71</f>
        <v>4556.8828845053013</v>
      </c>
      <c r="F67" s="185">
        <f>水面线计算!I71</f>
        <v>4557.9932490127867</v>
      </c>
      <c r="G67" s="185">
        <v>1</v>
      </c>
      <c r="H67" s="185">
        <f t="shared" si="0"/>
        <v>1</v>
      </c>
      <c r="I67" s="185">
        <f t="shared" si="1"/>
        <v>5</v>
      </c>
      <c r="J67" s="185">
        <f t="shared" si="2"/>
        <v>0</v>
      </c>
      <c r="K67" s="185">
        <f>水面线计算!AE71</f>
        <v>0</v>
      </c>
      <c r="L67" s="185">
        <f>水面线计算!Y71</f>
        <v>0</v>
      </c>
      <c r="N67" s="201" t="str">
        <f t="shared" si="11"/>
        <v/>
      </c>
      <c r="O67" s="201" t="str">
        <f>IF(J67=1,IF(COUNTIF(Q66,"*IP*"),"",IF(G66=1,IF((D67-F66-([2]断面设计!$T$83+[2]断面设计!$U$83)-12*[2]断面设计!$S$83)&lt;0,"矩形渠",""),IF(G66=2,IF((D67-F66-([2]断面设计!$T$84+[2]断面设计!$U$84)-12*[2]断面设计!$S$84)&lt;0,"矩形渠",""),IF(G66=3,IF((D67-F66-([2]断面设计!$T$85+[2]断面设计!$U$85)-12*[2]断面设计!$S$85)&lt;0,"矩形渠",""),IF(G66=4,IF((D67-F66-([2]断面设计!$T$86+[2]断面设计!$U$86)-12*[2]断面设计!$S$86)&lt;0,"矩形渠",""),0))))),"")</f>
        <v/>
      </c>
      <c r="P67" s="203" t="str">
        <f t="shared" si="13"/>
        <v>结构转弯</v>
      </c>
      <c r="Q67" s="186" t="str">
        <f t="shared" si="12"/>
        <v>倒虹管</v>
      </c>
      <c r="R67" s="185">
        <f t="shared" si="5"/>
        <v>5</v>
      </c>
      <c r="S67" s="185">
        <f t="shared" si="6"/>
        <v>3</v>
      </c>
      <c r="T67" s="185">
        <v>3</v>
      </c>
    </row>
    <row r="68" spans="1:20" x14ac:dyDescent="0.15">
      <c r="A68" s="185" t="str">
        <f>水面线计算!B72</f>
        <v>5#倒出</v>
      </c>
      <c r="B68" s="185">
        <f>IF(C68=0,0,水面线计算!E72)</f>
        <v>0</v>
      </c>
      <c r="C68" s="185">
        <f>水面线计算!F72</f>
        <v>0</v>
      </c>
      <c r="D68" s="185">
        <f>水面线计算!G72</f>
        <v>4572.5033677140245</v>
      </c>
      <c r="E68" s="185">
        <f>水面线计算!H72</f>
        <v>4572.5033677140245</v>
      </c>
      <c r="F68" s="185">
        <f>水面线计算!I72</f>
        <v>4572.5033677140245</v>
      </c>
      <c r="G68" s="185">
        <v>1</v>
      </c>
      <c r="H68" s="185">
        <f t="shared" ref="H68:H114" si="14">IF(Q68="渡槽",2,IF(Q68="隧洞",3,1))</f>
        <v>1</v>
      </c>
      <c r="I68" s="185">
        <f t="shared" ref="I68:I114" si="15">IF(H68=1,R68,IF(H68=3,IF(Q68="隧洞",1,2),1))</f>
        <v>5</v>
      </c>
      <c r="J68" s="185">
        <f t="shared" ref="J68:J114" si="16">IF(COUNTIF(A68,"*进*"),1,IF(COUNTIF(A68,"*出*"),2,0))</f>
        <v>2</v>
      </c>
      <c r="K68" s="185">
        <f>水面线计算!AE72</f>
        <v>0</v>
      </c>
      <c r="L68" s="185">
        <f>水面线计算!Y72</f>
        <v>1.05</v>
      </c>
      <c r="N68" s="201" t="str">
        <f t="shared" si="11"/>
        <v/>
      </c>
      <c r="O68" s="201" t="str">
        <f>IF(J68=1,IF(COUNTIF(Q67,"*IP*"),"",IF(G67=1,IF((D68-F67-([2]断面设计!$T$83+[2]断面设计!$U$83)-12*[2]断面设计!$S$83)&lt;0,"矩形渠",""),IF(G67=2,IF((D68-F67-([2]断面设计!$T$84+[2]断面设计!$U$84)-12*[2]断面设计!$S$84)&lt;0,"矩形渠",""),IF(G67=3,IF((D68-F67-([2]断面设计!$T$85+[2]断面设计!$U$85)-12*[2]断面设计!$S$85)&lt;0,"矩形渠",""),IF(G67=4,IF((D68-F67-([2]断面设计!$T$86+[2]断面设计!$U$86)-12*[2]断面设计!$S$86)&lt;0,"矩形渠",""),0))))),"")</f>
        <v/>
      </c>
      <c r="P68" s="203" t="str">
        <f t="shared" si="13"/>
        <v/>
      </c>
      <c r="Q68" s="186" t="str">
        <f t="shared" si="12"/>
        <v>倒虹管</v>
      </c>
      <c r="R68" s="185">
        <f t="shared" ref="R68:R114" si="17">IF(Q68="倒虹管",5,IF(Q68="分水闸",4,IF(Q68="泄水闸",4,S68)))</f>
        <v>5</v>
      </c>
      <c r="S68" s="185">
        <f t="shared" ref="S68:S114" si="18">IF(O68="矩形渠",2,IF(T68&gt;1,T68,1))</f>
        <v>3</v>
      </c>
      <c r="T68" s="185">
        <v>3</v>
      </c>
    </row>
    <row r="69" spans="1:20" x14ac:dyDescent="0.15">
      <c r="A69" s="185" t="str">
        <f>水面线计算!B73</f>
        <v>IP52</v>
      </c>
      <c r="B69" s="185">
        <f>IF(C69=0,0,水面线计算!E73)</f>
        <v>10</v>
      </c>
      <c r="C69" s="185">
        <f>水面线计算!F73</f>
        <v>20.872</v>
      </c>
      <c r="D69" s="185">
        <f>水面线计算!G73</f>
        <v>4582.5034369440427</v>
      </c>
      <c r="E69" s="185">
        <f>水面线计算!H73</f>
        <v>4584.3248625514243</v>
      </c>
      <c r="F69" s="185">
        <f>水面线计算!I73</f>
        <v>4586.146288158805</v>
      </c>
      <c r="G69" s="185">
        <v>1</v>
      </c>
      <c r="H69" s="185">
        <f t="shared" si="14"/>
        <v>1</v>
      </c>
      <c r="I69" s="185">
        <f t="shared" si="15"/>
        <v>3</v>
      </c>
      <c r="J69" s="185">
        <f t="shared" si="16"/>
        <v>0</v>
      </c>
      <c r="K69" s="185">
        <f>水面线计算!AE73</f>
        <v>0</v>
      </c>
      <c r="L69" s="185">
        <f>水面线计算!Y73</f>
        <v>0</v>
      </c>
      <c r="N69" s="201" t="str">
        <f t="shared" si="11"/>
        <v/>
      </c>
      <c r="O69" s="201" t="str">
        <f>IF(J69=1,IF(COUNTIF(Q68,"*IP*"),"",IF(G68=1,IF((D69-F68-([2]断面设计!$T$83+[2]断面设计!$U$83)-12*[2]断面设计!$S$83)&lt;0,"矩形渠",""),IF(G68=2,IF((D69-F68-([2]断面设计!$T$84+[2]断面设计!$U$84)-12*[2]断面设计!$S$84)&lt;0,"矩形渠",""),IF(G68=3,IF((D69-F68-([2]断面设计!$T$85+[2]断面设计!$U$85)-12*[2]断面设计!$S$85)&lt;0,"矩形渠",""),IF(G68=4,IF((D69-F68-([2]断面设计!$T$86+[2]断面设计!$U$86)-12*[2]断面设计!$S$86)&lt;0,"矩形渠",""),0))))),"")</f>
        <v/>
      </c>
      <c r="P69" s="203" t="str">
        <f t="shared" si="13"/>
        <v/>
      </c>
      <c r="Q69" s="186" t="str">
        <f t="shared" si="12"/>
        <v>IP52</v>
      </c>
      <c r="R69" s="185">
        <f t="shared" si="17"/>
        <v>3</v>
      </c>
      <c r="S69" s="185">
        <f t="shared" si="18"/>
        <v>3</v>
      </c>
      <c r="T69" s="185">
        <v>3</v>
      </c>
    </row>
    <row r="70" spans="1:20" x14ac:dyDescent="0.15">
      <c r="A70" s="185" t="str">
        <f>水面线计算!B74</f>
        <v>IP53</v>
      </c>
      <c r="B70" s="185">
        <f>IF(C70=0,0,水面线计算!E74)</f>
        <v>10</v>
      </c>
      <c r="C70" s="185">
        <f>水面线计算!F74</f>
        <v>57.258000000000003</v>
      </c>
      <c r="D70" s="185">
        <f>水面线计算!G74</f>
        <v>4621.7022448040825</v>
      </c>
      <c r="E70" s="185">
        <f>水面线计算!H74</f>
        <v>4626.6989479196172</v>
      </c>
      <c r="F70" s="185">
        <f>水面线计算!I74</f>
        <v>4631.695651035152</v>
      </c>
      <c r="G70" s="185">
        <v>1</v>
      </c>
      <c r="H70" s="185">
        <f t="shared" si="14"/>
        <v>1</v>
      </c>
      <c r="I70" s="185">
        <f t="shared" si="15"/>
        <v>3</v>
      </c>
      <c r="J70" s="185">
        <f t="shared" si="16"/>
        <v>0</v>
      </c>
      <c r="K70" s="185">
        <f>水面线计算!AE74</f>
        <v>0</v>
      </c>
      <c r="L70" s="185">
        <f>水面线计算!Y74</f>
        <v>0</v>
      </c>
      <c r="N70" s="201" t="str">
        <f t="shared" si="11"/>
        <v/>
      </c>
      <c r="O70" s="201" t="str">
        <f>IF(J70=1,IF(COUNTIF(Q69,"*IP*"),"",IF(G69=1,IF((D70-F69-([2]断面设计!$T$83+[2]断面设计!$U$83)-12*[2]断面设计!$S$83)&lt;0,"矩形渠",""),IF(G69=2,IF((D70-F69-([2]断面设计!$T$84+[2]断面设计!$U$84)-12*[2]断面设计!$S$84)&lt;0,"矩形渠",""),IF(G69=3,IF((D70-F69-([2]断面设计!$T$85+[2]断面设计!$U$85)-12*[2]断面设计!$S$85)&lt;0,"矩形渠",""),IF(G69=4,IF((D70-F69-([2]断面设计!$T$86+[2]断面设计!$U$86)-12*[2]断面设计!$S$86)&lt;0,"矩形渠",""),0))))),"")</f>
        <v/>
      </c>
      <c r="P70" s="203" t="str">
        <f t="shared" si="13"/>
        <v/>
      </c>
      <c r="Q70" s="186" t="str">
        <f t="shared" si="12"/>
        <v>IP53</v>
      </c>
      <c r="R70" s="185">
        <f t="shared" si="17"/>
        <v>3</v>
      </c>
      <c r="S70" s="185">
        <f t="shared" si="18"/>
        <v>3</v>
      </c>
      <c r="T70" s="185">
        <v>3</v>
      </c>
    </row>
    <row r="71" spans="1:20" x14ac:dyDescent="0.15">
      <c r="A71" s="185" t="str">
        <f>水面线计算!B75</f>
        <v>IP54</v>
      </c>
      <c r="B71" s="185">
        <f>IF(C71=0,0,水面线计算!E75)</f>
        <v>10</v>
      </c>
      <c r="C71" s="185">
        <f>水面线计算!F75</f>
        <v>41.024000000000001</v>
      </c>
      <c r="D71" s="185">
        <f>水面线计算!G75</f>
        <v>4660.931545279529</v>
      </c>
      <c r="E71" s="185">
        <f>水面线计算!H75</f>
        <v>4664.5115646412196</v>
      </c>
      <c r="F71" s="185">
        <f>水面线计算!I75</f>
        <v>4668.0915840029102</v>
      </c>
      <c r="G71" s="185">
        <v>1</v>
      </c>
      <c r="H71" s="185">
        <f t="shared" si="14"/>
        <v>1</v>
      </c>
      <c r="I71" s="185">
        <f t="shared" si="15"/>
        <v>3</v>
      </c>
      <c r="J71" s="185">
        <f t="shared" si="16"/>
        <v>0</v>
      </c>
      <c r="K71" s="185">
        <f>水面线计算!AE75</f>
        <v>0</v>
      </c>
      <c r="L71" s="185">
        <f>水面线计算!Y75</f>
        <v>0</v>
      </c>
      <c r="N71" s="201" t="str">
        <f t="shared" si="11"/>
        <v/>
      </c>
      <c r="O71" s="201" t="str">
        <f>IF(J71=1,IF(COUNTIF(Q70,"*IP*"),"",IF(G70=1,IF((D71-F70-([2]断面设计!$T$83+[2]断面设计!$U$83)-12*[2]断面设计!$S$83)&lt;0,"矩形渠",""),IF(G70=2,IF((D71-F70-([2]断面设计!$T$84+[2]断面设计!$U$84)-12*[2]断面设计!$S$84)&lt;0,"矩形渠",""),IF(G70=3,IF((D71-F70-([2]断面设计!$T$85+[2]断面设计!$U$85)-12*[2]断面设计!$S$85)&lt;0,"矩形渠",""),IF(G70=4,IF((D71-F70-([2]断面设计!$T$86+[2]断面设计!$U$86)-12*[2]断面设计!$S$86)&lt;0,"矩形渠",""),0))))),"")</f>
        <v/>
      </c>
      <c r="P71" s="203" t="str">
        <f t="shared" si="13"/>
        <v/>
      </c>
      <c r="Q71" s="186" t="str">
        <f t="shared" si="12"/>
        <v>IP54</v>
      </c>
      <c r="R71" s="185">
        <f t="shared" si="17"/>
        <v>3</v>
      </c>
      <c r="S71" s="185">
        <f t="shared" si="18"/>
        <v>3</v>
      </c>
      <c r="T71" s="185">
        <v>3</v>
      </c>
    </row>
    <row r="72" spans="1:20" x14ac:dyDescent="0.15">
      <c r="A72" s="185" t="str">
        <f>水面线计算!B76</f>
        <v>IP55</v>
      </c>
      <c r="B72" s="185">
        <f>IF(C72=0,0,水面线计算!E76)</f>
        <v>10</v>
      </c>
      <c r="C72" s="185">
        <f>水面线计算!F76</f>
        <v>54.869</v>
      </c>
      <c r="D72" s="185">
        <f>水面线计算!G76</f>
        <v>4696.7258114403003</v>
      </c>
      <c r="E72" s="185">
        <f>水面线计算!H76</f>
        <v>4701.5140349766843</v>
      </c>
      <c r="F72" s="185">
        <f>水面线计算!I76</f>
        <v>4706.3022585130684</v>
      </c>
      <c r="G72" s="185">
        <v>1</v>
      </c>
      <c r="H72" s="185">
        <f t="shared" si="14"/>
        <v>1</v>
      </c>
      <c r="I72" s="185">
        <f t="shared" si="15"/>
        <v>3</v>
      </c>
      <c r="J72" s="185">
        <f t="shared" si="16"/>
        <v>0</v>
      </c>
      <c r="K72" s="185">
        <f>水面线计算!AE76</f>
        <v>0</v>
      </c>
      <c r="L72" s="185">
        <f>水面线计算!Y76</f>
        <v>0</v>
      </c>
      <c r="N72" s="201" t="str">
        <f t="shared" si="11"/>
        <v/>
      </c>
      <c r="O72" s="201" t="str">
        <f>IF(J72=1,IF(COUNTIF(Q71,"*IP*"),"",IF(G71=1,IF((D72-F71-([2]断面设计!$T$83+[2]断面设计!$U$83)-12*[2]断面设计!$S$83)&lt;0,"矩形渠",""),IF(G71=2,IF((D72-F71-([2]断面设计!$T$84+[2]断面设计!$U$84)-12*[2]断面设计!$S$84)&lt;0,"矩形渠",""),IF(G71=3,IF((D72-F71-([2]断面设计!$T$85+[2]断面设计!$U$85)-12*[2]断面设计!$S$85)&lt;0,"矩形渠",""),IF(G71=4,IF((D72-F71-([2]断面设计!$T$86+[2]断面设计!$U$86)-12*[2]断面设计!$S$86)&lt;0,"矩形渠",""),0))))),"")</f>
        <v/>
      </c>
      <c r="P72" s="203" t="str">
        <f t="shared" si="13"/>
        <v/>
      </c>
      <c r="Q72" s="186" t="str">
        <f t="shared" si="12"/>
        <v>IP55</v>
      </c>
      <c r="R72" s="185">
        <f t="shared" si="17"/>
        <v>3</v>
      </c>
      <c r="S72" s="185">
        <f t="shared" si="18"/>
        <v>3</v>
      </c>
      <c r="T72" s="185">
        <v>3</v>
      </c>
    </row>
    <row r="73" spans="1:20" x14ac:dyDescent="0.15">
      <c r="A73" s="185" t="str">
        <f>水面线计算!B77</f>
        <v>IP56</v>
      </c>
      <c r="B73" s="185">
        <f>IF(C73=0,0,水面线计算!E77)</f>
        <v>10</v>
      </c>
      <c r="C73" s="185">
        <f>水面线计算!F77</f>
        <v>65.125</v>
      </c>
      <c r="D73" s="185">
        <f>水面线计算!G77</f>
        <v>4717.0116620479075</v>
      </c>
      <c r="E73" s="185">
        <f>水面线计算!H77</f>
        <v>4722.6948904247138</v>
      </c>
      <c r="F73" s="185">
        <f>水面线计算!I77</f>
        <v>4728.3781188015209</v>
      </c>
      <c r="G73" s="185">
        <v>1</v>
      </c>
      <c r="H73" s="185">
        <f t="shared" si="14"/>
        <v>1</v>
      </c>
      <c r="I73" s="185">
        <f t="shared" si="15"/>
        <v>3</v>
      </c>
      <c r="J73" s="185">
        <f t="shared" si="16"/>
        <v>0</v>
      </c>
      <c r="K73" s="185">
        <f>水面线计算!AE77</f>
        <v>0</v>
      </c>
      <c r="L73" s="185">
        <f>水面线计算!Y77</f>
        <v>0</v>
      </c>
      <c r="N73" s="201" t="str">
        <f t="shared" si="11"/>
        <v/>
      </c>
      <c r="O73" s="201" t="str">
        <f>IF(J73=1,IF(COUNTIF(Q72,"*IP*"),"",IF(G72=1,IF((D73-F72-([2]断面设计!$T$83+[2]断面设计!$U$83)-12*[2]断面设计!$S$83)&lt;0,"矩形渠",""),IF(G72=2,IF((D73-F72-([2]断面设计!$T$84+[2]断面设计!$U$84)-12*[2]断面设计!$S$84)&lt;0,"矩形渠",""),IF(G72=3,IF((D73-F72-([2]断面设计!$T$85+[2]断面设计!$U$85)-12*[2]断面设计!$S$85)&lt;0,"矩形渠",""),IF(G72=4,IF((D73-F72-([2]断面设计!$T$86+[2]断面设计!$U$86)-12*[2]断面设计!$S$86)&lt;0,"矩形渠",""),0))))),"")</f>
        <v/>
      </c>
      <c r="P73" s="203" t="str">
        <f t="shared" si="13"/>
        <v/>
      </c>
      <c r="Q73" s="186" t="str">
        <f t="shared" si="12"/>
        <v>IP56</v>
      </c>
      <c r="R73" s="185">
        <f t="shared" si="17"/>
        <v>3</v>
      </c>
      <c r="S73" s="185">
        <f t="shared" si="18"/>
        <v>3</v>
      </c>
      <c r="T73" s="185">
        <v>3</v>
      </c>
    </row>
    <row r="74" spans="1:20" x14ac:dyDescent="0.15">
      <c r="A74" s="185" t="str">
        <f>水面线计算!B79</f>
        <v>IP57</v>
      </c>
      <c r="B74" s="185">
        <f>IF(C74=0,0,水面线计算!E79)</f>
        <v>10</v>
      </c>
      <c r="C74" s="185">
        <f>水面线计算!F79</f>
        <v>56.975000000000001</v>
      </c>
      <c r="D74" s="185">
        <f>水面线计算!G79</f>
        <v>4736.3060393449668</v>
      </c>
      <c r="E74" s="185">
        <f>水面线计算!H79</f>
        <v>4741.278046051586</v>
      </c>
      <c r="F74" s="185">
        <f>水面线计算!I79</f>
        <v>4746.2500527582042</v>
      </c>
      <c r="G74" s="185">
        <v>1</v>
      </c>
      <c r="H74" s="185">
        <f t="shared" si="14"/>
        <v>1</v>
      </c>
      <c r="I74" s="185">
        <f t="shared" si="15"/>
        <v>3</v>
      </c>
      <c r="J74" s="185">
        <f t="shared" si="16"/>
        <v>0</v>
      </c>
      <c r="K74" s="185">
        <f>水面线计算!AE79</f>
        <v>0</v>
      </c>
      <c r="L74" s="185">
        <f>水面线计算!Y79</f>
        <v>0</v>
      </c>
      <c r="N74" s="201" t="str">
        <f t="shared" si="11"/>
        <v/>
      </c>
      <c r="O74" s="201" t="str">
        <f>IF(J74=1,IF(COUNTIF(Q73,"*IP*"),"",IF(G73=1,IF((D74-F73-([2]断面设计!$T$83+[2]断面设计!$U$83)-12*[2]断面设计!$S$83)&lt;0,"矩形渠",""),IF(G73=2,IF((D74-F73-([2]断面设计!$T$84+[2]断面设计!$U$84)-12*[2]断面设计!$S$84)&lt;0,"矩形渠",""),IF(G73=3,IF((D74-F73-([2]断面设计!$T$85+[2]断面设计!$U$85)-12*[2]断面设计!$S$85)&lt;0,"矩形渠",""),IF(G73=4,IF((D74-F73-([2]断面设计!$T$86+[2]断面设计!$U$86)-12*[2]断面设计!$S$86)&lt;0,"矩形渠",""),0))))),"")</f>
        <v/>
      </c>
      <c r="P74" s="203" t="str">
        <f t="shared" si="13"/>
        <v/>
      </c>
      <c r="Q74" s="186" t="str">
        <f t="shared" si="12"/>
        <v>IP57</v>
      </c>
      <c r="R74" s="185">
        <f t="shared" si="17"/>
        <v>3</v>
      </c>
      <c r="S74" s="185">
        <f t="shared" si="18"/>
        <v>3</v>
      </c>
      <c r="T74" s="185">
        <v>3</v>
      </c>
    </row>
    <row r="75" spans="1:20" x14ac:dyDescent="0.15">
      <c r="A75" s="185" t="str">
        <f>水面线计算!B80</f>
        <v>IP58</v>
      </c>
      <c r="B75" s="185">
        <f>IF(C75=0,0,水面线计算!E80)</f>
        <v>10</v>
      </c>
      <c r="C75" s="185">
        <f>水面线计算!F80</f>
        <v>48.761000000000003</v>
      </c>
      <c r="D75" s="185">
        <f>水面线计算!G80</f>
        <v>4749.9311179511888</v>
      </c>
      <c r="E75" s="185">
        <f>水面线计算!H80</f>
        <v>4754.1863179340135</v>
      </c>
      <c r="F75" s="185">
        <f>水面线计算!I80</f>
        <v>4758.4415179168382</v>
      </c>
      <c r="G75" s="185">
        <v>1</v>
      </c>
      <c r="H75" s="185">
        <f t="shared" si="14"/>
        <v>1</v>
      </c>
      <c r="I75" s="185">
        <f t="shared" si="15"/>
        <v>3</v>
      </c>
      <c r="J75" s="185">
        <f t="shared" si="16"/>
        <v>0</v>
      </c>
      <c r="K75" s="185">
        <f>水面线计算!AE80</f>
        <v>0</v>
      </c>
      <c r="L75" s="185">
        <f>水面线计算!Y80</f>
        <v>0</v>
      </c>
      <c r="N75" s="201" t="str">
        <f t="shared" si="11"/>
        <v/>
      </c>
      <c r="O75" s="201" t="str">
        <f>IF(J75=1,IF(COUNTIF(Q74,"*IP*"),"",IF(G74=1,IF((D75-F74-([2]断面设计!$T$83+[2]断面设计!$U$83)-12*[2]断面设计!$S$83)&lt;0,"矩形渠",""),IF(G74=2,IF((D75-F74-([2]断面设计!$T$84+[2]断面设计!$U$84)-12*[2]断面设计!$S$84)&lt;0,"矩形渠",""),IF(G74=3,IF((D75-F74-([2]断面设计!$T$85+[2]断面设计!$U$85)-12*[2]断面设计!$S$85)&lt;0,"矩形渠",""),IF(G74=4,IF((D75-F74-([2]断面设计!$T$86+[2]断面设计!$U$86)-12*[2]断面设计!$S$86)&lt;0,"矩形渠",""),0))))),"")</f>
        <v/>
      </c>
      <c r="P75" s="203" t="str">
        <f t="shared" si="13"/>
        <v/>
      </c>
      <c r="Q75" s="186" t="str">
        <f t="shared" si="12"/>
        <v>IP58</v>
      </c>
      <c r="R75" s="185">
        <f t="shared" si="17"/>
        <v>3</v>
      </c>
      <c r="S75" s="185">
        <f t="shared" si="18"/>
        <v>3</v>
      </c>
      <c r="T75" s="185">
        <v>3</v>
      </c>
    </row>
    <row r="76" spans="1:20" x14ac:dyDescent="0.15">
      <c r="A76" s="185" t="str">
        <f>水面线计算!B81</f>
        <v>6#倒进</v>
      </c>
      <c r="B76" s="185">
        <f>IF(C76=0,0,水面线计算!E81)</f>
        <v>0</v>
      </c>
      <c r="C76" s="185">
        <f>水面线计算!F81</f>
        <v>0</v>
      </c>
      <c r="D76" s="185">
        <f>水面线计算!G81</f>
        <v>4758.4416288042075</v>
      </c>
      <c r="E76" s="185">
        <f>水面线计算!H81</f>
        <v>4758.4416288042075</v>
      </c>
      <c r="F76" s="185">
        <f>水面线计算!I81</f>
        <v>4758.4416288042075</v>
      </c>
      <c r="G76" s="185">
        <v>1</v>
      </c>
      <c r="H76" s="185">
        <f t="shared" si="14"/>
        <v>1</v>
      </c>
      <c r="I76" s="185">
        <f t="shared" si="15"/>
        <v>5</v>
      </c>
      <c r="J76" s="185">
        <f t="shared" si="16"/>
        <v>1</v>
      </c>
      <c r="K76" s="185">
        <f>水面线计算!AE81</f>
        <v>0</v>
      </c>
      <c r="L76" s="185">
        <f>水面线计算!Y81</f>
        <v>0</v>
      </c>
      <c r="N76" s="201" t="str">
        <f t="shared" si="11"/>
        <v/>
      </c>
      <c r="O76" s="201" t="str">
        <f>IF(J76=1,IF(COUNTIF(Q75,"*IP*"),"",IF(G75=1,IF((D76-F75-([2]断面设计!$T$83+[2]断面设计!$U$83)-12*[2]断面设计!$S$83)&lt;0,"矩形渠",""),IF(G75=2,IF((D76-F75-([2]断面设计!$T$84+[2]断面设计!$U$84)-12*[2]断面设计!$S$84)&lt;0,"矩形渠",""),IF(G75=3,IF((D76-F75-([2]断面设计!$T$85+[2]断面设计!$U$85)-12*[2]断面设计!$S$85)&lt;0,"矩形渠",""),IF(G75=4,IF((D76-F75-([2]断面设计!$T$86+[2]断面设计!$U$86)-12*[2]断面设计!$S$86)&lt;0,"矩形渠",""),0))))),"")</f>
        <v/>
      </c>
      <c r="P76" s="203" t="str">
        <f t="shared" si="13"/>
        <v/>
      </c>
      <c r="Q76" s="186" t="str">
        <f t="shared" si="12"/>
        <v>倒虹管</v>
      </c>
      <c r="R76" s="185">
        <f t="shared" si="17"/>
        <v>5</v>
      </c>
      <c r="S76" s="185">
        <f t="shared" si="18"/>
        <v>3</v>
      </c>
      <c r="T76" s="185">
        <v>3</v>
      </c>
    </row>
    <row r="77" spans="1:20" x14ac:dyDescent="0.15">
      <c r="A77" s="185" t="str">
        <f>水面线计算!B82</f>
        <v>IP59</v>
      </c>
      <c r="B77" s="185">
        <f>IF(C77=0,0,水面线计算!E82)</f>
        <v>2.4</v>
      </c>
      <c r="C77" s="185">
        <f>水面线计算!F82</f>
        <v>12.672000000000001</v>
      </c>
      <c r="D77" s="185">
        <f>水面线计算!G82</f>
        <v>4783.2059157142212</v>
      </c>
      <c r="E77" s="185">
        <f>水面线计算!H82</f>
        <v>4783.4713174615963</v>
      </c>
      <c r="F77" s="185">
        <f>水面线计算!I82</f>
        <v>4783.7367192089714</v>
      </c>
      <c r="G77" s="185">
        <v>1</v>
      </c>
      <c r="H77" s="185">
        <f t="shared" si="14"/>
        <v>1</v>
      </c>
      <c r="I77" s="185">
        <f t="shared" si="15"/>
        <v>5</v>
      </c>
      <c r="J77" s="185">
        <f t="shared" si="16"/>
        <v>0</v>
      </c>
      <c r="K77" s="185">
        <f>水面线计算!AE82</f>
        <v>0</v>
      </c>
      <c r="L77" s="185">
        <f>水面线计算!Y82</f>
        <v>0</v>
      </c>
      <c r="N77" s="201" t="str">
        <f t="shared" si="11"/>
        <v/>
      </c>
      <c r="O77" s="201" t="str">
        <f>IF(J77=1,IF(COUNTIF(Q76,"*IP*"),"",IF(G76=1,IF((D77-F76-([2]断面设计!$T$83+[2]断面设计!$U$83)-12*[2]断面设计!$S$83)&lt;0,"矩形渠",""),IF(G76=2,IF((D77-F76-([2]断面设计!$T$84+[2]断面设计!$U$84)-12*[2]断面设计!$S$84)&lt;0,"矩形渠",""),IF(G76=3,IF((D77-F76-([2]断面设计!$T$85+[2]断面设计!$U$85)-12*[2]断面设计!$S$85)&lt;0,"矩形渠",""),IF(G76=4,IF((D77-F76-([2]断面设计!$T$86+[2]断面设计!$U$86)-12*[2]断面设计!$S$86)&lt;0,"矩形渠",""),0))))),"")</f>
        <v/>
      </c>
      <c r="P77" s="203" t="str">
        <f t="shared" si="13"/>
        <v>结构转弯</v>
      </c>
      <c r="Q77" s="186" t="str">
        <f t="shared" si="12"/>
        <v>倒虹管</v>
      </c>
      <c r="R77" s="185">
        <f t="shared" si="17"/>
        <v>5</v>
      </c>
      <c r="S77" s="185">
        <f t="shared" si="18"/>
        <v>3</v>
      </c>
      <c r="T77" s="185">
        <v>3</v>
      </c>
    </row>
    <row r="78" spans="1:20" x14ac:dyDescent="0.15">
      <c r="A78" s="185" t="str">
        <f>水面线计算!B83</f>
        <v>IP60</v>
      </c>
      <c r="B78" s="185">
        <f>IF(C78=0,0,水面线计算!E83)</f>
        <v>2.4</v>
      </c>
      <c r="C78" s="185">
        <f>水面线计算!F83</f>
        <v>28.038</v>
      </c>
      <c r="D78" s="185">
        <f>水面线计算!G83</f>
        <v>5071.2910454823805</v>
      </c>
      <c r="E78" s="185">
        <f>水面线计算!H83</f>
        <v>5071.8782719811898</v>
      </c>
      <c r="F78" s="185">
        <f>水面线计算!I83</f>
        <v>5072.4654984799981</v>
      </c>
      <c r="G78" s="185">
        <v>1</v>
      </c>
      <c r="H78" s="185">
        <f t="shared" si="14"/>
        <v>1</v>
      </c>
      <c r="I78" s="185">
        <f t="shared" si="15"/>
        <v>5</v>
      </c>
      <c r="J78" s="185">
        <f t="shared" si="16"/>
        <v>0</v>
      </c>
      <c r="K78" s="185">
        <f>水面线计算!AE83</f>
        <v>0</v>
      </c>
      <c r="L78" s="185">
        <f>水面线计算!Y83</f>
        <v>0</v>
      </c>
      <c r="N78" s="201" t="str">
        <f t="shared" si="11"/>
        <v/>
      </c>
      <c r="O78" s="201" t="str">
        <f>IF(J78=1,IF(COUNTIF(Q77,"*IP*"),"",IF(G77=1,IF((D78-F77-([2]断面设计!$T$83+[2]断面设计!$U$83)-12*[2]断面设计!$S$83)&lt;0,"矩形渠",""),IF(G77=2,IF((D78-F77-([2]断面设计!$T$84+[2]断面设计!$U$84)-12*[2]断面设计!$S$84)&lt;0,"矩形渠",""),IF(G77=3,IF((D78-F77-([2]断面设计!$T$85+[2]断面设计!$U$85)-12*[2]断面设计!$S$85)&lt;0,"矩形渠",""),IF(G77=4,IF((D78-F77-([2]断面设计!$T$86+[2]断面设计!$U$86)-12*[2]断面设计!$S$86)&lt;0,"矩形渠",""),0))))),"")</f>
        <v/>
      </c>
      <c r="P78" s="203" t="str">
        <f t="shared" si="13"/>
        <v>结构转弯</v>
      </c>
      <c r="Q78" s="186" t="str">
        <f t="shared" si="12"/>
        <v>倒虹管</v>
      </c>
      <c r="R78" s="185">
        <f t="shared" si="17"/>
        <v>5</v>
      </c>
      <c r="S78" s="185">
        <f t="shared" si="18"/>
        <v>3</v>
      </c>
      <c r="T78" s="185">
        <v>3</v>
      </c>
    </row>
    <row r="79" spans="1:20" x14ac:dyDescent="0.15">
      <c r="A79" s="185" t="str">
        <f>水面线计算!B84</f>
        <v>IP61</v>
      </c>
      <c r="B79" s="185">
        <f>IF(C79=0,0,水面线计算!E84)</f>
        <v>2.4</v>
      </c>
      <c r="C79" s="185">
        <f>水面线计算!F84</f>
        <v>15.22</v>
      </c>
      <c r="D79" s="185">
        <f>水面线计算!G84</f>
        <v>5283.6072761362739</v>
      </c>
      <c r="E79" s="185">
        <f>水面线计算!H84</f>
        <v>5283.9260430708582</v>
      </c>
      <c r="F79" s="185">
        <f>水面线计算!I84</f>
        <v>5284.2448100054426</v>
      </c>
      <c r="G79" s="185">
        <v>1</v>
      </c>
      <c r="H79" s="185">
        <f t="shared" si="14"/>
        <v>1</v>
      </c>
      <c r="I79" s="185">
        <f t="shared" si="15"/>
        <v>3</v>
      </c>
      <c r="J79" s="185">
        <f t="shared" si="16"/>
        <v>0</v>
      </c>
      <c r="K79" s="185">
        <f>水面线计算!AE84</f>
        <v>0</v>
      </c>
      <c r="L79" s="185">
        <f>水面线计算!Y84</f>
        <v>0</v>
      </c>
      <c r="N79" s="201" t="str">
        <f t="shared" si="11"/>
        <v/>
      </c>
      <c r="O79" s="201" t="str">
        <f>IF(J79=1,IF(COUNTIF(Q78,"*IP*"),"",IF(G78=1,IF((D79-F78-([2]断面设计!$T$83+[2]断面设计!$U$83)-12*[2]断面设计!$S$83)&lt;0,"矩形渠",""),IF(G78=2,IF((D79-F78-([2]断面设计!$T$84+[2]断面设计!$U$84)-12*[2]断面设计!$S$84)&lt;0,"矩形渠",""),IF(G78=3,IF((D79-F78-([2]断面设计!$T$85+[2]断面设计!$U$85)-12*[2]断面设计!$S$85)&lt;0,"矩形渠",""),IF(G78=4,IF((D79-F78-([2]断面设计!$T$86+[2]断面设计!$U$86)-12*[2]断面设计!$S$86)&lt;0,"矩形渠",""),0))))),"")</f>
        <v/>
      </c>
      <c r="P79" s="203" t="str">
        <f t="shared" si="13"/>
        <v/>
      </c>
      <c r="Q79" s="186" t="str">
        <f t="shared" si="12"/>
        <v>IP61</v>
      </c>
      <c r="R79" s="185">
        <f t="shared" si="17"/>
        <v>3</v>
      </c>
      <c r="S79" s="185">
        <f t="shared" si="18"/>
        <v>3</v>
      </c>
      <c r="T79" s="185">
        <v>3</v>
      </c>
    </row>
    <row r="80" spans="1:20" x14ac:dyDescent="0.15">
      <c r="A80" s="185" t="str">
        <f>水面线计算!B85</f>
        <v>6#倒出</v>
      </c>
      <c r="B80" s="185">
        <f>IF(C80=0,0,水面线计算!E85)</f>
        <v>0</v>
      </c>
      <c r="C80" s="185">
        <f>水面线计算!F85</f>
        <v>0</v>
      </c>
      <c r="D80" s="185">
        <f>水面线计算!G85</f>
        <v>5392.6155031260814</v>
      </c>
      <c r="E80" s="185">
        <f>水面线计算!H85</f>
        <v>5392.6155031260814</v>
      </c>
      <c r="F80" s="185">
        <f>水面线计算!I85</f>
        <v>5392.6155031260814</v>
      </c>
      <c r="G80" s="185">
        <v>1</v>
      </c>
      <c r="H80" s="185">
        <f t="shared" si="14"/>
        <v>1</v>
      </c>
      <c r="I80" s="185">
        <f t="shared" si="15"/>
        <v>5</v>
      </c>
      <c r="J80" s="185">
        <f t="shared" si="16"/>
        <v>2</v>
      </c>
      <c r="K80" s="185">
        <f>水面线计算!AE85</f>
        <v>0</v>
      </c>
      <c r="L80" s="185">
        <f>水面线计算!Y85</f>
        <v>1.73</v>
      </c>
      <c r="N80" s="201" t="str">
        <f t="shared" si="11"/>
        <v/>
      </c>
      <c r="O80" s="201" t="str">
        <f>IF(J80=1,IF(COUNTIF(Q79,"*IP*"),"",IF(G79=1,IF((D80-F79-([2]断面设计!$T$83+[2]断面设计!$U$83)-12*[2]断面设计!$S$83)&lt;0,"矩形渠",""),IF(G79=2,IF((D80-F79-([2]断面设计!$T$84+[2]断面设计!$U$84)-12*[2]断面设计!$S$84)&lt;0,"矩形渠",""),IF(G79=3,IF((D80-F79-([2]断面设计!$T$85+[2]断面设计!$U$85)-12*[2]断面设计!$S$85)&lt;0,"矩形渠",""),IF(G79=4,IF((D80-F79-([2]断面设计!$T$86+[2]断面设计!$U$86)-12*[2]断面设计!$S$86)&lt;0,"矩形渠",""),0))))),"")</f>
        <v/>
      </c>
      <c r="P80" s="203" t="str">
        <f t="shared" si="13"/>
        <v/>
      </c>
      <c r="Q80" s="186" t="str">
        <f t="shared" si="12"/>
        <v>倒虹管</v>
      </c>
      <c r="R80" s="185">
        <f t="shared" si="17"/>
        <v>5</v>
      </c>
      <c r="S80" s="185">
        <f t="shared" si="18"/>
        <v>3</v>
      </c>
      <c r="T80" s="185">
        <v>3</v>
      </c>
    </row>
    <row r="81" spans="1:20" x14ac:dyDescent="0.15">
      <c r="A81" s="185" t="str">
        <f>水面线计算!B86</f>
        <v>IP62</v>
      </c>
      <c r="B81" s="185">
        <f>IF(C81=0,0,水面线计算!E86)</f>
        <v>10</v>
      </c>
      <c r="C81" s="185">
        <f>水面线计算!F86</f>
        <v>47.694000000000003</v>
      </c>
      <c r="D81" s="185">
        <f>水面线计算!G86</f>
        <v>5392.6154005782</v>
      </c>
      <c r="E81" s="185">
        <f>水面线计算!H86</f>
        <v>5396.7774872454311</v>
      </c>
      <c r="F81" s="185">
        <f>水面线计算!I86</f>
        <v>5400.9395739126621</v>
      </c>
      <c r="G81" s="185">
        <v>1</v>
      </c>
      <c r="H81" s="185">
        <f t="shared" si="14"/>
        <v>1</v>
      </c>
      <c r="I81" s="185">
        <f t="shared" si="15"/>
        <v>5</v>
      </c>
      <c r="J81" s="185">
        <f t="shared" si="16"/>
        <v>0</v>
      </c>
      <c r="K81" s="185">
        <f>水面线计算!AE86</f>
        <v>0</v>
      </c>
      <c r="L81" s="185">
        <f>水面线计算!Y86</f>
        <v>0</v>
      </c>
      <c r="N81" s="201" t="str">
        <f t="shared" si="11"/>
        <v/>
      </c>
      <c r="O81" s="201" t="str">
        <f>IF(J81=1,IF(COUNTIF(Q80,"*IP*"),"",IF(G80=1,IF((D81-F80-([2]断面设计!$T$83+[2]断面设计!$U$83)-12*[2]断面设计!$S$83)&lt;0,"矩形渠",""),IF(G80=2,IF((D81-F80-([2]断面设计!$T$84+[2]断面设计!$U$84)-12*[2]断面设计!$S$84)&lt;0,"矩形渠",""),IF(G80=3,IF((D81-F80-([2]断面设计!$T$85+[2]断面设计!$U$85)-12*[2]断面设计!$S$85)&lt;0,"矩形渠",""),IF(G80=4,IF((D81-F80-([2]断面设计!$T$86+[2]断面设计!$U$86)-12*[2]断面设计!$S$86)&lt;0,"矩形渠",""),0))))),"")</f>
        <v/>
      </c>
      <c r="P81" s="203" t="s">
        <v>186</v>
      </c>
      <c r="Q81" s="186" t="str">
        <f t="shared" si="12"/>
        <v>倒虹管</v>
      </c>
      <c r="R81" s="185">
        <f t="shared" si="17"/>
        <v>5</v>
      </c>
      <c r="S81" s="185">
        <f t="shared" si="18"/>
        <v>3</v>
      </c>
      <c r="T81" s="185">
        <v>3</v>
      </c>
    </row>
    <row r="82" spans="1:20" x14ac:dyDescent="0.15">
      <c r="A82" s="185" t="str">
        <f>水面线计算!B87</f>
        <v>IP63</v>
      </c>
      <c r="B82" s="185">
        <f>IF(C82=0,0,水面线计算!E87)</f>
        <v>10</v>
      </c>
      <c r="C82" s="185">
        <f>水面线计算!F87</f>
        <v>8.1449999999999996</v>
      </c>
      <c r="D82" s="185">
        <f>水面线计算!G87</f>
        <v>5457.2831498798996</v>
      </c>
      <c r="E82" s="185">
        <f>水面线计算!H87</f>
        <v>5457.9939352177744</v>
      </c>
      <c r="F82" s="185">
        <f>水面线计算!I87</f>
        <v>5458.7047205556491</v>
      </c>
      <c r="G82" s="185">
        <v>1</v>
      </c>
      <c r="H82" s="185">
        <f t="shared" si="14"/>
        <v>1</v>
      </c>
      <c r="I82" s="185">
        <f t="shared" si="15"/>
        <v>3</v>
      </c>
      <c r="J82" s="185">
        <f t="shared" si="16"/>
        <v>0</v>
      </c>
      <c r="K82" s="185">
        <f>水面线计算!AE87</f>
        <v>0</v>
      </c>
      <c r="L82" s="185">
        <f>水面线计算!Y87</f>
        <v>0</v>
      </c>
      <c r="N82" s="201" t="str">
        <f t="shared" si="11"/>
        <v/>
      </c>
      <c r="O82" s="201" t="str">
        <f>IF(J82=1,IF(COUNTIF(Q81,"*IP*"),"",IF(G81=1,IF((D82-F81-([2]断面设计!$T$83+[2]断面设计!$U$83)-12*[2]断面设计!$S$83)&lt;0,"矩形渠",""),IF(G81=2,IF((D82-F81-([2]断面设计!$T$84+[2]断面设计!$U$84)-12*[2]断面设计!$S$84)&lt;0,"矩形渠",""),IF(G81=3,IF((D82-F81-([2]断面设计!$T$85+[2]断面设计!$U$85)-12*[2]断面设计!$S$85)&lt;0,"矩形渠",""),IF(G81=4,IF((D82-F81-([2]断面设计!$T$86+[2]断面设计!$U$86)-12*[2]断面设计!$S$86)&lt;0,"矩形渠",""),0))))),"")</f>
        <v/>
      </c>
      <c r="P82" s="203" t="str">
        <f>IF(J82=0,IF(J81=1,"结构转弯",IF(J80=1,IF(J81=0,"结构转弯",""),"")),"")</f>
        <v/>
      </c>
      <c r="Q82" s="186" t="str">
        <f t="shared" si="12"/>
        <v>IP63</v>
      </c>
      <c r="R82" s="185">
        <f t="shared" si="17"/>
        <v>3</v>
      </c>
      <c r="S82" s="185">
        <f t="shared" si="18"/>
        <v>3</v>
      </c>
      <c r="T82" s="185">
        <v>3</v>
      </c>
    </row>
    <row r="83" spans="1:20" x14ac:dyDescent="0.15">
      <c r="A83" s="185" t="str">
        <f>水面线计算!B88</f>
        <v>IP64</v>
      </c>
      <c r="B83" s="185">
        <f>IF(C83=0,0,水面线计算!E88)</f>
        <v>10</v>
      </c>
      <c r="C83" s="185">
        <f>水面线计算!F88</f>
        <v>53.948999999999998</v>
      </c>
      <c r="D83" s="185">
        <f>水面线计算!G88</f>
        <v>5553.1712613658447</v>
      </c>
      <c r="E83" s="185">
        <f>水面线计算!H88</f>
        <v>5557.8791997566368</v>
      </c>
      <c r="F83" s="185">
        <f>水面线计算!I88</f>
        <v>5562.587138147429</v>
      </c>
      <c r="G83" s="185">
        <v>1</v>
      </c>
      <c r="H83" s="185">
        <f t="shared" si="14"/>
        <v>1</v>
      </c>
      <c r="I83" s="185">
        <f t="shared" si="15"/>
        <v>3</v>
      </c>
      <c r="J83" s="185">
        <f t="shared" si="16"/>
        <v>0</v>
      </c>
      <c r="K83" s="185">
        <f>水面线计算!AE88</f>
        <v>0</v>
      </c>
      <c r="L83" s="185">
        <f>水面线计算!Y88</f>
        <v>0</v>
      </c>
      <c r="N83" s="201" t="str">
        <f t="shared" si="11"/>
        <v/>
      </c>
      <c r="O83" s="201" t="str">
        <f>IF(J83=1,IF(COUNTIF(Q82,"*IP*"),"",IF(G82=1,IF((D83-F82-([2]断面设计!$T$83+[2]断面设计!$U$83)-12*[2]断面设计!$S$83)&lt;0,"矩形渠",""),IF(G82=2,IF((D83-F82-([2]断面设计!$T$84+[2]断面设计!$U$84)-12*[2]断面设计!$S$84)&lt;0,"矩形渠",""),IF(G82=3,IF((D83-F82-([2]断面设计!$T$85+[2]断面设计!$U$85)-12*[2]断面设计!$S$85)&lt;0,"矩形渠",""),IF(G82=4,IF((D83-F82-([2]断面设计!$T$86+[2]断面设计!$U$86)-12*[2]断面设计!$S$86)&lt;0,"矩形渠",""),0))))),"")</f>
        <v/>
      </c>
      <c r="P83" s="203" t="str">
        <f>IF(J83=0,IF(J82=1,"结构转弯",IF(J81=1,IF(J82=0,"结构转弯",""),"")),"")</f>
        <v/>
      </c>
      <c r="Q83" s="186" t="str">
        <f t="shared" si="12"/>
        <v>IP64</v>
      </c>
      <c r="R83" s="185">
        <f t="shared" si="17"/>
        <v>3</v>
      </c>
      <c r="S83" s="185">
        <f t="shared" si="18"/>
        <v>3</v>
      </c>
      <c r="T83" s="185">
        <v>3</v>
      </c>
    </row>
    <row r="84" spans="1:20" x14ac:dyDescent="0.15">
      <c r="A84" s="185" t="str">
        <f>水面线计算!B90</f>
        <v>2#隧进</v>
      </c>
      <c r="B84" s="185">
        <f>IF(C84=0,0,水面线计算!E90)</f>
        <v>0</v>
      </c>
      <c r="C84" s="185">
        <f>水面线计算!F90</f>
        <v>0</v>
      </c>
      <c r="D84" s="185">
        <f>水面线计算!G90</f>
        <v>5602.0931983542932</v>
      </c>
      <c r="E84" s="185">
        <f>水面线计算!H90</f>
        <v>5602.0931983542932</v>
      </c>
      <c r="F84" s="185">
        <f>水面线计算!I90</f>
        <v>5602.0931983542932</v>
      </c>
      <c r="G84" s="185">
        <v>1</v>
      </c>
      <c r="H84" s="185">
        <f t="shared" si="14"/>
        <v>3</v>
      </c>
      <c r="I84" s="185">
        <f t="shared" si="15"/>
        <v>1</v>
      </c>
      <c r="J84" s="185">
        <f t="shared" si="16"/>
        <v>1</v>
      </c>
      <c r="K84" s="185">
        <f>水面线计算!AE90</f>
        <v>5</v>
      </c>
      <c r="L84" s="185">
        <f>水面线计算!Y90</f>
        <v>0</v>
      </c>
      <c r="Q84" s="186" t="str">
        <f t="shared" si="12"/>
        <v>隧洞</v>
      </c>
      <c r="R84" s="185">
        <f t="shared" si="17"/>
        <v>3</v>
      </c>
      <c r="S84" s="185">
        <f t="shared" si="18"/>
        <v>3</v>
      </c>
      <c r="T84" s="185">
        <v>3</v>
      </c>
    </row>
    <row r="85" spans="1:20" x14ac:dyDescent="0.15">
      <c r="A85" s="185" t="str">
        <f>水面线计算!B91</f>
        <v>2#隧出</v>
      </c>
      <c r="B85" s="185">
        <f>IF(C85=0,0,水面线计算!E91)</f>
        <v>0</v>
      </c>
      <c r="C85" s="185">
        <f>水面线计算!F91</f>
        <v>0</v>
      </c>
      <c r="D85" s="185">
        <f>水面线计算!G91</f>
        <v>5871.1276833230331</v>
      </c>
      <c r="E85" s="185">
        <f>水面线计算!H91</f>
        <v>5871.1276833230331</v>
      </c>
      <c r="F85" s="185">
        <f>水面线计算!I91</f>
        <v>5871.1276833230331</v>
      </c>
      <c r="G85" s="185">
        <v>1</v>
      </c>
      <c r="H85" s="185">
        <f t="shared" si="14"/>
        <v>3</v>
      </c>
      <c r="I85" s="185">
        <f t="shared" si="15"/>
        <v>1</v>
      </c>
      <c r="J85" s="185">
        <f t="shared" si="16"/>
        <v>2</v>
      </c>
      <c r="K85" s="185">
        <f>水面线计算!AE91</f>
        <v>5</v>
      </c>
      <c r="L85" s="185">
        <f>水面线计算!Y91</f>
        <v>0</v>
      </c>
      <c r="Q85" s="186" t="str">
        <f t="shared" si="12"/>
        <v>隧洞</v>
      </c>
      <c r="R85" s="185">
        <f t="shared" si="17"/>
        <v>3</v>
      </c>
      <c r="S85" s="185">
        <f t="shared" si="18"/>
        <v>3</v>
      </c>
      <c r="T85" s="185">
        <v>3</v>
      </c>
    </row>
    <row r="86" spans="1:20" x14ac:dyDescent="0.15">
      <c r="A86" s="185" t="str">
        <f>水面线计算!B92</f>
        <v>IP65</v>
      </c>
      <c r="B86" s="185">
        <f>IF(C86=0,0,水面线计算!E92)</f>
        <v>10</v>
      </c>
      <c r="C86" s="185">
        <f>水面线计算!F92</f>
        <v>23.591000000000001</v>
      </c>
      <c r="D86" s="185">
        <f>水面线计算!G92</f>
        <v>5904.4519892458657</v>
      </c>
      <c r="E86" s="185">
        <f>水面线计算!H92</f>
        <v>5906.5106923650555</v>
      </c>
      <c r="F86" s="185">
        <f>水面线计算!I92</f>
        <v>5908.5693954842454</v>
      </c>
      <c r="G86" s="185">
        <v>1</v>
      </c>
      <c r="H86" s="185">
        <f t="shared" si="14"/>
        <v>1</v>
      </c>
      <c r="I86" s="185">
        <f t="shared" si="15"/>
        <v>3</v>
      </c>
      <c r="J86" s="185">
        <f t="shared" si="16"/>
        <v>0</v>
      </c>
      <c r="K86" s="185">
        <f>水面线计算!AE92</f>
        <v>0</v>
      </c>
      <c r="L86" s="185">
        <f>水面线计算!Y92</f>
        <v>0</v>
      </c>
      <c r="Q86" s="186" t="str">
        <f t="shared" si="12"/>
        <v>IP65</v>
      </c>
      <c r="R86" s="185">
        <f t="shared" si="17"/>
        <v>3</v>
      </c>
      <c r="S86" s="185">
        <f t="shared" si="18"/>
        <v>3</v>
      </c>
      <c r="T86" s="185">
        <v>3</v>
      </c>
    </row>
    <row r="87" spans="1:20" x14ac:dyDescent="0.15">
      <c r="A87" s="185" t="str">
        <f>水面线计算!B93</f>
        <v>IP66</v>
      </c>
      <c r="B87" s="185">
        <f>IF(C87=0,0,水面线计算!E93)</f>
        <v>10</v>
      </c>
      <c r="C87" s="185">
        <f>水面线计算!F93</f>
        <v>7.327</v>
      </c>
      <c r="D87" s="185">
        <f>水面线计算!G93</f>
        <v>5955.1615982065196</v>
      </c>
      <c r="E87" s="185">
        <f>水面线计算!H93</f>
        <v>5955.8009995779876</v>
      </c>
      <c r="F87" s="185">
        <f>水面线计算!I93</f>
        <v>5956.4404009494556</v>
      </c>
      <c r="G87" s="185">
        <v>1</v>
      </c>
      <c r="H87" s="185">
        <f t="shared" si="14"/>
        <v>1</v>
      </c>
      <c r="I87" s="185">
        <f t="shared" si="15"/>
        <v>3</v>
      </c>
      <c r="J87" s="185">
        <f t="shared" si="16"/>
        <v>0</v>
      </c>
      <c r="K87" s="185">
        <f>水面线计算!AE93</f>
        <v>0</v>
      </c>
      <c r="L87" s="185">
        <f>水面线计算!Y93</f>
        <v>0</v>
      </c>
      <c r="Q87" s="186" t="str">
        <f t="shared" si="12"/>
        <v>IP66</v>
      </c>
      <c r="R87" s="185">
        <f t="shared" si="17"/>
        <v>3</v>
      </c>
      <c r="S87" s="185">
        <f t="shared" si="18"/>
        <v>3</v>
      </c>
      <c r="T87" s="185">
        <v>3</v>
      </c>
    </row>
    <row r="88" spans="1:20" x14ac:dyDescent="0.15">
      <c r="A88" s="185" t="str">
        <f>水面线计算!B94</f>
        <v>IP67</v>
      </c>
      <c r="B88" s="185">
        <f>IF(C88=0,0,水面线计算!E94)</f>
        <v>10</v>
      </c>
      <c r="C88" s="185">
        <f>水面线计算!F94</f>
        <v>3.371</v>
      </c>
      <c r="D88" s="185">
        <f>水面线计算!G94</f>
        <v>5996.9812196848125</v>
      </c>
      <c r="E88" s="185">
        <f>水面线计算!H94</f>
        <v>5997.275394930236</v>
      </c>
      <c r="F88" s="185">
        <f>水面线计算!I94</f>
        <v>5997.5695701756595</v>
      </c>
      <c r="G88" s="185">
        <v>1</v>
      </c>
      <c r="H88" s="185">
        <f t="shared" si="14"/>
        <v>1</v>
      </c>
      <c r="I88" s="185">
        <f t="shared" si="15"/>
        <v>3</v>
      </c>
      <c r="J88" s="185">
        <f t="shared" si="16"/>
        <v>0</v>
      </c>
      <c r="K88" s="185">
        <f>水面线计算!AE94</f>
        <v>0</v>
      </c>
      <c r="L88" s="185">
        <f>水面线计算!Y94</f>
        <v>0</v>
      </c>
      <c r="Q88" s="186" t="str">
        <f t="shared" si="12"/>
        <v>IP67</v>
      </c>
      <c r="R88" s="185">
        <f t="shared" si="17"/>
        <v>3</v>
      </c>
      <c r="S88" s="185">
        <f t="shared" si="18"/>
        <v>3</v>
      </c>
      <c r="T88" s="185">
        <v>3</v>
      </c>
    </row>
    <row r="89" spans="1:20" x14ac:dyDescent="0.15">
      <c r="A89" s="185" t="str">
        <f>水面线计算!B95</f>
        <v>IP68</v>
      </c>
      <c r="B89" s="185">
        <f>IF(C89=0,0,水面线计算!E95)</f>
        <v>10</v>
      </c>
      <c r="C89" s="185">
        <f>水面线计算!F95</f>
        <v>19.864999999999998</v>
      </c>
      <c r="D89" s="185">
        <f>水面线计算!G95</f>
        <v>6074.244756910166</v>
      </c>
      <c r="E89" s="185">
        <f>水面线计算!H95</f>
        <v>6075.9783051897093</v>
      </c>
      <c r="F89" s="185">
        <f>水面线计算!I95</f>
        <v>6077.7118534692527</v>
      </c>
      <c r="G89" s="185">
        <v>1</v>
      </c>
      <c r="H89" s="185">
        <f t="shared" si="14"/>
        <v>1</v>
      </c>
      <c r="I89" s="185">
        <f t="shared" si="15"/>
        <v>3</v>
      </c>
      <c r="J89" s="185">
        <f t="shared" si="16"/>
        <v>0</v>
      </c>
      <c r="K89" s="185">
        <f>水面线计算!AE95</f>
        <v>0</v>
      </c>
      <c r="L89" s="185">
        <f>水面线计算!Y95</f>
        <v>0</v>
      </c>
      <c r="Q89" s="186" t="str">
        <f t="shared" si="12"/>
        <v>IP68</v>
      </c>
      <c r="R89" s="185">
        <f t="shared" si="17"/>
        <v>3</v>
      </c>
      <c r="S89" s="185">
        <f t="shared" si="18"/>
        <v>3</v>
      </c>
      <c r="T89" s="185">
        <v>3</v>
      </c>
    </row>
    <row r="90" spans="1:20" x14ac:dyDescent="0.15">
      <c r="A90" s="185" t="str">
        <f>水面线计算!B96</f>
        <v>IP69</v>
      </c>
      <c r="B90" s="185">
        <f>IF(C90=0,0,水面线计算!E96)</f>
        <v>10</v>
      </c>
      <c r="C90" s="185">
        <f>水面线计算!F96</f>
        <v>24.672000000000001</v>
      </c>
      <c r="D90" s="185">
        <f>水面线计算!G96</f>
        <v>6089.6824148930345</v>
      </c>
      <c r="E90" s="185">
        <f>水面线计算!H96</f>
        <v>6091.8354530582947</v>
      </c>
      <c r="F90" s="185">
        <f>水面线计算!I96</f>
        <v>6093.9884912235548</v>
      </c>
      <c r="G90" s="185">
        <v>1</v>
      </c>
      <c r="H90" s="185">
        <f t="shared" si="14"/>
        <v>1</v>
      </c>
      <c r="I90" s="185">
        <f t="shared" si="15"/>
        <v>3</v>
      </c>
      <c r="J90" s="185">
        <f t="shared" si="16"/>
        <v>0</v>
      </c>
      <c r="K90" s="185">
        <f>水面线计算!AE96</f>
        <v>0</v>
      </c>
      <c r="L90" s="185">
        <f>水面线计算!Y96</f>
        <v>0</v>
      </c>
      <c r="Q90" s="186" t="str">
        <f t="shared" si="12"/>
        <v>IP69</v>
      </c>
      <c r="R90" s="185">
        <f t="shared" si="17"/>
        <v>3</v>
      </c>
      <c r="S90" s="185">
        <f t="shared" si="18"/>
        <v>3</v>
      </c>
      <c r="T90" s="185">
        <v>3</v>
      </c>
    </row>
    <row r="91" spans="1:20" x14ac:dyDescent="0.15">
      <c r="A91" s="185" t="str">
        <f>水面线计算!B97</f>
        <v>IP70</v>
      </c>
      <c r="B91" s="185">
        <f>IF(C91=0,0,水面线计算!E97)</f>
        <v>10</v>
      </c>
      <c r="C91" s="185">
        <f>水面线计算!F97</f>
        <v>58.84</v>
      </c>
      <c r="D91" s="185">
        <f>水面线计算!G97</f>
        <v>6098.7218482125127</v>
      </c>
      <c r="E91" s="185">
        <f>水面线计算!H97</f>
        <v>6103.8566068718801</v>
      </c>
      <c r="F91" s="185">
        <f>水面线计算!I97</f>
        <v>6108.9913655312475</v>
      </c>
      <c r="G91" s="185">
        <v>1</v>
      </c>
      <c r="H91" s="185">
        <f t="shared" si="14"/>
        <v>1</v>
      </c>
      <c r="I91" s="185">
        <f t="shared" si="15"/>
        <v>3</v>
      </c>
      <c r="J91" s="185">
        <f t="shared" si="16"/>
        <v>0</v>
      </c>
      <c r="K91" s="185">
        <f>水面线计算!AE97</f>
        <v>0</v>
      </c>
      <c r="L91" s="185">
        <f>水面线计算!Y97</f>
        <v>0</v>
      </c>
      <c r="Q91" s="186" t="str">
        <f t="shared" si="12"/>
        <v>IP70</v>
      </c>
      <c r="R91" s="185">
        <f t="shared" si="17"/>
        <v>3</v>
      </c>
      <c r="S91" s="185">
        <f t="shared" si="18"/>
        <v>3</v>
      </c>
      <c r="T91" s="185">
        <v>3</v>
      </c>
    </row>
    <row r="92" spans="1:20" x14ac:dyDescent="0.15">
      <c r="A92" s="185" t="str">
        <f>水面线计算!B98</f>
        <v>IP71</v>
      </c>
      <c r="B92" s="185">
        <f>IF(C92=0,0,水面线计算!E98)</f>
        <v>10</v>
      </c>
      <c r="C92" s="185">
        <f>水面线计算!F98</f>
        <v>103.065</v>
      </c>
      <c r="D92" s="185">
        <f>水面线计算!G98</f>
        <v>6141.5810897140782</v>
      </c>
      <c r="E92" s="185">
        <f>水面线计算!H98</f>
        <v>6150.5752076819181</v>
      </c>
      <c r="F92" s="185">
        <f>水面线计算!I98</f>
        <v>6159.569325649758</v>
      </c>
      <c r="G92" s="185">
        <v>1</v>
      </c>
      <c r="H92" s="185">
        <f t="shared" si="14"/>
        <v>1</v>
      </c>
      <c r="I92" s="185">
        <f t="shared" si="15"/>
        <v>3</v>
      </c>
      <c r="J92" s="185">
        <f t="shared" si="16"/>
        <v>0</v>
      </c>
      <c r="K92" s="185">
        <f>水面线计算!AE98</f>
        <v>0</v>
      </c>
      <c r="L92" s="185">
        <f>水面线计算!Y98</f>
        <v>0</v>
      </c>
      <c r="Q92" s="186" t="str">
        <f t="shared" si="12"/>
        <v>IP71</v>
      </c>
      <c r="R92" s="185">
        <f t="shared" si="17"/>
        <v>3</v>
      </c>
      <c r="S92" s="185">
        <f t="shared" si="18"/>
        <v>3</v>
      </c>
      <c r="T92" s="185">
        <v>3</v>
      </c>
    </row>
    <row r="93" spans="1:20" x14ac:dyDescent="0.15">
      <c r="A93" s="185" t="str">
        <f>水面线计算!B99</f>
        <v>IP72</v>
      </c>
      <c r="B93" s="185">
        <f>IF(C93=0,0,水面线计算!E99)</f>
        <v>10</v>
      </c>
      <c r="C93" s="185">
        <f>水面线计算!F99</f>
        <v>13.429</v>
      </c>
      <c r="D93" s="185">
        <f>水面线计算!G99</f>
        <v>6195.1263757640208</v>
      </c>
      <c r="E93" s="185">
        <f>水面线计算!H99</f>
        <v>6196.2982770902727</v>
      </c>
      <c r="F93" s="185">
        <f>水面线计算!I99</f>
        <v>6197.4701784165236</v>
      </c>
      <c r="G93" s="185">
        <v>1</v>
      </c>
      <c r="H93" s="185">
        <f t="shared" si="14"/>
        <v>1</v>
      </c>
      <c r="I93" s="185">
        <f t="shared" si="15"/>
        <v>3</v>
      </c>
      <c r="J93" s="185">
        <f t="shared" si="16"/>
        <v>0</v>
      </c>
      <c r="K93" s="185">
        <f>水面线计算!AE99</f>
        <v>0</v>
      </c>
      <c r="L93" s="185">
        <f>水面线计算!Y99</f>
        <v>0</v>
      </c>
      <c r="Q93" s="186" t="str">
        <f t="shared" si="12"/>
        <v>IP72</v>
      </c>
      <c r="R93" s="185">
        <f t="shared" si="17"/>
        <v>3</v>
      </c>
      <c r="S93" s="185">
        <f t="shared" si="18"/>
        <v>3</v>
      </c>
      <c r="T93" s="185">
        <v>3</v>
      </c>
    </row>
    <row r="94" spans="1:20" x14ac:dyDescent="0.15">
      <c r="A94" s="185" t="str">
        <f>水面线计算!B100</f>
        <v>IP73</v>
      </c>
      <c r="B94" s="185">
        <f>IF(C94=0,0,水面线计算!E100)</f>
        <v>10</v>
      </c>
      <c r="C94" s="185">
        <f>水面线计算!F100</f>
        <v>15.891</v>
      </c>
      <c r="D94" s="185">
        <f>水面线计算!G100</f>
        <v>6259.8225750429201</v>
      </c>
      <c r="E94" s="185">
        <f>水面线计算!H100</f>
        <v>6261.2093264000923</v>
      </c>
      <c r="F94" s="185">
        <f>水面线计算!I100</f>
        <v>6262.5960777572645</v>
      </c>
      <c r="G94" s="185">
        <v>1</v>
      </c>
      <c r="H94" s="185">
        <f t="shared" si="14"/>
        <v>1</v>
      </c>
      <c r="I94" s="185">
        <f t="shared" si="15"/>
        <v>3</v>
      </c>
      <c r="J94" s="185">
        <f t="shared" si="16"/>
        <v>0</v>
      </c>
      <c r="K94" s="185">
        <f>水面线计算!AE100</f>
        <v>0</v>
      </c>
      <c r="L94" s="185">
        <f>水面线计算!Y100</f>
        <v>0</v>
      </c>
      <c r="Q94" s="186" t="str">
        <f t="shared" si="12"/>
        <v>IP73</v>
      </c>
      <c r="R94" s="185">
        <f t="shared" si="17"/>
        <v>3</v>
      </c>
      <c r="S94" s="185">
        <f t="shared" si="18"/>
        <v>3</v>
      </c>
      <c r="T94" s="185">
        <v>3</v>
      </c>
    </row>
    <row r="95" spans="1:20" x14ac:dyDescent="0.15">
      <c r="A95" s="185" t="str">
        <f>水面线计算!B101</f>
        <v>IP74</v>
      </c>
      <c r="B95" s="185">
        <f>IF(C95=0,0,水面线计算!E101)</f>
        <v>10</v>
      </c>
      <c r="C95" s="185">
        <f>水面线计算!F101</f>
        <v>148.124</v>
      </c>
      <c r="D95" s="185">
        <f>水面线计算!G101</f>
        <v>6298.7128348791302</v>
      </c>
      <c r="E95" s="185">
        <f>水面线计算!H101</f>
        <v>6311.6390923852505</v>
      </c>
      <c r="F95" s="185">
        <f>水面线计算!I101</f>
        <v>6324.5653498913707</v>
      </c>
      <c r="G95" s="185">
        <v>1</v>
      </c>
      <c r="H95" s="185">
        <f t="shared" si="14"/>
        <v>1</v>
      </c>
      <c r="I95" s="185">
        <f t="shared" si="15"/>
        <v>3</v>
      </c>
      <c r="J95" s="185">
        <f t="shared" si="16"/>
        <v>0</v>
      </c>
      <c r="K95" s="185">
        <f>水面线计算!AE101</f>
        <v>0</v>
      </c>
      <c r="L95" s="185">
        <f>水面线计算!Y101</f>
        <v>0</v>
      </c>
      <c r="Q95" s="186" t="str">
        <f t="shared" si="12"/>
        <v>IP74</v>
      </c>
      <c r="R95" s="185">
        <f t="shared" si="17"/>
        <v>3</v>
      </c>
      <c r="S95" s="185">
        <f t="shared" si="18"/>
        <v>3</v>
      </c>
      <c r="T95" s="185">
        <v>3</v>
      </c>
    </row>
    <row r="96" spans="1:20" x14ac:dyDescent="0.15">
      <c r="A96" s="185" t="str">
        <f>水面线计算!B103</f>
        <v>IP75</v>
      </c>
      <c r="B96" s="185">
        <f>IF(C96=0,0,水面线计算!E103)</f>
        <v>10</v>
      </c>
      <c r="C96" s="185">
        <f>水面线计算!F103</f>
        <v>116.86</v>
      </c>
      <c r="D96" s="185">
        <f>水面线计算!G103</f>
        <v>6361.4447043739283</v>
      </c>
      <c r="E96" s="185">
        <f>水面线计算!H103</f>
        <v>6371.6426631933309</v>
      </c>
      <c r="F96" s="185">
        <f>水面线计算!I103</f>
        <v>6381.8406220127345</v>
      </c>
      <c r="G96" s="185">
        <v>1</v>
      </c>
      <c r="H96" s="185">
        <f t="shared" si="14"/>
        <v>1</v>
      </c>
      <c r="I96" s="185">
        <f t="shared" si="15"/>
        <v>3</v>
      </c>
      <c r="J96" s="185">
        <f t="shared" si="16"/>
        <v>0</v>
      </c>
      <c r="K96" s="185">
        <f>水面线计算!AE103</f>
        <v>0</v>
      </c>
      <c r="L96" s="185">
        <f>水面线计算!Y103</f>
        <v>0</v>
      </c>
      <c r="Q96" s="186" t="str">
        <f t="shared" si="12"/>
        <v>IP75</v>
      </c>
      <c r="R96" s="185">
        <f t="shared" si="17"/>
        <v>3</v>
      </c>
      <c r="S96" s="185">
        <f t="shared" si="18"/>
        <v>3</v>
      </c>
      <c r="T96" s="185">
        <v>3</v>
      </c>
    </row>
    <row r="97" spans="1:20" x14ac:dyDescent="0.15">
      <c r="A97" s="185" t="str">
        <f>水面线计算!B104</f>
        <v>IP76</v>
      </c>
      <c r="B97" s="185">
        <f>IF(C97=0,0,水面线计算!E104)</f>
        <v>10</v>
      </c>
      <c r="C97" s="185">
        <f>水面线计算!F104</f>
        <v>12.614000000000001</v>
      </c>
      <c r="D97" s="185">
        <f>水面线计算!G104</f>
        <v>6418.4990591165242</v>
      </c>
      <c r="E97" s="185">
        <f>水面线计算!H104</f>
        <v>6419.5998382757571</v>
      </c>
      <c r="F97" s="185">
        <f>水面线计算!I104</f>
        <v>6420.7006174349899</v>
      </c>
      <c r="G97" s="185">
        <v>1</v>
      </c>
      <c r="H97" s="185">
        <f t="shared" si="14"/>
        <v>1</v>
      </c>
      <c r="I97" s="185">
        <f t="shared" si="15"/>
        <v>3</v>
      </c>
      <c r="J97" s="185">
        <f t="shared" si="16"/>
        <v>0</v>
      </c>
      <c r="K97" s="185">
        <f>水面线计算!AE104</f>
        <v>0</v>
      </c>
      <c r="L97" s="185">
        <f>水面线计算!Y104</f>
        <v>0</v>
      </c>
      <c r="Q97" s="186" t="str">
        <f t="shared" si="12"/>
        <v>IP76</v>
      </c>
      <c r="R97" s="185">
        <f t="shared" si="17"/>
        <v>3</v>
      </c>
      <c r="S97" s="185">
        <f t="shared" si="18"/>
        <v>3</v>
      </c>
      <c r="T97" s="185">
        <v>3</v>
      </c>
    </row>
    <row r="98" spans="1:20" x14ac:dyDescent="0.15">
      <c r="A98" s="185" t="str">
        <f>水面线计算!B105</f>
        <v>IP77</v>
      </c>
      <c r="B98" s="185">
        <f>IF(C98=0,0,水面线计算!E105)</f>
        <v>10</v>
      </c>
      <c r="C98" s="185">
        <f>水面线计算!F105</f>
        <v>128.548</v>
      </c>
      <c r="D98" s="185">
        <f>水面线计算!G105</f>
        <v>6445.4457772114329</v>
      </c>
      <c r="E98" s="185">
        <f>水面线计算!H105</f>
        <v>6456.6637064457009</v>
      </c>
      <c r="F98" s="185">
        <f>水面线计算!I105</f>
        <v>6467.8816356799698</v>
      </c>
      <c r="G98" s="185">
        <v>1</v>
      </c>
      <c r="H98" s="185">
        <f t="shared" si="14"/>
        <v>1</v>
      </c>
      <c r="I98" s="185">
        <f t="shared" si="15"/>
        <v>3</v>
      </c>
      <c r="J98" s="185">
        <f t="shared" si="16"/>
        <v>0</v>
      </c>
      <c r="K98" s="185">
        <f>水面线计算!AE105</f>
        <v>0</v>
      </c>
      <c r="L98" s="185">
        <f>水面线计算!Y105</f>
        <v>0</v>
      </c>
      <c r="Q98" s="186" t="str">
        <f t="shared" si="12"/>
        <v>IP77</v>
      </c>
      <c r="R98" s="185">
        <f t="shared" si="17"/>
        <v>3</v>
      </c>
      <c r="S98" s="185">
        <f t="shared" si="18"/>
        <v>3</v>
      </c>
      <c r="T98" s="185">
        <v>3</v>
      </c>
    </row>
    <row r="99" spans="1:20" x14ac:dyDescent="0.15">
      <c r="A99" s="185" t="str">
        <f>水面线计算!B106</f>
        <v>IP78</v>
      </c>
      <c r="B99" s="185">
        <f>IF(C99=0,0,水面线计算!E106)</f>
        <v>10</v>
      </c>
      <c r="C99" s="185">
        <f>水面线计算!F106</f>
        <v>51.872</v>
      </c>
      <c r="D99" s="185">
        <f>水面线计算!G106</f>
        <v>6482.0125318578566</v>
      </c>
      <c r="E99" s="185">
        <f>水面线计算!H106</f>
        <v>6486.5392178058291</v>
      </c>
      <c r="F99" s="185">
        <f>水面线计算!I106</f>
        <v>6491.0659037538016</v>
      </c>
      <c r="G99" s="185">
        <v>1</v>
      </c>
      <c r="H99" s="185">
        <f t="shared" si="14"/>
        <v>1</v>
      </c>
      <c r="I99" s="185">
        <f t="shared" si="15"/>
        <v>3</v>
      </c>
      <c r="J99" s="185">
        <f t="shared" si="16"/>
        <v>0</v>
      </c>
      <c r="K99" s="185">
        <f>水面线计算!AE106</f>
        <v>0</v>
      </c>
      <c r="L99" s="185">
        <f>水面线计算!Y106</f>
        <v>0</v>
      </c>
      <c r="Q99" s="186" t="str">
        <f t="shared" si="12"/>
        <v>IP78</v>
      </c>
      <c r="R99" s="185">
        <f t="shared" si="17"/>
        <v>3</v>
      </c>
      <c r="S99" s="185">
        <f t="shared" si="18"/>
        <v>3</v>
      </c>
      <c r="T99" s="185">
        <v>3</v>
      </c>
    </row>
    <row r="100" spans="1:20" x14ac:dyDescent="0.15">
      <c r="A100" s="185" t="str">
        <f>水面线计算!B107</f>
        <v>3#隧进</v>
      </c>
      <c r="B100" s="185">
        <f>IF(C100=0,0,水面线计算!E107)</f>
        <v>0</v>
      </c>
      <c r="C100" s="185">
        <f>水面线计算!F107</f>
        <v>0</v>
      </c>
      <c r="D100" s="185">
        <f>水面线计算!G107</f>
        <v>6509.8685623452666</v>
      </c>
      <c r="E100" s="185">
        <f>水面线计算!H107</f>
        <v>6509.8685623452666</v>
      </c>
      <c r="F100" s="185">
        <f>水面线计算!I107</f>
        <v>6509.8685623452666</v>
      </c>
      <c r="G100" s="185">
        <v>1</v>
      </c>
      <c r="H100" s="185">
        <f t="shared" si="14"/>
        <v>3</v>
      </c>
      <c r="I100" s="185">
        <f t="shared" si="15"/>
        <v>1</v>
      </c>
      <c r="J100" s="185">
        <f t="shared" si="16"/>
        <v>1</v>
      </c>
      <c r="K100" s="185">
        <f>水面线计算!AE107</f>
        <v>5</v>
      </c>
      <c r="L100" s="185">
        <f>水面线计算!Y107</f>
        <v>0</v>
      </c>
      <c r="Q100" s="186" t="str">
        <f t="shared" si="12"/>
        <v>隧洞</v>
      </c>
      <c r="R100" s="185">
        <f t="shared" si="17"/>
        <v>3</v>
      </c>
      <c r="S100" s="185">
        <f t="shared" si="18"/>
        <v>3</v>
      </c>
      <c r="T100" s="185">
        <v>3</v>
      </c>
    </row>
    <row r="101" spans="1:20" x14ac:dyDescent="0.15">
      <c r="A101" s="185" t="str">
        <f>水面线计算!B108</f>
        <v>3#隧出</v>
      </c>
      <c r="B101" s="185">
        <f>IF(C101=0,0,水面线计算!E108)</f>
        <v>0</v>
      </c>
      <c r="C101" s="185">
        <f>水面线计算!F108</f>
        <v>0</v>
      </c>
      <c r="D101" s="185">
        <f>水面线计算!G108</f>
        <v>6662.170474695039</v>
      </c>
      <c r="E101" s="185">
        <f>水面线计算!H108</f>
        <v>6662.170474695039</v>
      </c>
      <c r="F101" s="185">
        <f>水面线计算!I108</f>
        <v>6662.170474695039</v>
      </c>
      <c r="G101" s="185">
        <v>1</v>
      </c>
      <c r="H101" s="185">
        <f t="shared" si="14"/>
        <v>3</v>
      </c>
      <c r="I101" s="185">
        <f t="shared" si="15"/>
        <v>1</v>
      </c>
      <c r="J101" s="185">
        <f t="shared" si="16"/>
        <v>2</v>
      </c>
      <c r="K101" s="185">
        <f>水面线计算!AE108</f>
        <v>5</v>
      </c>
      <c r="L101" s="185">
        <f>水面线计算!Y108</f>
        <v>0</v>
      </c>
      <c r="Q101" s="186" t="str">
        <f t="shared" si="12"/>
        <v>隧洞</v>
      </c>
      <c r="R101" s="185">
        <f t="shared" si="17"/>
        <v>3</v>
      </c>
      <c r="S101" s="185">
        <f t="shared" si="18"/>
        <v>3</v>
      </c>
      <c r="T101" s="185">
        <v>3</v>
      </c>
    </row>
    <row r="102" spans="1:20" x14ac:dyDescent="0.15">
      <c r="A102" s="185" t="str">
        <f>水面线计算!B109</f>
        <v>7#倒进</v>
      </c>
      <c r="B102" s="185">
        <f>IF(C102=0,0,水面线计算!E109)</f>
        <v>0</v>
      </c>
      <c r="C102" s="185">
        <f>水面线计算!F109</f>
        <v>0</v>
      </c>
      <c r="D102" s="185">
        <f>水面线计算!G109</f>
        <v>6710.9510652657573</v>
      </c>
      <c r="E102" s="185">
        <f>水面线计算!H109</f>
        <v>6710.9510652657573</v>
      </c>
      <c r="F102" s="185">
        <f>水面线计算!I109</f>
        <v>6710.9510652657573</v>
      </c>
      <c r="G102" s="185">
        <v>1</v>
      </c>
      <c r="H102" s="185">
        <f t="shared" si="14"/>
        <v>1</v>
      </c>
      <c r="I102" s="185">
        <f t="shared" si="15"/>
        <v>5</v>
      </c>
      <c r="J102" s="185">
        <f t="shared" si="16"/>
        <v>1</v>
      </c>
      <c r="K102" s="185">
        <f>水面线计算!AE109</f>
        <v>0</v>
      </c>
      <c r="L102" s="185">
        <f>水面线计算!Y109</f>
        <v>0</v>
      </c>
      <c r="Q102" s="186" t="str">
        <f t="shared" si="12"/>
        <v>倒虹管</v>
      </c>
      <c r="R102" s="185">
        <f t="shared" si="17"/>
        <v>5</v>
      </c>
      <c r="S102" s="185">
        <f t="shared" si="18"/>
        <v>3</v>
      </c>
      <c r="T102" s="185">
        <v>3</v>
      </c>
    </row>
    <row r="103" spans="1:20" x14ac:dyDescent="0.15">
      <c r="A103" s="185" t="str">
        <f>水面线计算!B110</f>
        <v>IP79</v>
      </c>
      <c r="B103" s="185">
        <f>IF(C103=0,0,水面线计算!E110)</f>
        <v>2.4</v>
      </c>
      <c r="C103" s="185">
        <f>水面线计算!F110</f>
        <v>24.399000000000001</v>
      </c>
      <c r="D103" s="185">
        <f>水面线计算!G110</f>
        <v>6737.6220662037467</v>
      </c>
      <c r="E103" s="185">
        <f>水面线计算!H110</f>
        <v>6738.1330776647792</v>
      </c>
      <c r="F103" s="185">
        <f>水面线计算!I110</f>
        <v>6738.6440891258126</v>
      </c>
      <c r="G103" s="185">
        <v>1</v>
      </c>
      <c r="H103" s="185">
        <f t="shared" si="14"/>
        <v>1</v>
      </c>
      <c r="I103" s="185">
        <f t="shared" si="15"/>
        <v>3</v>
      </c>
      <c r="J103" s="185">
        <f t="shared" si="16"/>
        <v>0</v>
      </c>
      <c r="K103" s="185">
        <f>水面线计算!AE110</f>
        <v>0</v>
      </c>
      <c r="L103" s="185">
        <f>水面线计算!Y110</f>
        <v>0</v>
      </c>
      <c r="Q103" s="186" t="str">
        <f t="shared" si="12"/>
        <v>IP79</v>
      </c>
      <c r="R103" s="185">
        <f t="shared" si="17"/>
        <v>3</v>
      </c>
      <c r="S103" s="185">
        <f t="shared" si="18"/>
        <v>3</v>
      </c>
      <c r="T103" s="185">
        <v>3</v>
      </c>
    </row>
    <row r="104" spans="1:20" x14ac:dyDescent="0.15">
      <c r="A104" s="185" t="str">
        <f>水面线计算!B111</f>
        <v>IP80</v>
      </c>
      <c r="B104" s="185">
        <f>IF(C104=0,0,水面线计算!E111)</f>
        <v>2.4</v>
      </c>
      <c r="C104" s="185">
        <f>水面线计算!F111</f>
        <v>7.8810000000000002</v>
      </c>
      <c r="D104" s="185">
        <f>水面线计算!G111</f>
        <v>6905.9812754612249</v>
      </c>
      <c r="E104" s="185">
        <f>水面线计算!H111</f>
        <v>6906.1463347392446</v>
      </c>
      <c r="F104" s="185">
        <f>水面线计算!I111</f>
        <v>6906.3113940172643</v>
      </c>
      <c r="G104" s="185">
        <v>1</v>
      </c>
      <c r="H104" s="185">
        <f t="shared" si="14"/>
        <v>1</v>
      </c>
      <c r="I104" s="185">
        <f t="shared" si="15"/>
        <v>3</v>
      </c>
      <c r="J104" s="185">
        <f t="shared" si="16"/>
        <v>0</v>
      </c>
      <c r="K104" s="185">
        <f>水面线计算!AE111</f>
        <v>0</v>
      </c>
      <c r="L104" s="185">
        <f>水面线计算!Y111</f>
        <v>0</v>
      </c>
      <c r="Q104" s="186" t="str">
        <f t="shared" si="12"/>
        <v>IP80</v>
      </c>
      <c r="R104" s="185">
        <f t="shared" si="17"/>
        <v>3</v>
      </c>
      <c r="S104" s="185">
        <f t="shared" si="18"/>
        <v>3</v>
      </c>
      <c r="T104" s="185">
        <v>3</v>
      </c>
    </row>
    <row r="105" spans="1:20" x14ac:dyDescent="0.15">
      <c r="A105" s="185" t="str">
        <f>水面线计算!B112</f>
        <v>7#倒出</v>
      </c>
      <c r="B105" s="185">
        <f>IF(C105=0,0,水面线计算!E112)</f>
        <v>0</v>
      </c>
      <c r="C105" s="185">
        <f>水面线计算!F112</f>
        <v>0</v>
      </c>
      <c r="D105" s="185">
        <f>水面线计算!G112</f>
        <v>7096.0194407569898</v>
      </c>
      <c r="E105" s="185">
        <f>水面线计算!H112</f>
        <v>7096.0194407569898</v>
      </c>
      <c r="F105" s="185">
        <f>水面线计算!I112</f>
        <v>7096.0194407569898</v>
      </c>
      <c r="G105" s="185">
        <v>1</v>
      </c>
      <c r="H105" s="185">
        <f t="shared" si="14"/>
        <v>1</v>
      </c>
      <c r="I105" s="185">
        <f t="shared" si="15"/>
        <v>5</v>
      </c>
      <c r="J105" s="185">
        <f t="shared" si="16"/>
        <v>2</v>
      </c>
      <c r="K105" s="185">
        <f>水面线计算!AE112</f>
        <v>0</v>
      </c>
      <c r="L105" s="185">
        <f>水面线计算!Y112</f>
        <v>1.07</v>
      </c>
      <c r="Q105" s="186" t="str">
        <f t="shared" si="12"/>
        <v>倒虹管</v>
      </c>
      <c r="R105" s="185">
        <f t="shared" si="17"/>
        <v>5</v>
      </c>
      <c r="S105" s="185">
        <f t="shared" si="18"/>
        <v>3</v>
      </c>
      <c r="T105" s="185">
        <v>3</v>
      </c>
    </row>
    <row r="106" spans="1:20" x14ac:dyDescent="0.15">
      <c r="A106" s="185" t="str">
        <f>水面线计算!B113</f>
        <v>IP81</v>
      </c>
      <c r="B106" s="185">
        <f>IF(C106=0,0,水面线计算!E113)</f>
        <v>10</v>
      </c>
      <c r="C106" s="185">
        <f>水面线计算!F113</f>
        <v>23.254000000000001</v>
      </c>
      <c r="D106" s="185">
        <f>水面线计算!G113</f>
        <v>7105.9617679703069</v>
      </c>
      <c r="E106" s="185">
        <f>水面线计算!H113</f>
        <v>7107.9910622916004</v>
      </c>
      <c r="F106" s="185">
        <f>水面线计算!I113</f>
        <v>7110.0203566128948</v>
      </c>
      <c r="G106" s="185">
        <v>1</v>
      </c>
      <c r="H106" s="185">
        <f t="shared" si="14"/>
        <v>1</v>
      </c>
      <c r="I106" s="185">
        <f t="shared" si="15"/>
        <v>3</v>
      </c>
      <c r="J106" s="185">
        <f t="shared" si="16"/>
        <v>0</v>
      </c>
      <c r="K106" s="185">
        <f>水面线计算!AE113</f>
        <v>0</v>
      </c>
      <c r="L106" s="185">
        <f>水面线计算!Y113</f>
        <v>0</v>
      </c>
      <c r="Q106" s="186" t="str">
        <f t="shared" si="12"/>
        <v>IP81</v>
      </c>
      <c r="R106" s="185">
        <f t="shared" si="17"/>
        <v>3</v>
      </c>
      <c r="S106" s="185">
        <f t="shared" si="18"/>
        <v>3</v>
      </c>
      <c r="T106" s="185">
        <v>3</v>
      </c>
    </row>
    <row r="107" spans="1:20" x14ac:dyDescent="0.15">
      <c r="A107" s="185" t="str">
        <f>水面线计算!B114</f>
        <v>IP82</v>
      </c>
      <c r="B107" s="185">
        <f>IF(C107=0,0,水面线计算!E114)</f>
        <v>10</v>
      </c>
      <c r="C107" s="185">
        <f>水面线计算!F114</f>
        <v>19.712</v>
      </c>
      <c r="D107" s="185">
        <f>水面线计算!G114</f>
        <v>7142.8909295368539</v>
      </c>
      <c r="E107" s="185">
        <f>水面线计算!H114</f>
        <v>7144.6111260476191</v>
      </c>
      <c r="F107" s="185">
        <f>水面线计算!I114</f>
        <v>7146.3313225583852</v>
      </c>
      <c r="G107" s="185">
        <v>1</v>
      </c>
      <c r="H107" s="185">
        <f t="shared" si="14"/>
        <v>1</v>
      </c>
      <c r="I107" s="185">
        <f t="shared" si="15"/>
        <v>3</v>
      </c>
      <c r="J107" s="185">
        <f t="shared" si="16"/>
        <v>0</v>
      </c>
      <c r="K107" s="185">
        <f>水面线计算!AE114</f>
        <v>0</v>
      </c>
      <c r="L107" s="185">
        <f>水面线计算!Y114</f>
        <v>0</v>
      </c>
      <c r="Q107" s="186" t="str">
        <f t="shared" si="12"/>
        <v>IP82</v>
      </c>
      <c r="R107" s="185">
        <f t="shared" si="17"/>
        <v>3</v>
      </c>
      <c r="S107" s="185">
        <f t="shared" si="18"/>
        <v>3</v>
      </c>
      <c r="T107" s="185">
        <v>3</v>
      </c>
    </row>
    <row r="108" spans="1:20" x14ac:dyDescent="0.15">
      <c r="A108" s="185" t="str">
        <f>水面线计算!B115</f>
        <v>IP83</v>
      </c>
      <c r="B108" s="185">
        <f>IF(C108=0,0,水面线计算!E115)</f>
        <v>10</v>
      </c>
      <c r="C108" s="185">
        <f>水面线计算!F115</f>
        <v>27.494</v>
      </c>
      <c r="D108" s="185">
        <f>水面线计算!G115</f>
        <v>7191.2978948083855</v>
      </c>
      <c r="E108" s="185">
        <f>水面线计算!H115</f>
        <v>7193.6971989311023</v>
      </c>
      <c r="F108" s="185">
        <f>水面线计算!I115</f>
        <v>7196.0965030538191</v>
      </c>
      <c r="G108" s="185">
        <v>1</v>
      </c>
      <c r="H108" s="185">
        <f t="shared" si="14"/>
        <v>1</v>
      </c>
      <c r="I108" s="185">
        <f t="shared" si="15"/>
        <v>3</v>
      </c>
      <c r="J108" s="185">
        <f t="shared" si="16"/>
        <v>0</v>
      </c>
      <c r="K108" s="185">
        <f>水面线计算!AE115</f>
        <v>0</v>
      </c>
      <c r="L108" s="185">
        <f>水面线计算!Y115</f>
        <v>0</v>
      </c>
      <c r="Q108" s="186" t="str">
        <f t="shared" si="12"/>
        <v>IP83</v>
      </c>
      <c r="R108" s="185">
        <f t="shared" si="17"/>
        <v>3</v>
      </c>
      <c r="S108" s="185">
        <f t="shared" si="18"/>
        <v>3</v>
      </c>
      <c r="T108" s="185">
        <v>3</v>
      </c>
    </row>
    <row r="109" spans="1:20" x14ac:dyDescent="0.15">
      <c r="A109" s="185" t="str">
        <f>水面线计算!B117</f>
        <v>IP84</v>
      </c>
      <c r="B109" s="185">
        <f>IF(C109=0,0,水面线计算!E117)</f>
        <v>10</v>
      </c>
      <c r="C109" s="185">
        <f>水面线计算!F117</f>
        <v>32.662999999999997</v>
      </c>
      <c r="D109" s="185">
        <f>水面线计算!G117</f>
        <v>7275.8128993046539</v>
      </c>
      <c r="E109" s="185">
        <f>水面线计算!H117</f>
        <v>7278.6632837725483</v>
      </c>
      <c r="F109" s="185">
        <f>水面线计算!I117</f>
        <v>7281.5136682404427</v>
      </c>
      <c r="G109" s="185">
        <v>1</v>
      </c>
      <c r="H109" s="185">
        <f t="shared" si="14"/>
        <v>1</v>
      </c>
      <c r="I109" s="185">
        <f t="shared" si="15"/>
        <v>3</v>
      </c>
      <c r="J109" s="185">
        <f t="shared" si="16"/>
        <v>0</v>
      </c>
      <c r="K109" s="185">
        <f>水面线计算!AE117</f>
        <v>0</v>
      </c>
      <c r="L109" s="185">
        <f>水面线计算!Y117</f>
        <v>0</v>
      </c>
      <c r="Q109" s="186" t="str">
        <f t="shared" si="12"/>
        <v>IP84</v>
      </c>
      <c r="R109" s="185">
        <f t="shared" si="17"/>
        <v>3</v>
      </c>
      <c r="S109" s="185">
        <f t="shared" si="18"/>
        <v>3</v>
      </c>
      <c r="T109" s="185">
        <v>3</v>
      </c>
    </row>
    <row r="110" spans="1:20" x14ac:dyDescent="0.15">
      <c r="A110" s="185" t="str">
        <f>水面线计算!B118</f>
        <v>IP85</v>
      </c>
      <c r="B110" s="185">
        <f>IF(C110=0,0,水面线计算!E118)</f>
        <v>10</v>
      </c>
      <c r="C110" s="185">
        <f>水面线计算!F118</f>
        <v>29.597999999999999</v>
      </c>
      <c r="D110" s="185">
        <f>水面线计算!G118</f>
        <v>7321.1375582090195</v>
      </c>
      <c r="E110" s="185">
        <f>水面线计算!H118</f>
        <v>7323.7204709690459</v>
      </c>
      <c r="F110" s="185">
        <f>水面线计算!I118</f>
        <v>7326.3033837290723</v>
      </c>
      <c r="G110" s="185">
        <v>1</v>
      </c>
      <c r="H110" s="185">
        <f t="shared" si="14"/>
        <v>1</v>
      </c>
      <c r="I110" s="185">
        <f t="shared" si="15"/>
        <v>3</v>
      </c>
      <c r="J110" s="185">
        <f t="shared" si="16"/>
        <v>0</v>
      </c>
      <c r="K110" s="185">
        <f>水面线计算!AE118</f>
        <v>0</v>
      </c>
      <c r="L110" s="185">
        <f>水面线计算!Y118</f>
        <v>0</v>
      </c>
      <c r="Q110" s="186" t="str">
        <f t="shared" si="12"/>
        <v>IP85</v>
      </c>
      <c r="R110" s="185">
        <f t="shared" si="17"/>
        <v>3</v>
      </c>
      <c r="S110" s="185">
        <f t="shared" si="18"/>
        <v>3</v>
      </c>
      <c r="T110" s="185">
        <v>3</v>
      </c>
    </row>
    <row r="111" spans="1:20" x14ac:dyDescent="0.15">
      <c r="A111" s="185" t="str">
        <f>水面线计算!B119</f>
        <v>8#倒进</v>
      </c>
      <c r="B111" s="185">
        <f>IF(C111=0,0,水面线计算!E119)</f>
        <v>0</v>
      </c>
      <c r="C111" s="185">
        <f>水面线计算!F119</f>
        <v>0</v>
      </c>
      <c r="D111" s="185">
        <f>水面线计算!G119</f>
        <v>7412.0648821026352</v>
      </c>
      <c r="E111" s="185">
        <f>水面线计算!H119</f>
        <v>7412.0648821026352</v>
      </c>
      <c r="F111" s="185">
        <f>水面线计算!I119</f>
        <v>7412.0648821026352</v>
      </c>
      <c r="G111" s="185">
        <v>1</v>
      </c>
      <c r="H111" s="185">
        <f t="shared" si="14"/>
        <v>1</v>
      </c>
      <c r="I111" s="185">
        <f t="shared" si="15"/>
        <v>5</v>
      </c>
      <c r="J111" s="185">
        <f t="shared" si="16"/>
        <v>1</v>
      </c>
      <c r="K111" s="185">
        <f>水面线计算!AE119</f>
        <v>0</v>
      </c>
      <c r="L111" s="185">
        <f>水面线计算!Y119</f>
        <v>0</v>
      </c>
      <c r="Q111" s="186" t="str">
        <f t="shared" si="12"/>
        <v>倒虹管</v>
      </c>
      <c r="R111" s="185">
        <f t="shared" si="17"/>
        <v>5</v>
      </c>
      <c r="S111" s="185">
        <f t="shared" si="18"/>
        <v>3</v>
      </c>
      <c r="T111" s="185">
        <v>3</v>
      </c>
    </row>
    <row r="112" spans="1:20" x14ac:dyDescent="0.15">
      <c r="A112" s="185" t="str">
        <f>水面线计算!B120</f>
        <v>IP86</v>
      </c>
      <c r="B112" s="185">
        <f>IF(C112=0,0,水面线计算!E120)</f>
        <v>2.4</v>
      </c>
      <c r="C112" s="185">
        <f>水面线计算!F120</f>
        <v>2.0790000000000002</v>
      </c>
      <c r="D112" s="185">
        <f>水面线计算!G120</f>
        <v>7725.5008655737565</v>
      </c>
      <c r="E112" s="185">
        <f>水面线计算!H120</f>
        <v>7725.5444080479356</v>
      </c>
      <c r="F112" s="185">
        <f>水面线计算!I120</f>
        <v>7725.5879505221137</v>
      </c>
      <c r="G112" s="185">
        <v>1</v>
      </c>
      <c r="H112" s="185">
        <f t="shared" si="14"/>
        <v>1</v>
      </c>
      <c r="I112" s="185">
        <f t="shared" si="15"/>
        <v>3</v>
      </c>
      <c r="J112" s="185">
        <f t="shared" si="16"/>
        <v>0</v>
      </c>
      <c r="K112" s="185">
        <f>水面线计算!AE120</f>
        <v>0</v>
      </c>
      <c r="L112" s="185">
        <f>水面线计算!Y120</f>
        <v>0</v>
      </c>
      <c r="Q112" s="186" t="str">
        <f t="shared" si="12"/>
        <v>IP86</v>
      </c>
      <c r="R112" s="185">
        <f t="shared" si="17"/>
        <v>3</v>
      </c>
      <c r="S112" s="185">
        <f t="shared" si="18"/>
        <v>3</v>
      </c>
      <c r="T112" s="185">
        <v>3</v>
      </c>
    </row>
    <row r="113" spans="1:20" x14ac:dyDescent="0.15">
      <c r="A113" s="185" t="str">
        <f>水面线计算!B121</f>
        <v>8#倒出</v>
      </c>
      <c r="B113" s="185">
        <f>IF(C113=0,0,水面线计算!E121)</f>
        <v>0</v>
      </c>
      <c r="C113" s="185">
        <f>水面线计算!F121</f>
        <v>0</v>
      </c>
      <c r="D113" s="185">
        <f>水面线计算!G121</f>
        <v>7746.4811481757533</v>
      </c>
      <c r="E113" s="185">
        <f>水面线计算!H121</f>
        <v>7746.4811481757533</v>
      </c>
      <c r="F113" s="185">
        <f>水面线计算!I121</f>
        <v>7746.4811481757533</v>
      </c>
      <c r="G113" s="185">
        <v>1</v>
      </c>
      <c r="H113" s="185">
        <f t="shared" si="14"/>
        <v>1</v>
      </c>
      <c r="I113" s="185">
        <f t="shared" si="15"/>
        <v>5</v>
      </c>
      <c r="J113" s="185">
        <f t="shared" si="16"/>
        <v>2</v>
      </c>
      <c r="K113" s="185">
        <f>水面线计算!AE121</f>
        <v>0</v>
      </c>
      <c r="L113" s="185">
        <f>水面线计算!Y121</f>
        <v>0.88</v>
      </c>
      <c r="Q113" s="186" t="str">
        <f t="shared" si="12"/>
        <v>倒虹管</v>
      </c>
      <c r="R113" s="185">
        <f t="shared" si="17"/>
        <v>5</v>
      </c>
      <c r="S113" s="185">
        <f t="shared" si="18"/>
        <v>3</v>
      </c>
      <c r="T113" s="185">
        <v>3</v>
      </c>
    </row>
    <row r="114" spans="1:20" x14ac:dyDescent="0.15">
      <c r="A114" s="185" t="str">
        <f>水面线计算!B122</f>
        <v>IP87</v>
      </c>
      <c r="B114" s="185">
        <f>IF(C114=0,0,水面线计算!E122)</f>
        <v>10</v>
      </c>
      <c r="C114" s="185">
        <f>水面线计算!F122</f>
        <v>6.1879999999999997</v>
      </c>
      <c r="D114" s="185">
        <f>水面线计算!G122</f>
        <v>7830.0269700147383</v>
      </c>
      <c r="E114" s="185">
        <f>水面线计算!H122</f>
        <v>7830.5669748853052</v>
      </c>
      <c r="F114" s="185">
        <f>水面线计算!I122</f>
        <v>7831.1069797558721</v>
      </c>
      <c r="G114" s="185">
        <v>1</v>
      </c>
      <c r="H114" s="185">
        <f t="shared" si="14"/>
        <v>1</v>
      </c>
      <c r="I114" s="185">
        <f t="shared" si="15"/>
        <v>3</v>
      </c>
      <c r="J114" s="185">
        <f t="shared" si="16"/>
        <v>0</v>
      </c>
      <c r="K114" s="185">
        <f>水面线计算!AE122</f>
        <v>0</v>
      </c>
      <c r="L114" s="185">
        <f>水面线计算!Y122</f>
        <v>0</v>
      </c>
      <c r="Q114" s="186" t="str">
        <f t="shared" si="12"/>
        <v>IP87</v>
      </c>
      <c r="R114" s="185">
        <f t="shared" si="17"/>
        <v>3</v>
      </c>
      <c r="S114" s="185">
        <f t="shared" si="18"/>
        <v>3</v>
      </c>
      <c r="T114" s="185">
        <v>3</v>
      </c>
    </row>
  </sheetData>
  <phoneticPr fontId="8" type="noConversion"/>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9</vt:i4>
      </vt:variant>
      <vt:variant>
        <vt:lpstr>命名范围</vt:lpstr>
      </vt:variant>
      <vt:variant>
        <vt:i4>2</vt:i4>
      </vt:variant>
    </vt:vector>
  </HeadingPairs>
  <TitlesOfParts>
    <vt:vector size="11" baseType="lpstr">
      <vt:lpstr>报告相关</vt:lpstr>
      <vt:lpstr>断面设计</vt:lpstr>
      <vt:lpstr>水面线计算</vt:lpstr>
      <vt:lpstr>线路</vt:lpstr>
      <vt:lpstr>长委计算水面线</vt:lpstr>
      <vt:lpstr>开挖底高程</vt:lpstr>
      <vt:lpstr>平面坐标参数表</vt:lpstr>
      <vt:lpstr>程序输入A</vt:lpstr>
      <vt:lpstr>程序输入B</vt:lpstr>
      <vt:lpstr>断面设计!Print_Area</vt:lpstr>
      <vt:lpstr>水面线计算!Print_Area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雷明慧</dc:creator>
  <cp:lastModifiedBy>XS</cp:lastModifiedBy>
  <cp:lastPrinted>2021-08-04T07:45:12Z</cp:lastPrinted>
  <dcterms:created xsi:type="dcterms:W3CDTF">2021-01-28T07:14:00Z</dcterms:created>
  <dcterms:modified xsi:type="dcterms:W3CDTF">2021-08-29T02:04:32Z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2052-11.1.0.10314</vt:lpwstr>
  </property>
</Properties>
</file>