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Q\Desktop\"/>
    </mc:Choice>
  </mc:AlternateContent>
  <bookViews>
    <workbookView xWindow="0" yWindow="0" windowWidth="23040" windowHeight="9420" tabRatio="844" firstSheet="1" activeTab="10"/>
  </bookViews>
  <sheets>
    <sheet name="断面设计" sheetId="3" r:id="rId1"/>
    <sheet name="倒虹管统计" sheetId="11" r:id="rId2"/>
    <sheet name="倒虹管水头损失计算" sheetId="9" r:id="rId3"/>
    <sheet name="中心线" sheetId="10" r:id="rId4"/>
    <sheet name="线路" sheetId="4" r:id="rId5"/>
    <sheet name="水面线计算" sheetId="5" r:id="rId6"/>
    <sheet name="建筑物统计" sheetId="12" r:id="rId7"/>
    <sheet name="坐标表" sheetId="13" r:id="rId8"/>
    <sheet name="渠道开挖类型分桩号" sheetId="14" r:id="rId9"/>
    <sheet name="初设与施工图阶段投资比较0827" sheetId="15" r:id="rId10"/>
    <sheet name="初设与施工图阶段投资比较 1210" sheetId="16" r:id="rId11"/>
  </sheets>
  <definedNames>
    <definedName name="_123_1" localSheetId="3">中心线!$B$3:$G$3</definedName>
    <definedName name="_xlnm._FilterDatabase" localSheetId="5" hidden="1">水面线计算!$B$1:$B$207</definedName>
    <definedName name="桩号坐标" localSheetId="3">中心线!$K$4:$P$185</definedName>
  </definedNames>
  <calcPr calcId="162913"/>
</workbook>
</file>

<file path=xl/calcChain.xml><?xml version="1.0" encoding="utf-8"?>
<calcChain xmlns="http://schemas.openxmlformats.org/spreadsheetml/2006/main">
  <c r="I23" i="16" l="1"/>
  <c r="E46" i="16"/>
  <c r="E36" i="16"/>
  <c r="E34" i="16"/>
  <c r="AF75" i="14" l="1"/>
  <c r="Y61" i="14"/>
  <c r="Y41" i="14"/>
  <c r="Y35" i="14"/>
  <c r="Y27" i="14"/>
  <c r="Y19" i="14"/>
  <c r="Y8" i="14"/>
  <c r="H26" i="16"/>
  <c r="F26" i="16"/>
  <c r="M5" i="16" l="1"/>
  <c r="M6" i="16"/>
  <c r="M9" i="16"/>
  <c r="M11" i="16"/>
  <c r="M13" i="16"/>
  <c r="M14" i="16"/>
  <c r="M15" i="16"/>
  <c r="M16" i="16"/>
  <c r="M17" i="16"/>
  <c r="M18" i="16"/>
  <c r="M19" i="16"/>
  <c r="M22" i="16"/>
  <c r="M25" i="16"/>
  <c r="M4" i="16"/>
  <c r="L5" i="16"/>
  <c r="L6" i="16"/>
  <c r="L9" i="16"/>
  <c r="L11" i="16"/>
  <c r="L13" i="16"/>
  <c r="L14" i="16"/>
  <c r="L15" i="16"/>
  <c r="L16" i="16"/>
  <c r="L17" i="16"/>
  <c r="L18" i="16"/>
  <c r="L19" i="16"/>
  <c r="L22" i="16"/>
  <c r="L25" i="16"/>
  <c r="L4" i="16"/>
  <c r="K5" i="16"/>
  <c r="K6" i="16"/>
  <c r="K8" i="16"/>
  <c r="K9" i="16"/>
  <c r="K11" i="16"/>
  <c r="K13" i="16"/>
  <c r="K14" i="16"/>
  <c r="K15" i="16"/>
  <c r="K16" i="16"/>
  <c r="K17" i="16"/>
  <c r="K18" i="16"/>
  <c r="K19" i="16"/>
  <c r="K22" i="16"/>
  <c r="K23" i="16"/>
  <c r="K24" i="16"/>
  <c r="K25" i="16"/>
  <c r="K4" i="16"/>
  <c r="J23" i="16"/>
  <c r="L23" i="16" s="1"/>
  <c r="J24" i="16"/>
  <c r="L24" i="16" s="1"/>
  <c r="J25" i="16"/>
  <c r="J22" i="16"/>
  <c r="E42" i="16"/>
  <c r="E41" i="16"/>
  <c r="E40" i="16"/>
  <c r="E37" i="16"/>
  <c r="I11" i="16" s="1"/>
  <c r="I10" i="16"/>
  <c r="K10" i="16" s="1"/>
  <c r="E35" i="16"/>
  <c r="I9" i="16" s="1"/>
  <c r="I6" i="16"/>
  <c r="I8" i="16"/>
  <c r="I13" i="16"/>
  <c r="I14" i="16"/>
  <c r="I15" i="16"/>
  <c r="I16" i="16"/>
  <c r="I17" i="16"/>
  <c r="I18" i="16"/>
  <c r="I19" i="16"/>
  <c r="I20" i="16"/>
  <c r="K20" i="16" s="1"/>
  <c r="I4" i="16"/>
  <c r="E30" i="16"/>
  <c r="AG78" i="14"/>
  <c r="Y5" i="14" s="1"/>
  <c r="AQ66" i="14"/>
  <c r="M24" i="16" l="1"/>
  <c r="M23" i="16"/>
  <c r="J5" i="16"/>
  <c r="J11" i="16"/>
  <c r="J13" i="16"/>
  <c r="J15" i="16"/>
  <c r="J19" i="16"/>
  <c r="J4" i="16"/>
  <c r="G5" i="16"/>
  <c r="H5" i="16" s="1"/>
  <c r="G6" i="16"/>
  <c r="H6" i="16" s="1"/>
  <c r="G7" i="16"/>
  <c r="H7" i="16" s="1"/>
  <c r="G8" i="16"/>
  <c r="H8" i="16" s="1"/>
  <c r="G9" i="16"/>
  <c r="H9" i="16" s="1"/>
  <c r="G10" i="16"/>
  <c r="H10" i="16" s="1"/>
  <c r="G11" i="16"/>
  <c r="H11" i="16" s="1"/>
  <c r="G12" i="16"/>
  <c r="H12" i="16" s="1"/>
  <c r="G13" i="16"/>
  <c r="H13" i="16" s="1"/>
  <c r="G14" i="16"/>
  <c r="H14" i="16" s="1"/>
  <c r="G15" i="16"/>
  <c r="H15" i="16" s="1"/>
  <c r="G16" i="16"/>
  <c r="H16" i="16" s="1"/>
  <c r="G17" i="16"/>
  <c r="H17" i="16" s="1"/>
  <c r="G18" i="16"/>
  <c r="H18" i="16" s="1"/>
  <c r="G19" i="16"/>
  <c r="H19" i="16" s="1"/>
  <c r="G20" i="16"/>
  <c r="H20" i="16" s="1"/>
  <c r="G4" i="16"/>
  <c r="H4" i="16" s="1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4" i="16"/>
  <c r="G46" i="16"/>
  <c r="H46" i="16"/>
  <c r="I46" i="16" s="1"/>
  <c r="G45" i="16"/>
  <c r="E45" i="16"/>
  <c r="H45" i="16" s="1"/>
  <c r="I45" i="16" s="1"/>
  <c r="G44" i="16"/>
  <c r="E44" i="16"/>
  <c r="H44" i="16" s="1"/>
  <c r="H43" i="16"/>
  <c r="G43" i="16"/>
  <c r="G42" i="16"/>
  <c r="H42" i="16"/>
  <c r="I42" i="16" s="1"/>
  <c r="G41" i="16"/>
  <c r="H41" i="16"/>
  <c r="I41" i="16" s="1"/>
  <c r="G40" i="16"/>
  <c r="H40" i="16"/>
  <c r="E47" i="16"/>
  <c r="G39" i="16"/>
  <c r="E39" i="16"/>
  <c r="H39" i="16" s="1"/>
  <c r="G38" i="16"/>
  <c r="E38" i="16"/>
  <c r="G37" i="16"/>
  <c r="H37" i="16"/>
  <c r="G36" i="16"/>
  <c r="H36" i="16"/>
  <c r="G35" i="16"/>
  <c r="H35" i="16"/>
  <c r="G34" i="16"/>
  <c r="H34" i="16"/>
  <c r="G33" i="16"/>
  <c r="H32" i="16"/>
  <c r="G32" i="16"/>
  <c r="G31" i="16"/>
  <c r="E31" i="16"/>
  <c r="H31" i="16" s="1"/>
  <c r="G30" i="16"/>
  <c r="H30" i="16"/>
  <c r="H38" i="16" l="1"/>
  <c r="I38" i="16" s="1"/>
  <c r="I12" i="16"/>
  <c r="K12" i="16" s="1"/>
  <c r="J20" i="16"/>
  <c r="J18" i="16"/>
  <c r="J10" i="16"/>
  <c r="J17" i="16"/>
  <c r="J9" i="16"/>
  <c r="J12" i="16"/>
  <c r="J16" i="16"/>
  <c r="J8" i="16"/>
  <c r="J14" i="16"/>
  <c r="J6" i="16"/>
  <c r="I36" i="16"/>
  <c r="I40" i="16"/>
  <c r="I30" i="16"/>
  <c r="I34" i="16"/>
  <c r="I37" i="16"/>
  <c r="I31" i="16"/>
  <c r="I44" i="16"/>
  <c r="I43" i="16"/>
  <c r="I32" i="16"/>
  <c r="I35" i="16"/>
  <c r="I39" i="16"/>
  <c r="G20" i="15"/>
  <c r="G19" i="15"/>
  <c r="G18" i="15"/>
  <c r="H17" i="15"/>
  <c r="I17" i="15" s="1"/>
  <c r="G17" i="15"/>
  <c r="G16" i="15"/>
  <c r="E16" i="15"/>
  <c r="H16" i="15" s="1"/>
  <c r="I16" i="15" s="1"/>
  <c r="G15" i="15"/>
  <c r="E15" i="15"/>
  <c r="H15" i="15" s="1"/>
  <c r="I15" i="15" s="1"/>
  <c r="G14" i="15"/>
  <c r="E14" i="15"/>
  <c r="H14" i="15" s="1"/>
  <c r="I14" i="15" s="1"/>
  <c r="E13" i="15"/>
  <c r="G12" i="15"/>
  <c r="E12" i="15"/>
  <c r="H12" i="15" s="1"/>
  <c r="I12" i="15" s="1"/>
  <c r="G11" i="15"/>
  <c r="G10" i="15"/>
  <c r="G9" i="15"/>
  <c r="G8" i="15"/>
  <c r="G7" i="15"/>
  <c r="E7" i="15"/>
  <c r="H7" i="15" s="1"/>
  <c r="I7" i="15" s="1"/>
  <c r="G6" i="15"/>
  <c r="H5" i="15"/>
  <c r="I5" i="15" s="1"/>
  <c r="G5" i="15"/>
  <c r="G4" i="15"/>
  <c r="G3" i="15"/>
  <c r="E3" i="15"/>
  <c r="H3" i="15" s="1"/>
  <c r="I3" i="15" s="1"/>
  <c r="AE70" i="14"/>
  <c r="AF70" i="14" s="1"/>
  <c r="AD70" i="14"/>
  <c r="AE69" i="14"/>
  <c r="AF69" i="14" s="1"/>
  <c r="AD68" i="14"/>
  <c r="AF68" i="14" s="1"/>
  <c r="AF67" i="14"/>
  <c r="X67" i="14" s="1"/>
  <c r="AE67" i="14"/>
  <c r="AD67" i="14"/>
  <c r="AD64" i="14"/>
  <c r="AF64" i="14" s="1"/>
  <c r="AF63" i="14"/>
  <c r="AE63" i="14"/>
  <c r="AF62" i="14"/>
  <c r="L62" i="14"/>
  <c r="AF61" i="14"/>
  <c r="X61" i="14" s="1"/>
  <c r="AD61" i="14"/>
  <c r="L61" i="14"/>
  <c r="L60" i="14"/>
  <c r="AF58" i="14"/>
  <c r="AE58" i="14"/>
  <c r="L58" i="14"/>
  <c r="AD57" i="14"/>
  <c r="AF57" i="14" s="1"/>
  <c r="L57" i="14"/>
  <c r="L56" i="14"/>
  <c r="Q55" i="14"/>
  <c r="L55" i="14"/>
  <c r="AF54" i="14"/>
  <c r="AE54" i="14"/>
  <c r="AD54" i="14"/>
  <c r="AE53" i="14"/>
  <c r="AF53" i="14" s="1"/>
  <c r="L53" i="14"/>
  <c r="AD52" i="14"/>
  <c r="AF52" i="14" s="1"/>
  <c r="L52" i="14"/>
  <c r="AF51" i="14"/>
  <c r="AE51" i="14"/>
  <c r="AD50" i="14"/>
  <c r="AF50" i="14" s="1"/>
  <c r="L50" i="14"/>
  <c r="AE49" i="14"/>
  <c r="AF49" i="14" s="1"/>
  <c r="L49" i="14"/>
  <c r="L48" i="14"/>
  <c r="L47" i="14"/>
  <c r="AD46" i="14"/>
  <c r="AF46" i="14" s="1"/>
  <c r="L46" i="14"/>
  <c r="AF45" i="14"/>
  <c r="AE45" i="14"/>
  <c r="AD44" i="14"/>
  <c r="AF44" i="14" s="1"/>
  <c r="L44" i="14"/>
  <c r="AE43" i="14"/>
  <c r="AF43" i="14" s="1"/>
  <c r="AD43" i="14"/>
  <c r="L43" i="14"/>
  <c r="AE42" i="14"/>
  <c r="AF42" i="14" s="1"/>
  <c r="AD42" i="14"/>
  <c r="L42" i="14"/>
  <c r="AE41" i="14"/>
  <c r="AF41" i="14" s="1"/>
  <c r="L41" i="14"/>
  <c r="L40" i="14"/>
  <c r="L39" i="14"/>
  <c r="AJ38" i="14"/>
  <c r="AK38" i="14" s="1"/>
  <c r="Z61" i="14" s="1"/>
  <c r="AF38" i="14"/>
  <c r="Q38" i="14"/>
  <c r="L38" i="14"/>
  <c r="AF37" i="14"/>
  <c r="AD36" i="14"/>
  <c r="AF36" i="14" s="1"/>
  <c r="L36" i="14"/>
  <c r="AK35" i="14"/>
  <c r="Z41" i="14" s="1"/>
  <c r="AJ35" i="14"/>
  <c r="AI35" i="14"/>
  <c r="AE35" i="14"/>
  <c r="AF35" i="14" s="1"/>
  <c r="L35" i="14"/>
  <c r="V34" i="14"/>
  <c r="Q34" i="14"/>
  <c r="L34" i="14"/>
  <c r="V33" i="14"/>
  <c r="Q33" i="14"/>
  <c r="L33" i="14"/>
  <c r="AK32" i="14"/>
  <c r="AF32" i="14"/>
  <c r="AK31" i="14"/>
  <c r="Z35" i="14" s="1"/>
  <c r="AD31" i="14"/>
  <c r="AF31" i="14" s="1"/>
  <c r="L31" i="14"/>
  <c r="AE30" i="14"/>
  <c r="AF30" i="14" s="1"/>
  <c r="L30" i="14"/>
  <c r="F30" i="14"/>
  <c r="E30" i="14"/>
  <c r="D30" i="14"/>
  <c r="C30" i="14"/>
  <c r="AF29" i="14"/>
  <c r="L29" i="14"/>
  <c r="F29" i="14"/>
  <c r="E29" i="14"/>
  <c r="D29" i="14"/>
  <c r="C29" i="14"/>
  <c r="AK28" i="14"/>
  <c r="AF28" i="14"/>
  <c r="Q28" i="14"/>
  <c r="L28" i="14"/>
  <c r="F28" i="14"/>
  <c r="E28" i="14"/>
  <c r="D28" i="14"/>
  <c r="C28" i="14"/>
  <c r="AK27" i="14"/>
  <c r="Z27" i="14" s="1"/>
  <c r="AF27" i="14"/>
  <c r="V27" i="14"/>
  <c r="Q27" i="14"/>
  <c r="L27" i="14"/>
  <c r="F27" i="14"/>
  <c r="E27" i="14"/>
  <c r="D27" i="14"/>
  <c r="C27" i="14"/>
  <c r="F26" i="14"/>
  <c r="E26" i="14"/>
  <c r="D26" i="14"/>
  <c r="C26" i="14"/>
  <c r="L25" i="14"/>
  <c r="F25" i="14"/>
  <c r="E25" i="14"/>
  <c r="D25" i="14"/>
  <c r="C25" i="14"/>
  <c r="AK24" i="14"/>
  <c r="AF24" i="14"/>
  <c r="L24" i="14"/>
  <c r="F24" i="14"/>
  <c r="E24" i="14"/>
  <c r="D24" i="14"/>
  <c r="C24" i="14"/>
  <c r="AK23" i="14"/>
  <c r="AF23" i="14"/>
  <c r="AD23" i="14"/>
  <c r="L23" i="14"/>
  <c r="F23" i="14"/>
  <c r="E23" i="14"/>
  <c r="D23" i="14"/>
  <c r="C23" i="14"/>
  <c r="AK22" i="14"/>
  <c r="AA19" i="14" s="1"/>
  <c r="AF22" i="14"/>
  <c r="AE22" i="14"/>
  <c r="Q22" i="14"/>
  <c r="L22" i="14"/>
  <c r="F22" i="14"/>
  <c r="E22" i="14"/>
  <c r="D22" i="14"/>
  <c r="C22" i="14"/>
  <c r="AF21" i="14"/>
  <c r="AD21" i="14"/>
  <c r="Q21" i="14"/>
  <c r="L21" i="14"/>
  <c r="F21" i="14"/>
  <c r="E21" i="14"/>
  <c r="D21" i="14"/>
  <c r="C21" i="14"/>
  <c r="AF20" i="14"/>
  <c r="X19" i="14" s="1"/>
  <c r="AE20" i="14"/>
  <c r="Q20" i="14"/>
  <c r="L20" i="14"/>
  <c r="AK19" i="14"/>
  <c r="AF19" i="14"/>
  <c r="Z19" i="14"/>
  <c r="AP18" i="14"/>
  <c r="AK18" i="14"/>
  <c r="Q18" i="14"/>
  <c r="AP17" i="14"/>
  <c r="AK17" i="14"/>
  <c r="Q17" i="14"/>
  <c r="AK16" i="14"/>
  <c r="AD16" i="14"/>
  <c r="AF16" i="14" s="1"/>
  <c r="Q16" i="14"/>
  <c r="L16" i="14"/>
  <c r="AK15" i="14"/>
  <c r="AE15" i="14"/>
  <c r="AF15" i="14" s="1"/>
  <c r="Q15" i="14"/>
  <c r="L15" i="14"/>
  <c r="AP14" i="14"/>
  <c r="AK14" i="14"/>
  <c r="AF14" i="14"/>
  <c r="Q14" i="14"/>
  <c r="L14" i="14"/>
  <c r="AK13" i="14"/>
  <c r="AF13" i="14"/>
  <c r="Q13" i="14"/>
  <c r="L13" i="14"/>
  <c r="AK12" i="14"/>
  <c r="AF12" i="14"/>
  <c r="Q12" i="14"/>
  <c r="L12" i="14"/>
  <c r="AP11" i="14"/>
  <c r="AK11" i="14"/>
  <c r="AF11" i="14"/>
  <c r="V11" i="14"/>
  <c r="Q11" i="14"/>
  <c r="L11" i="14"/>
  <c r="AP10" i="14"/>
  <c r="AK10" i="14"/>
  <c r="Z8" i="14" s="1"/>
  <c r="AF10" i="14"/>
  <c r="V10" i="14"/>
  <c r="Q10" i="14"/>
  <c r="L10" i="14"/>
  <c r="AP9" i="14"/>
  <c r="AK9" i="14"/>
  <c r="AF9" i="14"/>
  <c r="V9" i="14"/>
  <c r="Q9" i="14"/>
  <c r="L9" i="14"/>
  <c r="AP8" i="14"/>
  <c r="AF8" i="14"/>
  <c r="V8" i="14"/>
  <c r="Q8" i="14"/>
  <c r="L8" i="14"/>
  <c r="AK6" i="14"/>
  <c r="Q6" i="14"/>
  <c r="Q66" i="14" s="1"/>
  <c r="AP5" i="14"/>
  <c r="AP66" i="14" s="1"/>
  <c r="AK5" i="14"/>
  <c r="AK68" i="14" s="1"/>
  <c r="AF5" i="14"/>
  <c r="AA5" i="14"/>
  <c r="Z5" i="14"/>
  <c r="Z75" i="14" s="1"/>
  <c r="E18" i="15" s="1"/>
  <c r="H18" i="15" s="1"/>
  <c r="I18" i="15" s="1"/>
  <c r="V5" i="14"/>
  <c r="V66" i="14" s="1"/>
  <c r="Q5" i="14"/>
  <c r="L5" i="14"/>
  <c r="L66" i="14" s="1"/>
  <c r="E61" i="12"/>
  <c r="E59" i="12"/>
  <c r="G57" i="12"/>
  <c r="E55" i="12"/>
  <c r="G53" i="12"/>
  <c r="E51" i="12"/>
  <c r="G49" i="12"/>
  <c r="G47" i="12"/>
  <c r="G45" i="12"/>
  <c r="E43" i="12"/>
  <c r="G41" i="12"/>
  <c r="E39" i="12"/>
  <c r="G37" i="12"/>
  <c r="E35" i="12"/>
  <c r="G33" i="12"/>
  <c r="E31" i="12"/>
  <c r="F29" i="12"/>
  <c r="E27" i="12"/>
  <c r="F25" i="12"/>
  <c r="E23" i="12"/>
  <c r="I6" i="12" s="1"/>
  <c r="G21" i="12"/>
  <c r="G19" i="12"/>
  <c r="G17" i="12"/>
  <c r="G15" i="12"/>
  <c r="F13" i="12"/>
  <c r="F11" i="12"/>
  <c r="F9" i="12"/>
  <c r="J6" i="12" s="1"/>
  <c r="G7" i="12"/>
  <c r="G5" i="12"/>
  <c r="G3" i="12"/>
  <c r="K6" i="12" s="1"/>
  <c r="G1" i="12"/>
  <c r="Q198" i="5"/>
  <c r="AB198" i="5" s="1"/>
  <c r="O198" i="5"/>
  <c r="N198" i="5"/>
  <c r="M198" i="5"/>
  <c r="L198" i="5"/>
  <c r="E198" i="5"/>
  <c r="Q197" i="5"/>
  <c r="AB197" i="5" s="1"/>
  <c r="O197" i="5"/>
  <c r="N197" i="5"/>
  <c r="M197" i="5"/>
  <c r="L197" i="5"/>
  <c r="E197" i="5"/>
  <c r="Q196" i="5"/>
  <c r="AB196" i="5" s="1"/>
  <c r="O196" i="5"/>
  <c r="N196" i="5"/>
  <c r="M196" i="5"/>
  <c r="L196" i="5"/>
  <c r="E196" i="5"/>
  <c r="Q195" i="5"/>
  <c r="AB195" i="5" s="1"/>
  <c r="O195" i="5"/>
  <c r="N195" i="5"/>
  <c r="M195" i="5"/>
  <c r="L195" i="5"/>
  <c r="E195" i="5"/>
  <c r="Q194" i="5"/>
  <c r="AB194" i="5" s="1"/>
  <c r="O194" i="5"/>
  <c r="N194" i="5"/>
  <c r="M194" i="5"/>
  <c r="L194" i="5"/>
  <c r="E194" i="5"/>
  <c r="Q193" i="5"/>
  <c r="AB193" i="5" s="1"/>
  <c r="O193" i="5"/>
  <c r="N193" i="5"/>
  <c r="M193" i="5"/>
  <c r="L193" i="5"/>
  <c r="E193" i="5"/>
  <c r="AC192" i="5"/>
  <c r="AB192" i="5"/>
  <c r="Q192" i="5"/>
  <c r="O192" i="5"/>
  <c r="N192" i="5"/>
  <c r="M192" i="5"/>
  <c r="L192" i="5"/>
  <c r="E192" i="5"/>
  <c r="Q191" i="5"/>
  <c r="AB191" i="5" s="1"/>
  <c r="O191" i="5"/>
  <c r="N191" i="5"/>
  <c r="M191" i="5"/>
  <c r="L191" i="5"/>
  <c r="E191" i="5"/>
  <c r="Q190" i="5"/>
  <c r="AB190" i="5" s="1"/>
  <c r="O190" i="5"/>
  <c r="N190" i="5"/>
  <c r="M190" i="5"/>
  <c r="L190" i="5"/>
  <c r="E190" i="5"/>
  <c r="Q189" i="5"/>
  <c r="AB189" i="5" s="1"/>
  <c r="O189" i="5"/>
  <c r="N189" i="5"/>
  <c r="M189" i="5"/>
  <c r="L189" i="5"/>
  <c r="E189" i="5"/>
  <c r="Q188" i="5"/>
  <c r="AB188" i="5" s="1"/>
  <c r="O188" i="5"/>
  <c r="N188" i="5"/>
  <c r="M188" i="5"/>
  <c r="L188" i="5"/>
  <c r="E188" i="5"/>
  <c r="AB187" i="5"/>
  <c r="Q187" i="5"/>
  <c r="O187" i="5"/>
  <c r="N187" i="5"/>
  <c r="M187" i="5"/>
  <c r="L187" i="5"/>
  <c r="E187" i="5"/>
  <c r="AF186" i="5"/>
  <c r="AC186" i="5"/>
  <c r="Q186" i="5"/>
  <c r="AB186" i="5" s="1"/>
  <c r="O186" i="5"/>
  <c r="N186" i="5"/>
  <c r="M186" i="5"/>
  <c r="L186" i="5"/>
  <c r="E186" i="5"/>
  <c r="AG185" i="5"/>
  <c r="AF185" i="5"/>
  <c r="AC185" i="5"/>
  <c r="AB185" i="5"/>
  <c r="Q185" i="5"/>
  <c r="O185" i="5"/>
  <c r="N185" i="5"/>
  <c r="M185" i="5"/>
  <c r="L185" i="5"/>
  <c r="E185" i="5"/>
  <c r="AE184" i="5"/>
  <c r="Q184" i="5"/>
  <c r="AB184" i="5" s="1"/>
  <c r="O184" i="5"/>
  <c r="N184" i="5"/>
  <c r="M184" i="5"/>
  <c r="L184" i="5"/>
  <c r="E184" i="5"/>
  <c r="Q183" i="5"/>
  <c r="AB183" i="5" s="1"/>
  <c r="O183" i="5"/>
  <c r="N183" i="5"/>
  <c r="M183" i="5"/>
  <c r="L183" i="5"/>
  <c r="E183" i="5"/>
  <c r="AG182" i="5"/>
  <c r="AF182" i="5"/>
  <c r="AE182" i="5"/>
  <c r="Q182" i="5"/>
  <c r="AB182" i="5" s="1"/>
  <c r="O182" i="5"/>
  <c r="N182" i="5"/>
  <c r="M182" i="5"/>
  <c r="L182" i="5"/>
  <c r="E182" i="5"/>
  <c r="AB181" i="5"/>
  <c r="Q181" i="5"/>
  <c r="O181" i="5"/>
  <c r="N181" i="5"/>
  <c r="M181" i="5"/>
  <c r="L181" i="5"/>
  <c r="E181" i="5"/>
  <c r="AG180" i="5"/>
  <c r="AE180" i="5"/>
  <c r="AF180" i="5" s="1"/>
  <c r="Q180" i="5"/>
  <c r="AB180" i="5" s="1"/>
  <c r="O180" i="5"/>
  <c r="N180" i="5"/>
  <c r="M180" i="5"/>
  <c r="L180" i="5"/>
  <c r="E180" i="5"/>
  <c r="AG179" i="5"/>
  <c r="AE179" i="5"/>
  <c r="AF179" i="5" s="1"/>
  <c r="AC179" i="5"/>
  <c r="Q179" i="5"/>
  <c r="AB179" i="5" s="1"/>
  <c r="O179" i="5"/>
  <c r="N179" i="5"/>
  <c r="M179" i="5"/>
  <c r="L179" i="5"/>
  <c r="E179" i="5"/>
  <c r="AF178" i="5"/>
  <c r="AE178" i="5"/>
  <c r="AG178" i="5" s="1"/>
  <c r="AB178" i="5"/>
  <c r="Q178" i="5"/>
  <c r="O178" i="5"/>
  <c r="N178" i="5"/>
  <c r="M178" i="5"/>
  <c r="L178" i="5"/>
  <c r="E178" i="5"/>
  <c r="AG177" i="5"/>
  <c r="AE177" i="5"/>
  <c r="AF177" i="5" s="1"/>
  <c r="Q177" i="5"/>
  <c r="AB177" i="5" s="1"/>
  <c r="O177" i="5"/>
  <c r="N177" i="5"/>
  <c r="M177" i="5"/>
  <c r="L177" i="5"/>
  <c r="E177" i="5"/>
  <c r="AG176" i="5"/>
  <c r="AE176" i="5"/>
  <c r="AF176" i="5" s="1"/>
  <c r="AC176" i="5"/>
  <c r="Q176" i="5"/>
  <c r="AB176" i="5" s="1"/>
  <c r="O176" i="5"/>
  <c r="N176" i="5"/>
  <c r="M176" i="5"/>
  <c r="L176" i="5"/>
  <c r="E176" i="5"/>
  <c r="AF175" i="5"/>
  <c r="AE175" i="5"/>
  <c r="AG175" i="5" s="1"/>
  <c r="Q175" i="5"/>
  <c r="AB175" i="5" s="1"/>
  <c r="O175" i="5"/>
  <c r="N175" i="5"/>
  <c r="M175" i="5"/>
  <c r="L175" i="5"/>
  <c r="E175" i="5"/>
  <c r="AG174" i="5"/>
  <c r="AE174" i="5"/>
  <c r="AF174" i="5" s="1"/>
  <c r="Q174" i="5"/>
  <c r="AB174" i="5" s="1"/>
  <c r="O174" i="5"/>
  <c r="N174" i="5"/>
  <c r="M174" i="5"/>
  <c r="L174" i="5"/>
  <c r="E174" i="5"/>
  <c r="AE173" i="5"/>
  <c r="Q173" i="5"/>
  <c r="AB173" i="5" s="1"/>
  <c r="O173" i="5"/>
  <c r="N173" i="5"/>
  <c r="M173" i="5"/>
  <c r="L173" i="5"/>
  <c r="E173" i="5"/>
  <c r="AE172" i="5"/>
  <c r="Q172" i="5"/>
  <c r="AB172" i="5" s="1"/>
  <c r="O172" i="5"/>
  <c r="N172" i="5"/>
  <c r="M172" i="5"/>
  <c r="L172" i="5"/>
  <c r="E172" i="5"/>
  <c r="AE171" i="5"/>
  <c r="AB171" i="5"/>
  <c r="Q171" i="5"/>
  <c r="O171" i="5"/>
  <c r="N171" i="5"/>
  <c r="M171" i="5"/>
  <c r="L171" i="5"/>
  <c r="E171" i="5"/>
  <c r="AG170" i="5"/>
  <c r="AE170" i="5"/>
  <c r="AF170" i="5" s="1"/>
  <c r="Q170" i="5"/>
  <c r="AB170" i="5" s="1"/>
  <c r="O170" i="5"/>
  <c r="N170" i="5"/>
  <c r="M170" i="5"/>
  <c r="L170" i="5"/>
  <c r="E170" i="5"/>
  <c r="AE169" i="5"/>
  <c r="Q169" i="5"/>
  <c r="AB169" i="5" s="1"/>
  <c r="O169" i="5"/>
  <c r="N169" i="5"/>
  <c r="M169" i="5"/>
  <c r="L169" i="5"/>
  <c r="E169" i="5"/>
  <c r="AG168" i="5"/>
  <c r="AF168" i="5"/>
  <c r="AE168" i="5"/>
  <c r="Q168" i="5"/>
  <c r="AB168" i="5" s="1"/>
  <c r="O168" i="5"/>
  <c r="N168" i="5"/>
  <c r="M168" i="5"/>
  <c r="L168" i="5"/>
  <c r="E168" i="5"/>
  <c r="AG167" i="5"/>
  <c r="AF167" i="5"/>
  <c r="AE167" i="5"/>
  <c r="AB167" i="5"/>
  <c r="Q167" i="5"/>
  <c r="O167" i="5"/>
  <c r="N167" i="5"/>
  <c r="M167" i="5"/>
  <c r="L167" i="5"/>
  <c r="E167" i="5"/>
  <c r="AG166" i="5"/>
  <c r="AE166" i="5"/>
  <c r="AF166" i="5" s="1"/>
  <c r="Q166" i="5"/>
  <c r="AB166" i="5" s="1"/>
  <c r="O166" i="5"/>
  <c r="N166" i="5"/>
  <c r="M166" i="5"/>
  <c r="L166" i="5"/>
  <c r="E166" i="5"/>
  <c r="AE165" i="5"/>
  <c r="AG165" i="5" s="1"/>
  <c r="Q165" i="5"/>
  <c r="AB165" i="5" s="1"/>
  <c r="O165" i="5"/>
  <c r="N165" i="5"/>
  <c r="M165" i="5"/>
  <c r="L165" i="5"/>
  <c r="E165" i="5"/>
  <c r="AE164" i="5"/>
  <c r="Q164" i="5"/>
  <c r="AB164" i="5" s="1"/>
  <c r="O164" i="5"/>
  <c r="N164" i="5"/>
  <c r="M164" i="5"/>
  <c r="L164" i="5"/>
  <c r="E164" i="5"/>
  <c r="AG163" i="5"/>
  <c r="AF163" i="5"/>
  <c r="AE163" i="5"/>
  <c r="Q163" i="5"/>
  <c r="AB163" i="5" s="1"/>
  <c r="O163" i="5"/>
  <c r="N163" i="5"/>
  <c r="M163" i="5"/>
  <c r="L163" i="5"/>
  <c r="E163" i="5"/>
  <c r="AG162" i="5"/>
  <c r="AE162" i="5"/>
  <c r="AF162" i="5" s="1"/>
  <c r="Q162" i="5"/>
  <c r="AB162" i="5" s="1"/>
  <c r="O162" i="5"/>
  <c r="N162" i="5"/>
  <c r="M162" i="5"/>
  <c r="L162" i="5"/>
  <c r="E162" i="5"/>
  <c r="AE161" i="5"/>
  <c r="Q161" i="5"/>
  <c r="AB161" i="5" s="1"/>
  <c r="O161" i="5"/>
  <c r="N161" i="5"/>
  <c r="M161" i="5"/>
  <c r="L161" i="5"/>
  <c r="E161" i="5"/>
  <c r="AG160" i="5"/>
  <c r="AF160" i="5"/>
  <c r="AE160" i="5"/>
  <c r="Q160" i="5"/>
  <c r="AB160" i="5" s="1"/>
  <c r="O160" i="5"/>
  <c r="N160" i="5"/>
  <c r="M160" i="5"/>
  <c r="L160" i="5"/>
  <c r="E160" i="5"/>
  <c r="AG159" i="5"/>
  <c r="AF159" i="5"/>
  <c r="AE159" i="5"/>
  <c r="Q159" i="5"/>
  <c r="AB159" i="5" s="1"/>
  <c r="O159" i="5"/>
  <c r="N159" i="5"/>
  <c r="M159" i="5"/>
  <c r="L159" i="5"/>
  <c r="E159" i="5"/>
  <c r="AG158" i="5"/>
  <c r="AE158" i="5"/>
  <c r="AF158" i="5" s="1"/>
  <c r="Q158" i="5"/>
  <c r="AB158" i="5" s="1"/>
  <c r="O158" i="5"/>
  <c r="N158" i="5"/>
  <c r="M158" i="5"/>
  <c r="L158" i="5"/>
  <c r="E158" i="5"/>
  <c r="AF157" i="5"/>
  <c r="AE157" i="5"/>
  <c r="AB157" i="5"/>
  <c r="Q157" i="5"/>
  <c r="O157" i="5"/>
  <c r="N157" i="5"/>
  <c r="M157" i="5"/>
  <c r="L157" i="5"/>
  <c r="E157" i="5"/>
  <c r="AF156" i="5"/>
  <c r="AE156" i="5"/>
  <c r="AB156" i="5"/>
  <c r="Q156" i="5"/>
  <c r="O156" i="5"/>
  <c r="N156" i="5"/>
  <c r="M156" i="5"/>
  <c r="L156" i="5"/>
  <c r="E156" i="5"/>
  <c r="AE155" i="5"/>
  <c r="Q155" i="5"/>
  <c r="AB155" i="5" s="1"/>
  <c r="O155" i="5"/>
  <c r="N155" i="5"/>
  <c r="M155" i="5"/>
  <c r="L155" i="5"/>
  <c r="E155" i="5"/>
  <c r="AG154" i="5"/>
  <c r="AF154" i="5"/>
  <c r="AE154" i="5"/>
  <c r="AC154" i="5"/>
  <c r="Q154" i="5"/>
  <c r="AB154" i="5" s="1"/>
  <c r="O154" i="5"/>
  <c r="N154" i="5"/>
  <c r="M154" i="5"/>
  <c r="L154" i="5"/>
  <c r="E154" i="5"/>
  <c r="AG153" i="5"/>
  <c r="AF153" i="5"/>
  <c r="AE153" i="5"/>
  <c r="Q153" i="5"/>
  <c r="AB153" i="5" s="1"/>
  <c r="O153" i="5"/>
  <c r="N153" i="5"/>
  <c r="M153" i="5"/>
  <c r="L153" i="5"/>
  <c r="E153" i="5"/>
  <c r="AG152" i="5"/>
  <c r="AF152" i="5"/>
  <c r="AE152" i="5"/>
  <c r="Q152" i="5"/>
  <c r="AB152" i="5" s="1"/>
  <c r="O152" i="5"/>
  <c r="N152" i="5"/>
  <c r="M152" i="5"/>
  <c r="L152" i="5"/>
  <c r="E152" i="5"/>
  <c r="AB151" i="5"/>
  <c r="Q151" i="5"/>
  <c r="O151" i="5"/>
  <c r="N151" i="5"/>
  <c r="M151" i="5"/>
  <c r="L151" i="5"/>
  <c r="E151" i="5"/>
  <c r="AG150" i="5"/>
  <c r="AF150" i="5"/>
  <c r="AE150" i="5"/>
  <c r="Q150" i="5"/>
  <c r="AB150" i="5" s="1"/>
  <c r="O150" i="5"/>
  <c r="N150" i="5"/>
  <c r="M150" i="5"/>
  <c r="L150" i="5"/>
  <c r="E150" i="5"/>
  <c r="AE149" i="5"/>
  <c r="AB149" i="5"/>
  <c r="Q149" i="5"/>
  <c r="O149" i="5"/>
  <c r="N149" i="5"/>
  <c r="M149" i="5"/>
  <c r="L149" i="5"/>
  <c r="E149" i="5"/>
  <c r="AB148" i="5"/>
  <c r="Q148" i="5"/>
  <c r="O148" i="5"/>
  <c r="N148" i="5"/>
  <c r="M148" i="5"/>
  <c r="L148" i="5"/>
  <c r="E148" i="5"/>
  <c r="AE147" i="5"/>
  <c r="AG147" i="5" s="1"/>
  <c r="AB147" i="5"/>
  <c r="Q147" i="5"/>
  <c r="O147" i="5"/>
  <c r="N147" i="5"/>
  <c r="M147" i="5"/>
  <c r="L147" i="5"/>
  <c r="E147" i="5"/>
  <c r="AF146" i="5"/>
  <c r="AE146" i="5"/>
  <c r="AG146" i="5" s="1"/>
  <c r="AB146" i="5"/>
  <c r="Q146" i="5"/>
  <c r="O146" i="5"/>
  <c r="N146" i="5"/>
  <c r="M146" i="5"/>
  <c r="L146" i="5"/>
  <c r="E146" i="5"/>
  <c r="AE145" i="5"/>
  <c r="Q145" i="5"/>
  <c r="AB145" i="5" s="1"/>
  <c r="O145" i="5"/>
  <c r="N145" i="5"/>
  <c r="M145" i="5"/>
  <c r="L145" i="5"/>
  <c r="E145" i="5"/>
  <c r="Q144" i="5"/>
  <c r="AB144" i="5" s="1"/>
  <c r="O144" i="5"/>
  <c r="N144" i="5"/>
  <c r="M144" i="5"/>
  <c r="L144" i="5"/>
  <c r="E144" i="5"/>
  <c r="AG143" i="5"/>
  <c r="AE143" i="5"/>
  <c r="AF143" i="5" s="1"/>
  <c r="Q143" i="5"/>
  <c r="AB143" i="5" s="1"/>
  <c r="O143" i="5"/>
  <c r="N143" i="5"/>
  <c r="M143" i="5"/>
  <c r="L143" i="5"/>
  <c r="E143" i="5"/>
  <c r="Q142" i="5"/>
  <c r="AB142" i="5" s="1"/>
  <c r="O142" i="5"/>
  <c r="N142" i="5"/>
  <c r="M142" i="5"/>
  <c r="L142" i="5"/>
  <c r="E142" i="5"/>
  <c r="AE141" i="5"/>
  <c r="Q141" i="5"/>
  <c r="AB141" i="5" s="1"/>
  <c r="O141" i="5"/>
  <c r="N141" i="5"/>
  <c r="M141" i="5"/>
  <c r="L141" i="5"/>
  <c r="E141" i="5"/>
  <c r="AE140" i="5"/>
  <c r="Q140" i="5"/>
  <c r="AB140" i="5" s="1"/>
  <c r="O140" i="5"/>
  <c r="N140" i="5"/>
  <c r="M140" i="5"/>
  <c r="L140" i="5"/>
  <c r="E140" i="5"/>
  <c r="AE139" i="5"/>
  <c r="AG139" i="5" s="1"/>
  <c r="AC139" i="5"/>
  <c r="Q139" i="5"/>
  <c r="AB139" i="5" s="1"/>
  <c r="O139" i="5"/>
  <c r="N139" i="5"/>
  <c r="M139" i="5"/>
  <c r="L139" i="5"/>
  <c r="E139" i="5"/>
  <c r="AE138" i="5"/>
  <c r="AG138" i="5" s="1"/>
  <c r="AC138" i="5"/>
  <c r="AB138" i="5"/>
  <c r="Q138" i="5"/>
  <c r="O138" i="5"/>
  <c r="N138" i="5"/>
  <c r="M138" i="5"/>
  <c r="L138" i="5"/>
  <c r="E138" i="5"/>
  <c r="AE137" i="5"/>
  <c r="AG137" i="5" s="1"/>
  <c r="AB137" i="5"/>
  <c r="Q137" i="5"/>
  <c r="O137" i="5"/>
  <c r="N137" i="5"/>
  <c r="M137" i="5"/>
  <c r="L137" i="5"/>
  <c r="E137" i="5"/>
  <c r="AE136" i="5"/>
  <c r="AG136" i="5" s="1"/>
  <c r="AC136" i="5"/>
  <c r="Q136" i="5"/>
  <c r="AB136" i="5" s="1"/>
  <c r="O136" i="5"/>
  <c r="N136" i="5"/>
  <c r="M136" i="5"/>
  <c r="L136" i="5"/>
  <c r="E136" i="5"/>
  <c r="AE135" i="5"/>
  <c r="AB135" i="5"/>
  <c r="Q135" i="5"/>
  <c r="O135" i="5"/>
  <c r="N135" i="5"/>
  <c r="M135" i="5"/>
  <c r="L135" i="5"/>
  <c r="E135" i="5"/>
  <c r="AE134" i="5"/>
  <c r="AB134" i="5"/>
  <c r="Q134" i="5"/>
  <c r="O134" i="5"/>
  <c r="N134" i="5"/>
  <c r="M134" i="5"/>
  <c r="L134" i="5"/>
  <c r="E134" i="5"/>
  <c r="Q133" i="5"/>
  <c r="AB133" i="5" s="1"/>
  <c r="O133" i="5"/>
  <c r="N133" i="5"/>
  <c r="M133" i="5"/>
  <c r="L133" i="5"/>
  <c r="E133" i="5"/>
  <c r="AE132" i="5"/>
  <c r="Q132" i="5"/>
  <c r="AB132" i="5" s="1"/>
  <c r="O132" i="5"/>
  <c r="N132" i="5"/>
  <c r="M132" i="5"/>
  <c r="L132" i="5"/>
  <c r="E132" i="5"/>
  <c r="AB131" i="5"/>
  <c r="Q131" i="5"/>
  <c r="O131" i="5"/>
  <c r="N131" i="5"/>
  <c r="M131" i="5"/>
  <c r="L131" i="5"/>
  <c r="E131" i="5"/>
  <c r="AF130" i="5"/>
  <c r="AE130" i="5"/>
  <c r="AG130" i="5" s="1"/>
  <c r="AB130" i="5"/>
  <c r="Q130" i="5"/>
  <c r="O130" i="5"/>
  <c r="N130" i="5"/>
  <c r="M130" i="5"/>
  <c r="L130" i="5"/>
  <c r="E130" i="5"/>
  <c r="AF129" i="5"/>
  <c r="AE129" i="5"/>
  <c r="AG129" i="5" s="1"/>
  <c r="AC129" i="5"/>
  <c r="AB129" i="5"/>
  <c r="Q129" i="5"/>
  <c r="O129" i="5"/>
  <c r="N129" i="5"/>
  <c r="M129" i="5"/>
  <c r="L129" i="5"/>
  <c r="E129" i="5"/>
  <c r="AE128" i="5"/>
  <c r="AB128" i="5"/>
  <c r="Q128" i="5"/>
  <c r="O128" i="5"/>
  <c r="N128" i="5"/>
  <c r="M128" i="5"/>
  <c r="L128" i="5"/>
  <c r="E128" i="5"/>
  <c r="Q127" i="5"/>
  <c r="AB127" i="5" s="1"/>
  <c r="O127" i="5"/>
  <c r="N127" i="5"/>
  <c r="M127" i="5"/>
  <c r="L127" i="5"/>
  <c r="E127" i="5"/>
  <c r="AE126" i="5"/>
  <c r="AG126" i="5" s="1"/>
  <c r="Q126" i="5"/>
  <c r="AB126" i="5" s="1"/>
  <c r="O126" i="5"/>
  <c r="N126" i="5"/>
  <c r="M126" i="5"/>
  <c r="L126" i="5"/>
  <c r="E126" i="5"/>
  <c r="Q125" i="5"/>
  <c r="AB125" i="5" s="1"/>
  <c r="O125" i="5"/>
  <c r="N125" i="5"/>
  <c r="M125" i="5"/>
  <c r="L125" i="5"/>
  <c r="E125" i="5"/>
  <c r="Q124" i="5"/>
  <c r="AB124" i="5" s="1"/>
  <c r="O124" i="5"/>
  <c r="N124" i="5"/>
  <c r="M124" i="5"/>
  <c r="L124" i="5"/>
  <c r="E124" i="5"/>
  <c r="Q123" i="5"/>
  <c r="AB123" i="5" s="1"/>
  <c r="O123" i="5"/>
  <c r="N123" i="5"/>
  <c r="M123" i="5"/>
  <c r="L123" i="5"/>
  <c r="E123" i="5"/>
  <c r="Q122" i="5"/>
  <c r="AB122" i="5" s="1"/>
  <c r="O122" i="5"/>
  <c r="N122" i="5"/>
  <c r="M122" i="5"/>
  <c r="L122" i="5"/>
  <c r="E122" i="5"/>
  <c r="Q121" i="5"/>
  <c r="AB121" i="5" s="1"/>
  <c r="O121" i="5"/>
  <c r="N121" i="5"/>
  <c r="M121" i="5"/>
  <c r="L121" i="5"/>
  <c r="E121" i="5"/>
  <c r="Q120" i="5"/>
  <c r="AB120" i="5" s="1"/>
  <c r="O120" i="5"/>
  <c r="N120" i="5"/>
  <c r="M120" i="5"/>
  <c r="L120" i="5"/>
  <c r="E120" i="5"/>
  <c r="Q119" i="5"/>
  <c r="AB119" i="5" s="1"/>
  <c r="O119" i="5"/>
  <c r="N119" i="5"/>
  <c r="M119" i="5"/>
  <c r="L119" i="5"/>
  <c r="E119" i="5"/>
  <c r="AE118" i="5"/>
  <c r="AB118" i="5"/>
  <c r="Q118" i="5"/>
  <c r="O118" i="5"/>
  <c r="N118" i="5"/>
  <c r="M118" i="5"/>
  <c r="L118" i="5"/>
  <c r="E118" i="5"/>
  <c r="AE117" i="5"/>
  <c r="Q117" i="5"/>
  <c r="AB117" i="5" s="1"/>
  <c r="O117" i="5"/>
  <c r="N117" i="5"/>
  <c r="M117" i="5"/>
  <c r="L117" i="5"/>
  <c r="E117" i="5"/>
  <c r="AF116" i="5"/>
  <c r="AE116" i="5"/>
  <c r="AG116" i="5" s="1"/>
  <c r="Q116" i="5"/>
  <c r="AB116" i="5" s="1"/>
  <c r="O116" i="5"/>
  <c r="N116" i="5"/>
  <c r="M116" i="5"/>
  <c r="L116" i="5"/>
  <c r="E116" i="5"/>
  <c r="AG115" i="5"/>
  <c r="AE115" i="5"/>
  <c r="AF115" i="5" s="1"/>
  <c r="Q115" i="5"/>
  <c r="AB115" i="5" s="1"/>
  <c r="O115" i="5"/>
  <c r="N115" i="5"/>
  <c r="M115" i="5"/>
  <c r="L115" i="5"/>
  <c r="E115" i="5"/>
  <c r="AE114" i="5"/>
  <c r="Q114" i="5"/>
  <c r="AB114" i="5" s="1"/>
  <c r="O114" i="5"/>
  <c r="N114" i="5"/>
  <c r="M114" i="5"/>
  <c r="L114" i="5"/>
  <c r="E114" i="5"/>
  <c r="AF113" i="5"/>
  <c r="AE113" i="5"/>
  <c r="Q113" i="5"/>
  <c r="AB113" i="5" s="1"/>
  <c r="O113" i="5"/>
  <c r="N113" i="5"/>
  <c r="M113" i="5"/>
  <c r="L113" i="5"/>
  <c r="E113" i="5"/>
  <c r="AG112" i="5"/>
  <c r="AF112" i="5"/>
  <c r="AE112" i="5"/>
  <c r="AB112" i="5"/>
  <c r="Q112" i="5"/>
  <c r="O112" i="5"/>
  <c r="N112" i="5"/>
  <c r="M112" i="5"/>
  <c r="L112" i="5"/>
  <c r="E112" i="5"/>
  <c r="AG111" i="5"/>
  <c r="AF111" i="5"/>
  <c r="AE111" i="5"/>
  <c r="Q111" i="5"/>
  <c r="AB111" i="5" s="1"/>
  <c r="O111" i="5"/>
  <c r="N111" i="5"/>
  <c r="M111" i="5"/>
  <c r="L111" i="5"/>
  <c r="E111" i="5"/>
  <c r="AG110" i="5"/>
  <c r="AF110" i="5"/>
  <c r="AE110" i="5"/>
  <c r="Q110" i="5"/>
  <c r="AB110" i="5" s="1"/>
  <c r="O110" i="5"/>
  <c r="N110" i="5"/>
  <c r="M110" i="5"/>
  <c r="L110" i="5"/>
  <c r="E110" i="5"/>
  <c r="AG109" i="5"/>
  <c r="AE109" i="5"/>
  <c r="AF109" i="5" s="1"/>
  <c r="Q109" i="5"/>
  <c r="AB109" i="5" s="1"/>
  <c r="O109" i="5"/>
  <c r="N109" i="5"/>
  <c r="M109" i="5"/>
  <c r="L109" i="5"/>
  <c r="E109" i="5"/>
  <c r="AE108" i="5"/>
  <c r="AB108" i="5"/>
  <c r="Q108" i="5"/>
  <c r="O108" i="5"/>
  <c r="N108" i="5"/>
  <c r="M108" i="5"/>
  <c r="L108" i="5"/>
  <c r="E108" i="5"/>
  <c r="AF107" i="5"/>
  <c r="AE107" i="5"/>
  <c r="AG107" i="5" s="1"/>
  <c r="Q107" i="5"/>
  <c r="AB107" i="5" s="1"/>
  <c r="O107" i="5"/>
  <c r="N107" i="5"/>
  <c r="M107" i="5"/>
  <c r="L107" i="5"/>
  <c r="E107" i="5"/>
  <c r="AG106" i="5"/>
  <c r="AE106" i="5"/>
  <c r="AF106" i="5" s="1"/>
  <c r="Q106" i="5"/>
  <c r="AB106" i="5" s="1"/>
  <c r="O106" i="5"/>
  <c r="N106" i="5"/>
  <c r="M106" i="5"/>
  <c r="L106" i="5"/>
  <c r="E106" i="5"/>
  <c r="AE105" i="5"/>
  <c r="Q105" i="5"/>
  <c r="AB105" i="5" s="1"/>
  <c r="O105" i="5"/>
  <c r="N105" i="5"/>
  <c r="M105" i="5"/>
  <c r="L105" i="5"/>
  <c r="E105" i="5"/>
  <c r="AE104" i="5"/>
  <c r="Q104" i="5"/>
  <c r="AB104" i="5" s="1"/>
  <c r="O104" i="5"/>
  <c r="N104" i="5"/>
  <c r="M104" i="5"/>
  <c r="L104" i="5"/>
  <c r="E104" i="5"/>
  <c r="Q103" i="5"/>
  <c r="AB103" i="5" s="1"/>
  <c r="O103" i="5"/>
  <c r="N103" i="5"/>
  <c r="M103" i="5"/>
  <c r="L103" i="5"/>
  <c r="E103" i="5"/>
  <c r="AG102" i="5"/>
  <c r="AF102" i="5"/>
  <c r="AE102" i="5"/>
  <c r="Q102" i="5"/>
  <c r="AB102" i="5" s="1"/>
  <c r="O102" i="5"/>
  <c r="N102" i="5"/>
  <c r="M102" i="5"/>
  <c r="L102" i="5"/>
  <c r="E102" i="5"/>
  <c r="AG101" i="5"/>
  <c r="AE101" i="5"/>
  <c r="AF101" i="5" s="1"/>
  <c r="Q101" i="5"/>
  <c r="AB101" i="5" s="1"/>
  <c r="O101" i="5"/>
  <c r="N101" i="5"/>
  <c r="M101" i="5"/>
  <c r="L101" i="5"/>
  <c r="E101" i="5"/>
  <c r="Q100" i="5"/>
  <c r="AB100" i="5" s="1"/>
  <c r="O100" i="5"/>
  <c r="N100" i="5"/>
  <c r="M100" i="5"/>
  <c r="L100" i="5"/>
  <c r="E100" i="5"/>
  <c r="AE99" i="5"/>
  <c r="Q99" i="5"/>
  <c r="AB99" i="5" s="1"/>
  <c r="O99" i="5"/>
  <c r="N99" i="5"/>
  <c r="M99" i="5"/>
  <c r="L99" i="5"/>
  <c r="E99" i="5"/>
  <c r="AF98" i="5"/>
  <c r="AE98" i="5"/>
  <c r="Q98" i="5"/>
  <c r="AB98" i="5" s="1"/>
  <c r="O98" i="5"/>
  <c r="N98" i="5"/>
  <c r="M98" i="5"/>
  <c r="L98" i="5"/>
  <c r="E98" i="5"/>
  <c r="AE97" i="5"/>
  <c r="Q97" i="5"/>
  <c r="AB97" i="5" s="1"/>
  <c r="O97" i="5"/>
  <c r="N97" i="5"/>
  <c r="M97" i="5"/>
  <c r="L97" i="5"/>
  <c r="E97" i="5"/>
  <c r="AE96" i="5"/>
  <c r="Q96" i="5"/>
  <c r="AB96" i="5" s="1"/>
  <c r="O96" i="5"/>
  <c r="N96" i="5"/>
  <c r="M96" i="5"/>
  <c r="L96" i="5"/>
  <c r="E96" i="5"/>
  <c r="AE95" i="5"/>
  <c r="AC95" i="5"/>
  <c r="Q95" i="5"/>
  <c r="AB95" i="5" s="1"/>
  <c r="O95" i="5"/>
  <c r="N95" i="5"/>
  <c r="M95" i="5"/>
  <c r="L95" i="5"/>
  <c r="E95" i="5"/>
  <c r="AG94" i="5"/>
  <c r="AF94" i="5"/>
  <c r="AE94" i="5"/>
  <c r="AC94" i="5"/>
  <c r="Q94" i="5"/>
  <c r="AB94" i="5" s="1"/>
  <c r="O94" i="5"/>
  <c r="N94" i="5"/>
  <c r="M94" i="5"/>
  <c r="L94" i="5"/>
  <c r="E94" i="5"/>
  <c r="AF93" i="5"/>
  <c r="AE93" i="5"/>
  <c r="AG93" i="5" s="1"/>
  <c r="AC93" i="5"/>
  <c r="AB93" i="5"/>
  <c r="Q93" i="5"/>
  <c r="O93" i="5"/>
  <c r="N93" i="5"/>
  <c r="M93" i="5"/>
  <c r="L93" i="5"/>
  <c r="E93" i="5"/>
  <c r="AE92" i="5"/>
  <c r="AB92" i="5"/>
  <c r="Q92" i="5"/>
  <c r="O92" i="5"/>
  <c r="N92" i="5"/>
  <c r="M92" i="5"/>
  <c r="L92" i="5"/>
  <c r="E92" i="5"/>
  <c r="AE91" i="5"/>
  <c r="AG91" i="5" s="1"/>
  <c r="Q91" i="5"/>
  <c r="AB91" i="5" s="1"/>
  <c r="O91" i="5"/>
  <c r="N91" i="5"/>
  <c r="M91" i="5"/>
  <c r="L91" i="5"/>
  <c r="E91" i="5"/>
  <c r="AE90" i="5"/>
  <c r="AB90" i="5"/>
  <c r="Q90" i="5"/>
  <c r="O90" i="5"/>
  <c r="N90" i="5"/>
  <c r="M90" i="5"/>
  <c r="L90" i="5"/>
  <c r="E90" i="5"/>
  <c r="AE89" i="5"/>
  <c r="AB89" i="5"/>
  <c r="Q89" i="5"/>
  <c r="O89" i="5"/>
  <c r="N89" i="5"/>
  <c r="M89" i="5"/>
  <c r="L89" i="5"/>
  <c r="E89" i="5"/>
  <c r="AE88" i="5"/>
  <c r="AB88" i="5"/>
  <c r="Q88" i="5"/>
  <c r="O88" i="5"/>
  <c r="N88" i="5"/>
  <c r="M88" i="5"/>
  <c r="L88" i="5"/>
  <c r="E88" i="5"/>
  <c r="AE87" i="5"/>
  <c r="AG87" i="5" s="1"/>
  <c r="Q87" i="5"/>
  <c r="AB87" i="5" s="1"/>
  <c r="O87" i="5"/>
  <c r="N87" i="5"/>
  <c r="M87" i="5"/>
  <c r="L87" i="5"/>
  <c r="E87" i="5"/>
  <c r="AE86" i="5"/>
  <c r="Q86" i="5"/>
  <c r="AB86" i="5" s="1"/>
  <c r="O86" i="5"/>
  <c r="N86" i="5"/>
  <c r="M86" i="5"/>
  <c r="L86" i="5"/>
  <c r="E86" i="5"/>
  <c r="AF85" i="5"/>
  <c r="AE85" i="5"/>
  <c r="AG85" i="5" s="1"/>
  <c r="Q85" i="5"/>
  <c r="AB85" i="5" s="1"/>
  <c r="O85" i="5"/>
  <c r="N85" i="5"/>
  <c r="M85" i="5"/>
  <c r="L85" i="5"/>
  <c r="E85" i="5"/>
  <c r="AG84" i="5"/>
  <c r="AE84" i="5"/>
  <c r="AF84" i="5" s="1"/>
  <c r="Q84" i="5"/>
  <c r="AB84" i="5" s="1"/>
  <c r="O84" i="5"/>
  <c r="N84" i="5"/>
  <c r="M84" i="5"/>
  <c r="L84" i="5"/>
  <c r="E84" i="5"/>
  <c r="AE83" i="5"/>
  <c r="Q83" i="5"/>
  <c r="AB83" i="5" s="1"/>
  <c r="O83" i="5"/>
  <c r="N83" i="5"/>
  <c r="M83" i="5"/>
  <c r="L83" i="5"/>
  <c r="E83" i="5"/>
  <c r="AF82" i="5"/>
  <c r="AE82" i="5"/>
  <c r="Q82" i="5"/>
  <c r="AB82" i="5" s="1"/>
  <c r="O82" i="5"/>
  <c r="N82" i="5"/>
  <c r="M82" i="5"/>
  <c r="L82" i="5"/>
  <c r="E82" i="5"/>
  <c r="AG81" i="5"/>
  <c r="AF81" i="5"/>
  <c r="AE81" i="5"/>
  <c r="AB81" i="5"/>
  <c r="Q81" i="5"/>
  <c r="O81" i="5"/>
  <c r="N81" i="5"/>
  <c r="M81" i="5"/>
  <c r="L81" i="5"/>
  <c r="E81" i="5"/>
  <c r="AG80" i="5"/>
  <c r="AE80" i="5"/>
  <c r="AF80" i="5" s="1"/>
  <c r="Q80" i="5"/>
  <c r="AB80" i="5" s="1"/>
  <c r="O80" i="5"/>
  <c r="N80" i="5"/>
  <c r="M80" i="5"/>
  <c r="L80" i="5"/>
  <c r="E80" i="5"/>
  <c r="AE79" i="5"/>
  <c r="AG79" i="5" s="1"/>
  <c r="Q79" i="5"/>
  <c r="AB79" i="5" s="1"/>
  <c r="O79" i="5"/>
  <c r="N79" i="5"/>
  <c r="M79" i="5"/>
  <c r="L79" i="5"/>
  <c r="E79" i="5"/>
  <c r="AE78" i="5"/>
  <c r="AG78" i="5" s="1"/>
  <c r="Q78" i="5"/>
  <c r="AB78" i="5" s="1"/>
  <c r="O78" i="5"/>
  <c r="N78" i="5"/>
  <c r="M78" i="5"/>
  <c r="L78" i="5"/>
  <c r="E78" i="5"/>
  <c r="AG77" i="5"/>
  <c r="AE77" i="5"/>
  <c r="AF77" i="5" s="1"/>
  <c r="Q77" i="5"/>
  <c r="AB77" i="5" s="1"/>
  <c r="O77" i="5"/>
  <c r="N77" i="5"/>
  <c r="M77" i="5"/>
  <c r="L77" i="5"/>
  <c r="E77" i="5"/>
  <c r="AE76" i="5"/>
  <c r="AG76" i="5" s="1"/>
  <c r="Q76" i="5"/>
  <c r="AB76" i="5" s="1"/>
  <c r="O76" i="5"/>
  <c r="N76" i="5"/>
  <c r="M76" i="5"/>
  <c r="L76" i="5"/>
  <c r="E76" i="5"/>
  <c r="AE75" i="5"/>
  <c r="Q75" i="5"/>
  <c r="AB75" i="5" s="1"/>
  <c r="O75" i="5"/>
  <c r="N75" i="5"/>
  <c r="M75" i="5"/>
  <c r="L75" i="5"/>
  <c r="E75" i="5"/>
  <c r="AF74" i="5"/>
  <c r="AE74" i="5"/>
  <c r="AG74" i="5" s="1"/>
  <c r="AB74" i="5"/>
  <c r="Q74" i="5"/>
  <c r="O74" i="5"/>
  <c r="N74" i="5"/>
  <c r="M74" i="5"/>
  <c r="L74" i="5"/>
  <c r="E74" i="5"/>
  <c r="AF73" i="5"/>
  <c r="AE73" i="5"/>
  <c r="AG73" i="5" s="1"/>
  <c r="Q73" i="5"/>
  <c r="AB73" i="5" s="1"/>
  <c r="O73" i="5"/>
  <c r="N73" i="5"/>
  <c r="M73" i="5"/>
  <c r="L73" i="5"/>
  <c r="E73" i="5"/>
  <c r="AG72" i="5"/>
  <c r="AE72" i="5"/>
  <c r="AF72" i="5" s="1"/>
  <c r="Q72" i="5"/>
  <c r="AB72" i="5" s="1"/>
  <c r="O72" i="5"/>
  <c r="N72" i="5"/>
  <c r="M72" i="5"/>
  <c r="L72" i="5"/>
  <c r="E72" i="5"/>
  <c r="AE71" i="5"/>
  <c r="Q71" i="5"/>
  <c r="AB71" i="5" s="1"/>
  <c r="O71" i="5"/>
  <c r="N71" i="5"/>
  <c r="M71" i="5"/>
  <c r="L71" i="5"/>
  <c r="E71" i="5"/>
  <c r="AF70" i="5"/>
  <c r="AE70" i="5"/>
  <c r="Q70" i="5"/>
  <c r="AB70" i="5" s="1"/>
  <c r="O70" i="5"/>
  <c r="N70" i="5"/>
  <c r="M70" i="5"/>
  <c r="L70" i="5"/>
  <c r="E70" i="5"/>
  <c r="AG69" i="5"/>
  <c r="AF69" i="5"/>
  <c r="AE69" i="5"/>
  <c r="Q69" i="5"/>
  <c r="AB69" i="5" s="1"/>
  <c r="O69" i="5"/>
  <c r="N69" i="5"/>
  <c r="M69" i="5"/>
  <c r="L69" i="5"/>
  <c r="E69" i="5"/>
  <c r="AG68" i="5"/>
  <c r="AF68" i="5"/>
  <c r="AE68" i="5"/>
  <c r="Q68" i="5"/>
  <c r="AB68" i="5" s="1"/>
  <c r="O68" i="5"/>
  <c r="N68" i="5"/>
  <c r="M68" i="5"/>
  <c r="L68" i="5"/>
  <c r="E68" i="5"/>
  <c r="AG67" i="5"/>
  <c r="AE67" i="5"/>
  <c r="AF67" i="5" s="1"/>
  <c r="Q67" i="5"/>
  <c r="AB67" i="5" s="1"/>
  <c r="O67" i="5"/>
  <c r="N67" i="5"/>
  <c r="M67" i="5"/>
  <c r="L67" i="5"/>
  <c r="E67" i="5"/>
  <c r="AE66" i="5"/>
  <c r="AG66" i="5" s="1"/>
  <c r="AC66" i="5"/>
  <c r="Q66" i="5"/>
  <c r="AB66" i="5" s="1"/>
  <c r="O66" i="5"/>
  <c r="N66" i="5"/>
  <c r="M66" i="5"/>
  <c r="L66" i="5"/>
  <c r="E66" i="5"/>
  <c r="AG65" i="5"/>
  <c r="AE65" i="5"/>
  <c r="AF65" i="5" s="1"/>
  <c r="AC65" i="5"/>
  <c r="Q65" i="5"/>
  <c r="AB65" i="5" s="1"/>
  <c r="O65" i="5"/>
  <c r="N65" i="5"/>
  <c r="M65" i="5"/>
  <c r="L65" i="5"/>
  <c r="E65" i="5"/>
  <c r="AE64" i="5"/>
  <c r="AB64" i="5"/>
  <c r="Q64" i="5"/>
  <c r="O64" i="5"/>
  <c r="N64" i="5"/>
  <c r="M64" i="5"/>
  <c r="L64" i="5"/>
  <c r="E64" i="5"/>
  <c r="AG63" i="5"/>
  <c r="AF63" i="5"/>
  <c r="AE63" i="5"/>
  <c r="Q63" i="5"/>
  <c r="AB63" i="5" s="1"/>
  <c r="O63" i="5"/>
  <c r="N63" i="5"/>
  <c r="M63" i="5"/>
  <c r="L63" i="5"/>
  <c r="E63" i="5"/>
  <c r="AG62" i="5"/>
  <c r="AE62" i="5"/>
  <c r="AF62" i="5" s="1"/>
  <c r="Q62" i="5"/>
  <c r="AB62" i="5" s="1"/>
  <c r="O62" i="5"/>
  <c r="N62" i="5"/>
  <c r="M62" i="5"/>
  <c r="L62" i="5"/>
  <c r="E62" i="5"/>
  <c r="Q61" i="5"/>
  <c r="AB61" i="5" s="1"/>
  <c r="O61" i="5"/>
  <c r="N61" i="5"/>
  <c r="M61" i="5"/>
  <c r="L61" i="5"/>
  <c r="E61" i="5"/>
  <c r="Q60" i="5"/>
  <c r="AB60" i="5" s="1"/>
  <c r="O60" i="5"/>
  <c r="N60" i="5"/>
  <c r="M60" i="5"/>
  <c r="L60" i="5"/>
  <c r="E60" i="5"/>
  <c r="AG59" i="5"/>
  <c r="AF59" i="5"/>
  <c r="AE59" i="5"/>
  <c r="Q59" i="5"/>
  <c r="AB59" i="5" s="1"/>
  <c r="O59" i="5"/>
  <c r="N59" i="5"/>
  <c r="M59" i="5"/>
  <c r="L59" i="5"/>
  <c r="E59" i="5"/>
  <c r="AG58" i="5"/>
  <c r="AF58" i="5"/>
  <c r="AE58" i="5"/>
  <c r="Q58" i="5"/>
  <c r="AB58" i="5" s="1"/>
  <c r="O58" i="5"/>
  <c r="N58" i="5"/>
  <c r="M58" i="5"/>
  <c r="L58" i="5"/>
  <c r="E58" i="5"/>
  <c r="AE57" i="5"/>
  <c r="AG57" i="5" s="1"/>
  <c r="AB57" i="5"/>
  <c r="Q57" i="5"/>
  <c r="O57" i="5"/>
  <c r="N57" i="5"/>
  <c r="M57" i="5"/>
  <c r="L57" i="5"/>
  <c r="E57" i="5"/>
  <c r="Q56" i="5"/>
  <c r="AB56" i="5" s="1"/>
  <c r="O56" i="5"/>
  <c r="N56" i="5"/>
  <c r="M56" i="5"/>
  <c r="L56" i="5"/>
  <c r="E56" i="5"/>
  <c r="Q55" i="5"/>
  <c r="AB55" i="5" s="1"/>
  <c r="O55" i="5"/>
  <c r="N55" i="5"/>
  <c r="M55" i="5"/>
  <c r="L55" i="5"/>
  <c r="E55" i="5"/>
  <c r="AE54" i="5"/>
  <c r="AG54" i="5" s="1"/>
  <c r="AB54" i="5"/>
  <c r="Q54" i="5"/>
  <c r="O54" i="5"/>
  <c r="N54" i="5"/>
  <c r="M54" i="5"/>
  <c r="L54" i="5"/>
  <c r="E54" i="5"/>
  <c r="AE53" i="5"/>
  <c r="Q53" i="5"/>
  <c r="AB53" i="5" s="1"/>
  <c r="O53" i="5"/>
  <c r="N53" i="5"/>
  <c r="M53" i="5"/>
  <c r="L53" i="5"/>
  <c r="E53" i="5"/>
  <c r="AF52" i="5"/>
  <c r="AE52" i="5"/>
  <c r="Q52" i="5"/>
  <c r="AB52" i="5" s="1"/>
  <c r="O52" i="5"/>
  <c r="N52" i="5"/>
  <c r="M52" i="5"/>
  <c r="L52" i="5"/>
  <c r="E52" i="5"/>
  <c r="AF51" i="5"/>
  <c r="AE51" i="5"/>
  <c r="Q51" i="5"/>
  <c r="AB51" i="5" s="1"/>
  <c r="O51" i="5"/>
  <c r="N51" i="5"/>
  <c r="M51" i="5"/>
  <c r="L51" i="5"/>
  <c r="E51" i="5"/>
  <c r="AG50" i="5"/>
  <c r="AF50" i="5"/>
  <c r="AE50" i="5"/>
  <c r="Q50" i="5"/>
  <c r="AB50" i="5" s="1"/>
  <c r="O50" i="5"/>
  <c r="N50" i="5"/>
  <c r="M50" i="5"/>
  <c r="L50" i="5"/>
  <c r="E50" i="5"/>
  <c r="Q49" i="5"/>
  <c r="AB49" i="5" s="1"/>
  <c r="O49" i="5"/>
  <c r="N49" i="5"/>
  <c r="M49" i="5"/>
  <c r="L49" i="5"/>
  <c r="E49" i="5"/>
  <c r="Q48" i="5"/>
  <c r="AB48" i="5" s="1"/>
  <c r="O48" i="5"/>
  <c r="N48" i="5"/>
  <c r="M48" i="5"/>
  <c r="L48" i="5"/>
  <c r="E48" i="5"/>
  <c r="AG47" i="5"/>
  <c r="AF47" i="5"/>
  <c r="AE47" i="5"/>
  <c r="Q47" i="5"/>
  <c r="AB47" i="5" s="1"/>
  <c r="O47" i="5"/>
  <c r="N47" i="5"/>
  <c r="M47" i="5"/>
  <c r="L47" i="5"/>
  <c r="E47" i="5"/>
  <c r="AG46" i="5"/>
  <c r="AF46" i="5"/>
  <c r="AE46" i="5"/>
  <c r="Q46" i="5"/>
  <c r="AB46" i="5" s="1"/>
  <c r="O46" i="5"/>
  <c r="N46" i="5"/>
  <c r="M46" i="5"/>
  <c r="L46" i="5"/>
  <c r="E46" i="5"/>
  <c r="AG45" i="5"/>
  <c r="AE45" i="5"/>
  <c r="AF45" i="5" s="1"/>
  <c r="AB45" i="5"/>
  <c r="Q45" i="5"/>
  <c r="O45" i="5"/>
  <c r="N45" i="5"/>
  <c r="M45" i="5"/>
  <c r="L45" i="5"/>
  <c r="E45" i="5"/>
  <c r="AG44" i="5"/>
  <c r="AE44" i="5"/>
  <c r="AF44" i="5" s="1"/>
  <c r="AB44" i="5"/>
  <c r="Q44" i="5"/>
  <c r="O44" i="5"/>
  <c r="N44" i="5"/>
  <c r="M44" i="5"/>
  <c r="L44" i="5"/>
  <c r="E44" i="5"/>
  <c r="AG43" i="5"/>
  <c r="AF43" i="5"/>
  <c r="AE43" i="5"/>
  <c r="AC43" i="5"/>
  <c r="Q43" i="5"/>
  <c r="AB43" i="5" s="1"/>
  <c r="O43" i="5"/>
  <c r="N43" i="5"/>
  <c r="M43" i="5"/>
  <c r="L43" i="5"/>
  <c r="E43" i="5"/>
  <c r="AE42" i="5"/>
  <c r="Q42" i="5"/>
  <c r="AB42" i="5" s="1"/>
  <c r="O42" i="5"/>
  <c r="N42" i="5"/>
  <c r="M42" i="5"/>
  <c r="L42" i="5"/>
  <c r="E42" i="5"/>
  <c r="AG41" i="5"/>
  <c r="AF41" i="5"/>
  <c r="AE41" i="5"/>
  <c r="Q41" i="5"/>
  <c r="AB41" i="5" s="1"/>
  <c r="O41" i="5"/>
  <c r="N41" i="5"/>
  <c r="M41" i="5"/>
  <c r="L41" i="5"/>
  <c r="E41" i="5"/>
  <c r="AG40" i="5"/>
  <c r="AF40" i="5"/>
  <c r="AE40" i="5"/>
  <c r="AC40" i="5" s="1"/>
  <c r="Q40" i="5"/>
  <c r="AB40" i="5" s="1"/>
  <c r="O40" i="5"/>
  <c r="N40" i="5"/>
  <c r="M40" i="5"/>
  <c r="L40" i="5"/>
  <c r="E40" i="5"/>
  <c r="AG39" i="5"/>
  <c r="AF39" i="5"/>
  <c r="AE39" i="5"/>
  <c r="AC39" i="5" s="1"/>
  <c r="Q39" i="5"/>
  <c r="AB39" i="5" s="1"/>
  <c r="O39" i="5"/>
  <c r="N39" i="5"/>
  <c r="M39" i="5"/>
  <c r="L39" i="5"/>
  <c r="E39" i="5"/>
  <c r="AE38" i="5"/>
  <c r="Q38" i="5"/>
  <c r="AB38" i="5" s="1"/>
  <c r="O38" i="5"/>
  <c r="N38" i="5"/>
  <c r="M38" i="5"/>
  <c r="L38" i="5"/>
  <c r="E38" i="5"/>
  <c r="AG37" i="5"/>
  <c r="AF37" i="5"/>
  <c r="AE37" i="5"/>
  <c r="Q37" i="5"/>
  <c r="AB37" i="5" s="1"/>
  <c r="O37" i="5"/>
  <c r="N37" i="5"/>
  <c r="M37" i="5"/>
  <c r="L37" i="5"/>
  <c r="E37" i="5"/>
  <c r="AE36" i="5"/>
  <c r="AG36" i="5" s="1"/>
  <c r="AC36" i="5"/>
  <c r="Q36" i="5"/>
  <c r="AB36" i="5" s="1"/>
  <c r="O36" i="5"/>
  <c r="N36" i="5"/>
  <c r="M36" i="5"/>
  <c r="L36" i="5"/>
  <c r="E36" i="5"/>
  <c r="AE35" i="5"/>
  <c r="AG35" i="5" s="1"/>
  <c r="AC35" i="5"/>
  <c r="AB35" i="5"/>
  <c r="Q35" i="5"/>
  <c r="O35" i="5"/>
  <c r="N35" i="5"/>
  <c r="M35" i="5"/>
  <c r="L35" i="5"/>
  <c r="E35" i="5"/>
  <c r="AG34" i="5"/>
  <c r="AF34" i="5"/>
  <c r="AE34" i="5"/>
  <c r="AC34" i="5"/>
  <c r="AB34" i="5"/>
  <c r="Q34" i="5"/>
  <c r="O34" i="5"/>
  <c r="N34" i="5"/>
  <c r="M34" i="5"/>
  <c r="L34" i="5"/>
  <c r="E34" i="5"/>
  <c r="AF33" i="5"/>
  <c r="AE33" i="5"/>
  <c r="AG33" i="5" s="1"/>
  <c r="Q33" i="5"/>
  <c r="AB33" i="5" s="1"/>
  <c r="O33" i="5"/>
  <c r="N33" i="5"/>
  <c r="M33" i="5"/>
  <c r="L33" i="5"/>
  <c r="E33" i="5"/>
  <c r="AE32" i="5"/>
  <c r="AG32" i="5" s="1"/>
  <c r="Q32" i="5"/>
  <c r="AB32" i="5" s="1"/>
  <c r="O32" i="5"/>
  <c r="N32" i="5"/>
  <c r="M32" i="5"/>
  <c r="L32" i="5"/>
  <c r="E32" i="5"/>
  <c r="AE31" i="5"/>
  <c r="AG31" i="5" s="1"/>
  <c r="Q31" i="5"/>
  <c r="AB31" i="5" s="1"/>
  <c r="O31" i="5"/>
  <c r="N31" i="5"/>
  <c r="M31" i="5"/>
  <c r="L31" i="5"/>
  <c r="E31" i="5"/>
  <c r="AF30" i="5"/>
  <c r="AE30" i="5"/>
  <c r="AG30" i="5" s="1"/>
  <c r="Q30" i="5"/>
  <c r="AB30" i="5" s="1"/>
  <c r="O30" i="5"/>
  <c r="N30" i="5"/>
  <c r="M30" i="5"/>
  <c r="L30" i="5"/>
  <c r="E30" i="5"/>
  <c r="AE29" i="5"/>
  <c r="Q29" i="5"/>
  <c r="AB29" i="5" s="1"/>
  <c r="O29" i="5"/>
  <c r="N29" i="5"/>
  <c r="M29" i="5"/>
  <c r="L29" i="5"/>
  <c r="E29" i="5"/>
  <c r="AF28" i="5"/>
  <c r="AE28" i="5"/>
  <c r="Q28" i="5"/>
  <c r="AB28" i="5" s="1"/>
  <c r="O28" i="5"/>
  <c r="N28" i="5"/>
  <c r="M28" i="5"/>
  <c r="L28" i="5"/>
  <c r="E28" i="5"/>
  <c r="AG27" i="5"/>
  <c r="AF27" i="5"/>
  <c r="AE27" i="5"/>
  <c r="Q27" i="5"/>
  <c r="AB27" i="5" s="1"/>
  <c r="O27" i="5"/>
  <c r="N27" i="5"/>
  <c r="M27" i="5"/>
  <c r="L27" i="5"/>
  <c r="E27" i="5"/>
  <c r="AG26" i="5"/>
  <c r="AF26" i="5"/>
  <c r="AE26" i="5"/>
  <c r="Q26" i="5"/>
  <c r="AB26" i="5" s="1"/>
  <c r="O26" i="5"/>
  <c r="N26" i="5"/>
  <c r="M26" i="5"/>
  <c r="L26" i="5"/>
  <c r="E26" i="5"/>
  <c r="AG25" i="5"/>
  <c r="AF25" i="5"/>
  <c r="AE25" i="5"/>
  <c r="Q25" i="5"/>
  <c r="AB25" i="5" s="1"/>
  <c r="O25" i="5"/>
  <c r="N25" i="5"/>
  <c r="M25" i="5"/>
  <c r="L25" i="5"/>
  <c r="E25" i="5"/>
  <c r="AG24" i="5"/>
  <c r="AF24" i="5"/>
  <c r="AE24" i="5"/>
  <c r="AB24" i="5"/>
  <c r="Q24" i="5"/>
  <c r="O24" i="5"/>
  <c r="N24" i="5"/>
  <c r="M24" i="5"/>
  <c r="L24" i="5"/>
  <c r="E24" i="5"/>
  <c r="AG23" i="5"/>
  <c r="AF23" i="5"/>
  <c r="AE23" i="5"/>
  <c r="Q23" i="5"/>
  <c r="AB23" i="5" s="1"/>
  <c r="O23" i="5"/>
  <c r="N23" i="5"/>
  <c r="M23" i="5"/>
  <c r="L23" i="5"/>
  <c r="E23" i="5"/>
  <c r="AE22" i="5"/>
  <c r="AG22" i="5" s="1"/>
  <c r="Q22" i="5"/>
  <c r="AB22" i="5" s="1"/>
  <c r="O22" i="5"/>
  <c r="N22" i="5"/>
  <c r="M22" i="5"/>
  <c r="L22" i="5"/>
  <c r="E22" i="5"/>
  <c r="AE21" i="5"/>
  <c r="Q21" i="5"/>
  <c r="AB21" i="5" s="1"/>
  <c r="O21" i="5"/>
  <c r="N21" i="5"/>
  <c r="M21" i="5"/>
  <c r="L21" i="5"/>
  <c r="E21" i="5"/>
  <c r="AF20" i="5"/>
  <c r="AE20" i="5"/>
  <c r="Q20" i="5"/>
  <c r="AB20" i="5" s="1"/>
  <c r="O20" i="5"/>
  <c r="N20" i="5"/>
  <c r="M20" i="5"/>
  <c r="L20" i="5"/>
  <c r="E20" i="5"/>
  <c r="AG19" i="5"/>
  <c r="AF19" i="5"/>
  <c r="AE19" i="5"/>
  <c r="Q19" i="5"/>
  <c r="AB19" i="5" s="1"/>
  <c r="O19" i="5"/>
  <c r="N19" i="5"/>
  <c r="M19" i="5"/>
  <c r="L19" i="5"/>
  <c r="E19" i="5"/>
  <c r="AE18" i="5"/>
  <c r="AG18" i="5" s="1"/>
  <c r="Q18" i="5"/>
  <c r="AB18" i="5" s="1"/>
  <c r="O18" i="5"/>
  <c r="N18" i="5"/>
  <c r="M18" i="5"/>
  <c r="L18" i="5"/>
  <c r="E18" i="5"/>
  <c r="AE17" i="5"/>
  <c r="AG17" i="5" s="1"/>
  <c r="Q17" i="5"/>
  <c r="AB17" i="5" s="1"/>
  <c r="O17" i="5"/>
  <c r="N17" i="5"/>
  <c r="M17" i="5"/>
  <c r="L17" i="5"/>
  <c r="E17" i="5"/>
  <c r="AE16" i="5"/>
  <c r="AG16" i="5" s="1"/>
  <c r="Q16" i="5"/>
  <c r="AB16" i="5" s="1"/>
  <c r="O16" i="5"/>
  <c r="N16" i="5"/>
  <c r="M16" i="5"/>
  <c r="L16" i="5"/>
  <c r="E16" i="5"/>
  <c r="AE15" i="5"/>
  <c r="AG15" i="5" s="1"/>
  <c r="AC15" i="5"/>
  <c r="AB15" i="5"/>
  <c r="Q15" i="5"/>
  <c r="O15" i="5"/>
  <c r="N15" i="5"/>
  <c r="M15" i="5"/>
  <c r="L15" i="5"/>
  <c r="E15" i="5"/>
  <c r="AE14" i="5"/>
  <c r="AG14" i="5" s="1"/>
  <c r="AB14" i="5"/>
  <c r="Q14" i="5"/>
  <c r="O14" i="5"/>
  <c r="N14" i="5"/>
  <c r="M14" i="5"/>
  <c r="L14" i="5"/>
  <c r="E14" i="5"/>
  <c r="AF13" i="5"/>
  <c r="AE13" i="5"/>
  <c r="AG13" i="5" s="1"/>
  <c r="Q13" i="5"/>
  <c r="AB13" i="5" s="1"/>
  <c r="O13" i="5"/>
  <c r="N13" i="5"/>
  <c r="M13" i="5"/>
  <c r="L13" i="5"/>
  <c r="E13" i="5"/>
  <c r="AE12" i="5"/>
  <c r="AG12" i="5" s="1"/>
  <c r="Q12" i="5"/>
  <c r="AB12" i="5" s="1"/>
  <c r="O12" i="5"/>
  <c r="N12" i="5"/>
  <c r="M12" i="5"/>
  <c r="L12" i="5"/>
  <c r="E12" i="5"/>
  <c r="AE11" i="5"/>
  <c r="AG11" i="5" s="1"/>
  <c r="AB11" i="5"/>
  <c r="Q11" i="5"/>
  <c r="O11" i="5"/>
  <c r="N11" i="5"/>
  <c r="M11" i="5"/>
  <c r="L11" i="5"/>
  <c r="E11" i="5"/>
  <c r="AE10" i="5"/>
  <c r="AG10" i="5" s="1"/>
  <c r="Q10" i="5"/>
  <c r="AB10" i="5" s="1"/>
  <c r="O10" i="5"/>
  <c r="N10" i="5"/>
  <c r="M10" i="5"/>
  <c r="L10" i="5"/>
  <c r="E10" i="5"/>
  <c r="AQ9" i="5"/>
  <c r="AG9" i="5"/>
  <c r="AF9" i="5"/>
  <c r="AE9" i="5"/>
  <c r="Q9" i="5"/>
  <c r="AB9" i="5" s="1"/>
  <c r="O9" i="5"/>
  <c r="N9" i="5"/>
  <c r="M9" i="5"/>
  <c r="L9" i="5"/>
  <c r="E9" i="5"/>
  <c r="AG8" i="5"/>
  <c r="AF8" i="5"/>
  <c r="AE8" i="5"/>
  <c r="AB8" i="5"/>
  <c r="Q8" i="5"/>
  <c r="O8" i="5"/>
  <c r="N8" i="5"/>
  <c r="M8" i="5"/>
  <c r="L8" i="5"/>
  <c r="E8" i="5"/>
  <c r="AG7" i="5"/>
  <c r="AE7" i="5"/>
  <c r="AF7" i="5" s="1"/>
  <c r="Q7" i="5"/>
  <c r="AB7" i="5" s="1"/>
  <c r="O7" i="5"/>
  <c r="N7" i="5"/>
  <c r="M7" i="5"/>
  <c r="L7" i="5"/>
  <c r="E7" i="5"/>
  <c r="AF6" i="5"/>
  <c r="AE6" i="5"/>
  <c r="AG6" i="5" s="1"/>
  <c r="Z6" i="5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Z24" i="5" s="1"/>
  <c r="Z25" i="5" s="1"/>
  <c r="Z26" i="5" s="1"/>
  <c r="Z27" i="5" s="1"/>
  <c r="Z28" i="5" s="1"/>
  <c r="Z29" i="5" s="1"/>
  <c r="Z30" i="5" s="1"/>
  <c r="Z31" i="5" s="1"/>
  <c r="Z32" i="5" s="1"/>
  <c r="Z33" i="5" s="1"/>
  <c r="Z34" i="5" s="1"/>
  <c r="Z35" i="5" s="1"/>
  <c r="Z36" i="5" s="1"/>
  <c r="Z37" i="5" s="1"/>
  <c r="Z38" i="5" s="1"/>
  <c r="Z39" i="5" s="1"/>
  <c r="Z40" i="5" s="1"/>
  <c r="Z41" i="5" s="1"/>
  <c r="Z42" i="5" s="1"/>
  <c r="Z43" i="5" s="1"/>
  <c r="Z44" i="5" s="1"/>
  <c r="Z45" i="5" s="1"/>
  <c r="Z46" i="5" s="1"/>
  <c r="Z47" i="5" s="1"/>
  <c r="Z48" i="5" s="1"/>
  <c r="Z49" i="5" s="1"/>
  <c r="Z50" i="5" s="1"/>
  <c r="Z51" i="5" s="1"/>
  <c r="Z52" i="5" s="1"/>
  <c r="Z53" i="5" s="1"/>
  <c r="Z54" i="5" s="1"/>
  <c r="Z55" i="5" s="1"/>
  <c r="Z56" i="5" s="1"/>
  <c r="Z57" i="5" s="1"/>
  <c r="Z58" i="5" s="1"/>
  <c r="Z59" i="5" s="1"/>
  <c r="Z60" i="5" s="1"/>
  <c r="Z61" i="5" s="1"/>
  <c r="Z62" i="5" s="1"/>
  <c r="Z63" i="5" s="1"/>
  <c r="Z64" i="5" s="1"/>
  <c r="Z65" i="5" s="1"/>
  <c r="Z66" i="5" s="1"/>
  <c r="Z67" i="5" s="1"/>
  <c r="Z68" i="5" s="1"/>
  <c r="Z69" i="5" s="1"/>
  <c r="Z70" i="5" s="1"/>
  <c r="Z71" i="5" s="1"/>
  <c r="Z72" i="5" s="1"/>
  <c r="Z73" i="5" s="1"/>
  <c r="Z74" i="5" s="1"/>
  <c r="Z75" i="5" s="1"/>
  <c r="Z76" i="5" s="1"/>
  <c r="Z77" i="5" s="1"/>
  <c r="Z78" i="5" s="1"/>
  <c r="Z79" i="5" s="1"/>
  <c r="Z80" i="5" s="1"/>
  <c r="Z81" i="5" s="1"/>
  <c r="Z82" i="5" s="1"/>
  <c r="Z83" i="5" s="1"/>
  <c r="Z84" i="5" s="1"/>
  <c r="Z85" i="5" s="1"/>
  <c r="Z86" i="5" s="1"/>
  <c r="Z87" i="5" s="1"/>
  <c r="Z88" i="5" s="1"/>
  <c r="Z89" i="5" s="1"/>
  <c r="Z90" i="5" s="1"/>
  <c r="Z91" i="5" s="1"/>
  <c r="Z92" i="5" s="1"/>
  <c r="Z93" i="5" s="1"/>
  <c r="Z94" i="5" s="1"/>
  <c r="Z95" i="5" s="1"/>
  <c r="Z96" i="5" s="1"/>
  <c r="Z97" i="5" s="1"/>
  <c r="Z98" i="5" s="1"/>
  <c r="Z99" i="5" s="1"/>
  <c r="Z100" i="5" s="1"/>
  <c r="Z101" i="5" s="1"/>
  <c r="Z102" i="5" s="1"/>
  <c r="Z103" i="5" s="1"/>
  <c r="Z104" i="5" s="1"/>
  <c r="Z105" i="5" s="1"/>
  <c r="Z106" i="5" s="1"/>
  <c r="Z107" i="5" s="1"/>
  <c r="Z108" i="5" s="1"/>
  <c r="Z109" i="5" s="1"/>
  <c r="Z110" i="5" s="1"/>
  <c r="Z111" i="5" s="1"/>
  <c r="Z112" i="5" s="1"/>
  <c r="Z113" i="5" s="1"/>
  <c r="Z114" i="5" s="1"/>
  <c r="Z115" i="5" s="1"/>
  <c r="Z116" i="5" s="1"/>
  <c r="Z117" i="5" s="1"/>
  <c r="Z118" i="5" s="1"/>
  <c r="Z119" i="5" s="1"/>
  <c r="Z120" i="5" s="1"/>
  <c r="Z121" i="5" s="1"/>
  <c r="Z122" i="5" s="1"/>
  <c r="Z123" i="5" s="1"/>
  <c r="Z124" i="5" s="1"/>
  <c r="Z125" i="5" s="1"/>
  <c r="Z126" i="5" s="1"/>
  <c r="Z127" i="5" s="1"/>
  <c r="Z128" i="5" s="1"/>
  <c r="Z129" i="5" s="1"/>
  <c r="Z130" i="5" s="1"/>
  <c r="Z131" i="5" s="1"/>
  <c r="Z132" i="5" s="1"/>
  <c r="Z133" i="5" s="1"/>
  <c r="Z134" i="5" s="1"/>
  <c r="Z135" i="5" s="1"/>
  <c r="Z136" i="5" s="1"/>
  <c r="Z137" i="5" s="1"/>
  <c r="Z138" i="5" s="1"/>
  <c r="Z139" i="5" s="1"/>
  <c r="Z140" i="5" s="1"/>
  <c r="Z141" i="5" s="1"/>
  <c r="Z142" i="5" s="1"/>
  <c r="Z143" i="5" s="1"/>
  <c r="Z144" i="5" s="1"/>
  <c r="Z145" i="5" s="1"/>
  <c r="Z146" i="5" s="1"/>
  <c r="Z147" i="5" s="1"/>
  <c r="Z148" i="5" s="1"/>
  <c r="Z149" i="5" s="1"/>
  <c r="Z150" i="5" s="1"/>
  <c r="Z151" i="5" s="1"/>
  <c r="Z152" i="5" s="1"/>
  <c r="Z153" i="5" s="1"/>
  <c r="Z154" i="5" s="1"/>
  <c r="Z155" i="5" s="1"/>
  <c r="Z156" i="5" s="1"/>
  <c r="Z157" i="5" s="1"/>
  <c r="Z158" i="5" s="1"/>
  <c r="Z159" i="5" s="1"/>
  <c r="Z160" i="5" s="1"/>
  <c r="Z161" i="5" s="1"/>
  <c r="Z162" i="5" s="1"/>
  <c r="Z163" i="5" s="1"/>
  <c r="Z164" i="5" s="1"/>
  <c r="Z165" i="5" s="1"/>
  <c r="Z166" i="5" s="1"/>
  <c r="Z167" i="5" s="1"/>
  <c r="Z168" i="5" s="1"/>
  <c r="Z169" i="5" s="1"/>
  <c r="Z170" i="5" s="1"/>
  <c r="Z171" i="5" s="1"/>
  <c r="Z172" i="5" s="1"/>
  <c r="Z173" i="5" s="1"/>
  <c r="Z174" i="5" s="1"/>
  <c r="Z175" i="5" s="1"/>
  <c r="Z176" i="5" s="1"/>
  <c r="Z177" i="5" s="1"/>
  <c r="Z178" i="5" s="1"/>
  <c r="Z179" i="5" s="1"/>
  <c r="Z180" i="5" s="1"/>
  <c r="Z181" i="5" s="1"/>
  <c r="Z182" i="5" s="1"/>
  <c r="Z183" i="5" s="1"/>
  <c r="Z184" i="5" s="1"/>
  <c r="Z185" i="5" s="1"/>
  <c r="Z186" i="5" s="1"/>
  <c r="Z187" i="5" s="1"/>
  <c r="Z188" i="5" s="1"/>
  <c r="Z189" i="5" s="1"/>
  <c r="Z190" i="5" s="1"/>
  <c r="Z191" i="5" s="1"/>
  <c r="Z192" i="5" s="1"/>
  <c r="Z193" i="5" s="1"/>
  <c r="Z194" i="5" s="1"/>
  <c r="Z195" i="5" s="1"/>
  <c r="Z196" i="5" s="1"/>
  <c r="Z197" i="5" s="1"/>
  <c r="Z198" i="5" s="1"/>
  <c r="Q6" i="5"/>
  <c r="AB6" i="5" s="1"/>
  <c r="O6" i="5"/>
  <c r="N6" i="5"/>
  <c r="M6" i="5"/>
  <c r="L6" i="5"/>
  <c r="E6" i="5"/>
  <c r="AJ5" i="5"/>
  <c r="AF5" i="5"/>
  <c r="AE5" i="5"/>
  <c r="AG5" i="5" s="1"/>
  <c r="AC5" i="5"/>
  <c r="AB5" i="5"/>
  <c r="AM5" i="5" s="1"/>
  <c r="AL5" i="5" s="1"/>
  <c r="Q5" i="5"/>
  <c r="O5" i="5"/>
  <c r="N5" i="5"/>
  <c r="M5" i="5"/>
  <c r="L5" i="5"/>
  <c r="I5" i="5"/>
  <c r="H5" i="5"/>
  <c r="G5" i="5"/>
  <c r="J5" i="5" s="1"/>
  <c r="AK5" i="5" s="1"/>
  <c r="F5" i="5"/>
  <c r="E5" i="5"/>
  <c r="F195" i="4"/>
  <c r="D198" i="5" s="1"/>
  <c r="E195" i="4"/>
  <c r="E196" i="4" s="1"/>
  <c r="B195" i="4"/>
  <c r="B198" i="5" s="1"/>
  <c r="F194" i="4"/>
  <c r="D197" i="5" s="1"/>
  <c r="E194" i="4"/>
  <c r="C197" i="5" s="1"/>
  <c r="F193" i="4"/>
  <c r="D196" i="5" s="1"/>
  <c r="E193" i="4"/>
  <c r="B193" i="4"/>
  <c r="B196" i="5" s="1"/>
  <c r="U192" i="4"/>
  <c r="F192" i="4"/>
  <c r="D195" i="5" s="1"/>
  <c r="E192" i="4"/>
  <c r="C195" i="5" s="1"/>
  <c r="B192" i="4"/>
  <c r="B195" i="5" s="1"/>
  <c r="F191" i="4"/>
  <c r="D194" i="5" s="1"/>
  <c r="E191" i="4"/>
  <c r="B191" i="4"/>
  <c r="B194" i="5" s="1"/>
  <c r="U190" i="4"/>
  <c r="F190" i="4"/>
  <c r="D193" i="5" s="1"/>
  <c r="E190" i="4"/>
  <c r="C193" i="5" s="1"/>
  <c r="B190" i="4"/>
  <c r="B193" i="5" s="1"/>
  <c r="F189" i="4"/>
  <c r="D192" i="5" s="1"/>
  <c r="E189" i="4"/>
  <c r="B189" i="4"/>
  <c r="B192" i="5" s="1"/>
  <c r="U188" i="4"/>
  <c r="T188" i="4"/>
  <c r="K188" i="4"/>
  <c r="F188" i="4"/>
  <c r="D191" i="5" s="1"/>
  <c r="E188" i="4"/>
  <c r="C191" i="5" s="1"/>
  <c r="B188" i="4"/>
  <c r="B191" i="5" s="1"/>
  <c r="T187" i="4"/>
  <c r="F187" i="4"/>
  <c r="D190" i="5" s="1"/>
  <c r="E187" i="4"/>
  <c r="B187" i="4"/>
  <c r="B190" i="5" s="1"/>
  <c r="F186" i="4"/>
  <c r="E186" i="4"/>
  <c r="C189" i="5" s="1"/>
  <c r="B186" i="4"/>
  <c r="B189" i="5" s="1"/>
  <c r="F185" i="4"/>
  <c r="D188" i="5" s="1"/>
  <c r="E185" i="4"/>
  <c r="O185" i="4" s="1"/>
  <c r="U184" i="4"/>
  <c r="T184" i="4"/>
  <c r="F184" i="4"/>
  <c r="D187" i="5" s="1"/>
  <c r="E184" i="4"/>
  <c r="C187" i="5" s="1"/>
  <c r="B184" i="4"/>
  <c r="B187" i="5" s="1"/>
  <c r="F183" i="4"/>
  <c r="D186" i="5" s="1"/>
  <c r="E183" i="4"/>
  <c r="H182" i="4"/>
  <c r="F182" i="4"/>
  <c r="D185" i="5" s="1"/>
  <c r="E182" i="4"/>
  <c r="C185" i="5" s="1"/>
  <c r="F181" i="4"/>
  <c r="D184" i="5" s="1"/>
  <c r="E181" i="4"/>
  <c r="B181" i="4"/>
  <c r="B184" i="5" s="1"/>
  <c r="U180" i="4"/>
  <c r="T180" i="4"/>
  <c r="K180" i="4"/>
  <c r="H180" i="4"/>
  <c r="F180" i="4"/>
  <c r="D183" i="5" s="1"/>
  <c r="E180" i="4"/>
  <c r="C183" i="5" s="1"/>
  <c r="B180" i="4"/>
  <c r="B183" i="5" s="1"/>
  <c r="F179" i="4"/>
  <c r="D182" i="5" s="1"/>
  <c r="E179" i="4"/>
  <c r="U178" i="4"/>
  <c r="F178" i="4"/>
  <c r="E178" i="4"/>
  <c r="C181" i="5" s="1"/>
  <c r="B178" i="4"/>
  <c r="B181" i="5" s="1"/>
  <c r="F177" i="4"/>
  <c r="E177" i="4"/>
  <c r="B177" i="4"/>
  <c r="B180" i="5" s="1"/>
  <c r="U176" i="4"/>
  <c r="T176" i="4"/>
  <c r="K176" i="4"/>
  <c r="F176" i="4"/>
  <c r="D179" i="5" s="1"/>
  <c r="E176" i="4"/>
  <c r="C179" i="5" s="1"/>
  <c r="B176" i="4"/>
  <c r="B179" i="5" s="1"/>
  <c r="F175" i="4"/>
  <c r="D178" i="5" s="1"/>
  <c r="E175" i="4"/>
  <c r="F174" i="4"/>
  <c r="E174" i="4"/>
  <c r="C177" i="5" s="1"/>
  <c r="B174" i="4"/>
  <c r="B177" i="5" s="1"/>
  <c r="F173" i="4"/>
  <c r="D176" i="5" s="1"/>
  <c r="E173" i="4"/>
  <c r="B173" i="4"/>
  <c r="B176" i="5" s="1"/>
  <c r="F172" i="4"/>
  <c r="D175" i="5" s="1"/>
  <c r="E172" i="4"/>
  <c r="C175" i="5" s="1"/>
  <c r="F171" i="4"/>
  <c r="D174" i="5" s="1"/>
  <c r="E171" i="4"/>
  <c r="H170" i="4"/>
  <c r="F170" i="4"/>
  <c r="D173" i="5" s="1"/>
  <c r="E170" i="4"/>
  <c r="C173" i="5" s="1"/>
  <c r="F169" i="4"/>
  <c r="D172" i="5" s="1"/>
  <c r="E169" i="4"/>
  <c r="B169" i="4"/>
  <c r="B172" i="5" s="1"/>
  <c r="K168" i="4"/>
  <c r="F168" i="4"/>
  <c r="D171" i="5" s="1"/>
  <c r="E168" i="4"/>
  <c r="C171" i="5" s="1"/>
  <c r="K167" i="4"/>
  <c r="F167" i="4"/>
  <c r="D170" i="5" s="1"/>
  <c r="E167" i="4"/>
  <c r="O166" i="4"/>
  <c r="F166" i="4"/>
  <c r="D169" i="5" s="1"/>
  <c r="E166" i="4"/>
  <c r="C169" i="5" s="1"/>
  <c r="O165" i="4"/>
  <c r="F165" i="4"/>
  <c r="D168" i="5" s="1"/>
  <c r="E165" i="4"/>
  <c r="K164" i="4"/>
  <c r="F164" i="4"/>
  <c r="D167" i="5" s="1"/>
  <c r="E164" i="4"/>
  <c r="C167" i="5" s="1"/>
  <c r="K163" i="4"/>
  <c r="F163" i="4"/>
  <c r="D166" i="5" s="1"/>
  <c r="E163" i="4"/>
  <c r="O162" i="4"/>
  <c r="F162" i="4"/>
  <c r="D165" i="5" s="1"/>
  <c r="E162" i="4"/>
  <c r="C165" i="5" s="1"/>
  <c r="O161" i="4"/>
  <c r="F161" i="4"/>
  <c r="D164" i="5" s="1"/>
  <c r="E161" i="4"/>
  <c r="K160" i="4"/>
  <c r="F160" i="4"/>
  <c r="D163" i="5" s="1"/>
  <c r="E160" i="4"/>
  <c r="C163" i="5" s="1"/>
  <c r="K159" i="4"/>
  <c r="F159" i="4"/>
  <c r="D162" i="5" s="1"/>
  <c r="E159" i="4"/>
  <c r="O158" i="4"/>
  <c r="F158" i="4"/>
  <c r="D161" i="5" s="1"/>
  <c r="E158" i="4"/>
  <c r="C161" i="5" s="1"/>
  <c r="O157" i="4"/>
  <c r="F157" i="4"/>
  <c r="D160" i="5" s="1"/>
  <c r="E157" i="4"/>
  <c r="K156" i="4"/>
  <c r="F156" i="4"/>
  <c r="D159" i="5" s="1"/>
  <c r="E156" i="4"/>
  <c r="C159" i="5" s="1"/>
  <c r="K155" i="4"/>
  <c r="F155" i="4"/>
  <c r="D158" i="5" s="1"/>
  <c r="E155" i="4"/>
  <c r="O154" i="4"/>
  <c r="F154" i="4"/>
  <c r="D157" i="5" s="1"/>
  <c r="E154" i="4"/>
  <c r="C157" i="5" s="1"/>
  <c r="B154" i="4"/>
  <c r="B157" i="5" s="1"/>
  <c r="O153" i="4"/>
  <c r="F153" i="4"/>
  <c r="D156" i="5" s="1"/>
  <c r="E153" i="4"/>
  <c r="K152" i="4"/>
  <c r="F152" i="4"/>
  <c r="D155" i="5" s="1"/>
  <c r="E152" i="4"/>
  <c r="C155" i="5" s="1"/>
  <c r="K151" i="4"/>
  <c r="F151" i="4"/>
  <c r="D154" i="5" s="1"/>
  <c r="E151" i="4"/>
  <c r="B151" i="4"/>
  <c r="B154" i="5" s="1"/>
  <c r="O150" i="4"/>
  <c r="F150" i="4"/>
  <c r="D153" i="5" s="1"/>
  <c r="E150" i="4"/>
  <c r="C153" i="5" s="1"/>
  <c r="B150" i="4"/>
  <c r="B153" i="5" s="1"/>
  <c r="O149" i="4"/>
  <c r="F149" i="4"/>
  <c r="D152" i="5" s="1"/>
  <c r="E149" i="4"/>
  <c r="U148" i="4"/>
  <c r="T148" i="4"/>
  <c r="K148" i="4"/>
  <c r="F148" i="4"/>
  <c r="D151" i="5" s="1"/>
  <c r="E148" i="4"/>
  <c r="C151" i="5" s="1"/>
  <c r="B148" i="4"/>
  <c r="B151" i="5" s="1"/>
  <c r="F147" i="4"/>
  <c r="D150" i="5" s="1"/>
  <c r="E147" i="4"/>
  <c r="F146" i="4"/>
  <c r="E146" i="4"/>
  <c r="C149" i="5" s="1"/>
  <c r="F145" i="4"/>
  <c r="D148" i="5" s="1"/>
  <c r="E145" i="4"/>
  <c r="B145" i="4"/>
  <c r="B148" i="5" s="1"/>
  <c r="U144" i="4"/>
  <c r="T144" i="4"/>
  <c r="F144" i="4"/>
  <c r="D147" i="5" s="1"/>
  <c r="E144" i="4"/>
  <c r="C147" i="5" s="1"/>
  <c r="B144" i="4"/>
  <c r="B147" i="5" s="1"/>
  <c r="F143" i="4"/>
  <c r="D146" i="5" s="1"/>
  <c r="E143" i="4"/>
  <c r="O142" i="4"/>
  <c r="F142" i="4"/>
  <c r="D145" i="5" s="1"/>
  <c r="E142" i="4"/>
  <c r="C145" i="5" s="1"/>
  <c r="B142" i="4"/>
  <c r="B145" i="5" s="1"/>
  <c r="F141" i="4"/>
  <c r="D144" i="5" s="1"/>
  <c r="E141" i="4"/>
  <c r="B141" i="4"/>
  <c r="B144" i="5" s="1"/>
  <c r="K140" i="4"/>
  <c r="F140" i="4"/>
  <c r="D143" i="5" s="1"/>
  <c r="E140" i="4"/>
  <c r="C143" i="5" s="1"/>
  <c r="F139" i="4"/>
  <c r="D142" i="5" s="1"/>
  <c r="E139" i="4"/>
  <c r="B139" i="4"/>
  <c r="B142" i="5" s="1"/>
  <c r="F138" i="4"/>
  <c r="E138" i="4"/>
  <c r="C141" i="5" s="1"/>
  <c r="B138" i="4"/>
  <c r="B141" i="5" s="1"/>
  <c r="O137" i="4"/>
  <c r="F137" i="4"/>
  <c r="D140" i="5" s="1"/>
  <c r="E137" i="4"/>
  <c r="F136" i="4"/>
  <c r="D139" i="5" s="1"/>
  <c r="E136" i="4"/>
  <c r="F135" i="4"/>
  <c r="D138" i="5" s="1"/>
  <c r="E135" i="4"/>
  <c r="C138" i="5" s="1"/>
  <c r="O134" i="4"/>
  <c r="K134" i="4"/>
  <c r="F134" i="4"/>
  <c r="D137" i="5" s="1"/>
  <c r="E134" i="4"/>
  <c r="C137" i="5" s="1"/>
  <c r="F133" i="4"/>
  <c r="D136" i="5" s="1"/>
  <c r="E133" i="4"/>
  <c r="B133" i="4"/>
  <c r="B136" i="5" s="1"/>
  <c r="T132" i="4"/>
  <c r="F132" i="4"/>
  <c r="D135" i="5" s="1"/>
  <c r="E132" i="4"/>
  <c r="B132" i="4"/>
  <c r="B135" i="5" s="1"/>
  <c r="H131" i="4"/>
  <c r="F131" i="4"/>
  <c r="D134" i="5" s="1"/>
  <c r="E131" i="4"/>
  <c r="C134" i="5" s="1"/>
  <c r="B131" i="4"/>
  <c r="O130" i="4"/>
  <c r="F130" i="4"/>
  <c r="D133" i="5" s="1"/>
  <c r="E130" i="4"/>
  <c r="T130" i="4" s="1"/>
  <c r="B130" i="4"/>
  <c r="B133" i="5" s="1"/>
  <c r="H129" i="4"/>
  <c r="F129" i="4"/>
  <c r="D132" i="5" s="1"/>
  <c r="E129" i="4"/>
  <c r="O128" i="4"/>
  <c r="H128" i="4"/>
  <c r="F128" i="4"/>
  <c r="D131" i="5" s="1"/>
  <c r="E128" i="4"/>
  <c r="B128" i="4"/>
  <c r="B131" i="5" s="1"/>
  <c r="U127" i="4"/>
  <c r="H127" i="4"/>
  <c r="F127" i="4"/>
  <c r="D130" i="5" s="1"/>
  <c r="E127" i="4"/>
  <c r="C130" i="5" s="1"/>
  <c r="B127" i="4"/>
  <c r="B130" i="5" s="1"/>
  <c r="O126" i="4"/>
  <c r="F126" i="4"/>
  <c r="D129" i="5" s="1"/>
  <c r="E126" i="4"/>
  <c r="H125" i="4"/>
  <c r="F125" i="4"/>
  <c r="D128" i="5" s="1"/>
  <c r="E125" i="4"/>
  <c r="B125" i="4"/>
  <c r="B128" i="5" s="1"/>
  <c r="O124" i="4"/>
  <c r="F124" i="4"/>
  <c r="D127" i="5" s="1"/>
  <c r="E124" i="4"/>
  <c r="B124" i="4"/>
  <c r="B127" i="5" s="1"/>
  <c r="F123" i="4"/>
  <c r="D126" i="5" s="1"/>
  <c r="E123" i="4"/>
  <c r="C126" i="5" s="1"/>
  <c r="F122" i="4"/>
  <c r="D125" i="5" s="1"/>
  <c r="E122" i="4"/>
  <c r="B122" i="4"/>
  <c r="B125" i="5" s="1"/>
  <c r="U121" i="4"/>
  <c r="F121" i="4"/>
  <c r="D124" i="5" s="1"/>
  <c r="E121" i="4"/>
  <c r="B121" i="4"/>
  <c r="B124" i="5" s="1"/>
  <c r="F120" i="4"/>
  <c r="D123" i="5" s="1"/>
  <c r="E120" i="4"/>
  <c r="B120" i="4"/>
  <c r="B123" i="5" s="1"/>
  <c r="F119" i="4"/>
  <c r="D122" i="5" s="1"/>
  <c r="E119" i="4"/>
  <c r="C122" i="5" s="1"/>
  <c r="B119" i="4"/>
  <c r="B122" i="5" s="1"/>
  <c r="F118" i="4"/>
  <c r="E118" i="4"/>
  <c r="B118" i="4"/>
  <c r="B121" i="5" s="1"/>
  <c r="F117" i="4"/>
  <c r="D120" i="5" s="1"/>
  <c r="E117" i="4"/>
  <c r="B117" i="4"/>
  <c r="B120" i="5" s="1"/>
  <c r="K116" i="4"/>
  <c r="H116" i="4"/>
  <c r="F116" i="4"/>
  <c r="D119" i="5" s="1"/>
  <c r="E116" i="4"/>
  <c r="B116" i="4"/>
  <c r="B119" i="5" s="1"/>
  <c r="F115" i="4"/>
  <c r="D118" i="5" s="1"/>
  <c r="E115" i="4"/>
  <c r="C118" i="5" s="1"/>
  <c r="K114" i="4"/>
  <c r="F114" i="4"/>
  <c r="D117" i="5" s="1"/>
  <c r="E114" i="4"/>
  <c r="H115" i="4" s="1"/>
  <c r="F113" i="4"/>
  <c r="D116" i="5" s="1"/>
  <c r="E113" i="4"/>
  <c r="K112" i="4"/>
  <c r="F112" i="4"/>
  <c r="D115" i="5" s="1"/>
  <c r="E112" i="4"/>
  <c r="H113" i="4" s="1"/>
  <c r="F111" i="4"/>
  <c r="D114" i="5" s="1"/>
  <c r="E111" i="4"/>
  <c r="C114" i="5" s="1"/>
  <c r="K110" i="4"/>
  <c r="F110" i="4"/>
  <c r="D113" i="5" s="1"/>
  <c r="E110" i="4"/>
  <c r="H111" i="4" s="1"/>
  <c r="F109" i="4"/>
  <c r="D112" i="5" s="1"/>
  <c r="E109" i="4"/>
  <c r="K108" i="4"/>
  <c r="F108" i="4"/>
  <c r="D111" i="5" s="1"/>
  <c r="E108" i="4"/>
  <c r="H109" i="4" s="1"/>
  <c r="B108" i="4"/>
  <c r="B111" i="5" s="1"/>
  <c r="H107" i="4"/>
  <c r="F110" i="5" s="1"/>
  <c r="F107" i="4"/>
  <c r="D110" i="5" s="1"/>
  <c r="E107" i="4"/>
  <c r="C110" i="5" s="1"/>
  <c r="O106" i="4"/>
  <c r="F106" i="4"/>
  <c r="D109" i="5" s="1"/>
  <c r="E106" i="4"/>
  <c r="F105" i="4"/>
  <c r="D108" i="5" s="1"/>
  <c r="E105" i="4"/>
  <c r="O104" i="4"/>
  <c r="K104" i="4"/>
  <c r="F104" i="4"/>
  <c r="D107" i="5" s="1"/>
  <c r="E104" i="4"/>
  <c r="H103" i="4"/>
  <c r="F106" i="5" s="1"/>
  <c r="F103" i="4"/>
  <c r="D106" i="5" s="1"/>
  <c r="E103" i="4"/>
  <c r="C106" i="5" s="1"/>
  <c r="O102" i="4"/>
  <c r="F102" i="4"/>
  <c r="D105" i="5" s="1"/>
  <c r="E102" i="4"/>
  <c r="H101" i="4"/>
  <c r="F101" i="4"/>
  <c r="D104" i="5" s="1"/>
  <c r="E101" i="4"/>
  <c r="O100" i="4"/>
  <c r="K100" i="4"/>
  <c r="F100" i="4"/>
  <c r="D103" i="5" s="1"/>
  <c r="E100" i="4"/>
  <c r="B100" i="4"/>
  <c r="B103" i="5" s="1"/>
  <c r="I99" i="4"/>
  <c r="H99" i="4"/>
  <c r="F102" i="5" s="1"/>
  <c r="F99" i="4"/>
  <c r="D102" i="5" s="1"/>
  <c r="E99" i="4"/>
  <c r="C102" i="5" s="1"/>
  <c r="O98" i="4"/>
  <c r="K98" i="4"/>
  <c r="F98" i="4"/>
  <c r="D101" i="5" s="1"/>
  <c r="E98" i="4"/>
  <c r="U97" i="4"/>
  <c r="H97" i="4"/>
  <c r="F97" i="4"/>
  <c r="D100" i="5" s="1"/>
  <c r="E97" i="4"/>
  <c r="B97" i="4"/>
  <c r="B100" i="5" s="1"/>
  <c r="O96" i="4"/>
  <c r="H96" i="4"/>
  <c r="F96" i="4"/>
  <c r="D99" i="5" s="1"/>
  <c r="E96" i="4"/>
  <c r="U95" i="4"/>
  <c r="H95" i="4"/>
  <c r="I95" i="4" s="1"/>
  <c r="F95" i="4"/>
  <c r="D98" i="5" s="1"/>
  <c r="E95" i="4"/>
  <c r="C98" i="5" s="1"/>
  <c r="B95" i="4"/>
  <c r="B98" i="5" s="1"/>
  <c r="O94" i="4"/>
  <c r="F94" i="4"/>
  <c r="D97" i="5" s="1"/>
  <c r="E94" i="4"/>
  <c r="B94" i="4"/>
  <c r="B97" i="5" s="1"/>
  <c r="F93" i="4"/>
  <c r="D96" i="5" s="1"/>
  <c r="E93" i="4"/>
  <c r="F92" i="4"/>
  <c r="D95" i="5" s="1"/>
  <c r="E92" i="4"/>
  <c r="H93" i="4" s="1"/>
  <c r="H91" i="4"/>
  <c r="F91" i="4"/>
  <c r="D94" i="5" s="1"/>
  <c r="E91" i="4"/>
  <c r="C94" i="5" s="1"/>
  <c r="O90" i="4"/>
  <c r="F90" i="4"/>
  <c r="D93" i="5" s="1"/>
  <c r="E90" i="4"/>
  <c r="F89" i="4"/>
  <c r="D92" i="5" s="1"/>
  <c r="E89" i="4"/>
  <c r="B89" i="4"/>
  <c r="B92" i="5" s="1"/>
  <c r="F88" i="4"/>
  <c r="D91" i="5" s="1"/>
  <c r="E88" i="4"/>
  <c r="U87" i="4"/>
  <c r="F87" i="4"/>
  <c r="D90" i="5" s="1"/>
  <c r="E87" i="4"/>
  <c r="C90" i="5" s="1"/>
  <c r="B87" i="4"/>
  <c r="B90" i="5" s="1"/>
  <c r="T86" i="4"/>
  <c r="F86" i="4"/>
  <c r="D89" i="5" s="1"/>
  <c r="E86" i="4"/>
  <c r="B86" i="4"/>
  <c r="B89" i="5" s="1"/>
  <c r="F85" i="4"/>
  <c r="D88" i="5" s="1"/>
  <c r="E85" i="4"/>
  <c r="B85" i="4"/>
  <c r="B88" i="5" s="1"/>
  <c r="F84" i="4"/>
  <c r="D87" i="5" s="1"/>
  <c r="E84" i="4"/>
  <c r="F83" i="4"/>
  <c r="D86" i="5" s="1"/>
  <c r="E83" i="4"/>
  <c r="C86" i="5" s="1"/>
  <c r="F82" i="4"/>
  <c r="E82" i="4"/>
  <c r="F81" i="4"/>
  <c r="D84" i="5" s="1"/>
  <c r="E81" i="4"/>
  <c r="F80" i="4"/>
  <c r="D83" i="5" s="1"/>
  <c r="E80" i="4"/>
  <c r="F79" i="4"/>
  <c r="D82" i="5" s="1"/>
  <c r="E79" i="4"/>
  <c r="C82" i="5" s="1"/>
  <c r="F78" i="4"/>
  <c r="D81" i="5" s="1"/>
  <c r="E78" i="4"/>
  <c r="F77" i="4"/>
  <c r="D80" i="5" s="1"/>
  <c r="E77" i="4"/>
  <c r="T76" i="4"/>
  <c r="F76" i="4"/>
  <c r="D79" i="5" s="1"/>
  <c r="E76" i="4"/>
  <c r="B76" i="4"/>
  <c r="B79" i="5" s="1"/>
  <c r="U75" i="4"/>
  <c r="F75" i="4"/>
  <c r="D78" i="5" s="1"/>
  <c r="E75" i="4"/>
  <c r="C78" i="5" s="1"/>
  <c r="B75" i="4"/>
  <c r="B78" i="5" s="1"/>
  <c r="F74" i="4"/>
  <c r="D77" i="5" s="1"/>
  <c r="E74" i="4"/>
  <c r="F73" i="4"/>
  <c r="D76" i="5" s="1"/>
  <c r="E73" i="4"/>
  <c r="F72" i="4"/>
  <c r="D75" i="5" s="1"/>
  <c r="E72" i="4"/>
  <c r="U71" i="4"/>
  <c r="F71" i="4"/>
  <c r="D74" i="5" s="1"/>
  <c r="E71" i="4"/>
  <c r="C74" i="5" s="1"/>
  <c r="B71" i="4"/>
  <c r="B74" i="5" s="1"/>
  <c r="F70" i="4"/>
  <c r="D73" i="5" s="1"/>
  <c r="E70" i="4"/>
  <c r="F69" i="4"/>
  <c r="D72" i="5" s="1"/>
  <c r="E69" i="4"/>
  <c r="F68" i="4"/>
  <c r="D71" i="5" s="1"/>
  <c r="E68" i="4"/>
  <c r="F67" i="4"/>
  <c r="D70" i="5" s="1"/>
  <c r="E67" i="4"/>
  <c r="C70" i="5" s="1"/>
  <c r="F66" i="4"/>
  <c r="D69" i="5" s="1"/>
  <c r="E66" i="4"/>
  <c r="F65" i="4"/>
  <c r="D68" i="5" s="1"/>
  <c r="E65" i="4"/>
  <c r="F64" i="4"/>
  <c r="E64" i="4"/>
  <c r="B64" i="4"/>
  <c r="B67" i="5" s="1"/>
  <c r="F63" i="4"/>
  <c r="D66" i="5" s="1"/>
  <c r="E63" i="4"/>
  <c r="C66" i="5" s="1"/>
  <c r="K62" i="4"/>
  <c r="F62" i="4"/>
  <c r="E62" i="4"/>
  <c r="B62" i="4"/>
  <c r="B65" i="5" s="1"/>
  <c r="F61" i="4"/>
  <c r="D64" i="5" s="1"/>
  <c r="E61" i="4"/>
  <c r="K60" i="4"/>
  <c r="J60" i="4"/>
  <c r="H60" i="4"/>
  <c r="F60" i="4"/>
  <c r="D63" i="5" s="1"/>
  <c r="E60" i="4"/>
  <c r="H61" i="4" s="1"/>
  <c r="F59" i="4"/>
  <c r="D62" i="5" s="1"/>
  <c r="E59" i="4"/>
  <c r="C62" i="5" s="1"/>
  <c r="F58" i="4"/>
  <c r="D61" i="5" s="1"/>
  <c r="E58" i="4"/>
  <c r="H59" i="4" s="1"/>
  <c r="B58" i="4"/>
  <c r="B61" i="5" s="1"/>
  <c r="F57" i="4"/>
  <c r="D60" i="5" s="1"/>
  <c r="E57" i="4"/>
  <c r="B57" i="4"/>
  <c r="B60" i="5" s="1"/>
  <c r="K56" i="4"/>
  <c r="F56" i="4"/>
  <c r="D59" i="5" s="1"/>
  <c r="E56" i="4"/>
  <c r="H57" i="4" s="1"/>
  <c r="F55" i="4"/>
  <c r="D58" i="5" s="1"/>
  <c r="E55" i="4"/>
  <c r="C58" i="5" s="1"/>
  <c r="F54" i="4"/>
  <c r="D57" i="5" s="1"/>
  <c r="E54" i="4"/>
  <c r="H55" i="4" s="1"/>
  <c r="F53" i="4"/>
  <c r="D56" i="5" s="1"/>
  <c r="E53" i="4"/>
  <c r="K54" i="4" s="1"/>
  <c r="B53" i="4"/>
  <c r="B56" i="5" s="1"/>
  <c r="K52" i="4"/>
  <c r="F52" i="4"/>
  <c r="D55" i="5" s="1"/>
  <c r="E52" i="4"/>
  <c r="B52" i="4"/>
  <c r="B55" i="5" s="1"/>
  <c r="H51" i="4"/>
  <c r="F51" i="4"/>
  <c r="D54" i="5" s="1"/>
  <c r="E51" i="4"/>
  <c r="C54" i="5" s="1"/>
  <c r="O50" i="4"/>
  <c r="F50" i="4"/>
  <c r="D53" i="5" s="1"/>
  <c r="E50" i="4"/>
  <c r="F49" i="4"/>
  <c r="D52" i="5" s="1"/>
  <c r="E49" i="4"/>
  <c r="B49" i="4"/>
  <c r="B52" i="5" s="1"/>
  <c r="O48" i="4"/>
  <c r="K48" i="4"/>
  <c r="F48" i="4"/>
  <c r="D51" i="5" s="1"/>
  <c r="E48" i="4"/>
  <c r="H47" i="4"/>
  <c r="F47" i="4"/>
  <c r="D50" i="5" s="1"/>
  <c r="E47" i="4"/>
  <c r="C50" i="5" s="1"/>
  <c r="O46" i="4"/>
  <c r="F46" i="4"/>
  <c r="D49" i="5" s="1"/>
  <c r="E46" i="4"/>
  <c r="B46" i="4"/>
  <c r="B49" i="5" s="1"/>
  <c r="U45" i="4"/>
  <c r="I45" i="4"/>
  <c r="H45" i="4"/>
  <c r="F45" i="4"/>
  <c r="D48" i="5" s="1"/>
  <c r="E45" i="4"/>
  <c r="B45" i="4"/>
  <c r="B48" i="5" s="1"/>
  <c r="O44" i="4"/>
  <c r="J44" i="4"/>
  <c r="H44" i="4"/>
  <c r="F44" i="4"/>
  <c r="D47" i="5" s="1"/>
  <c r="E44" i="4"/>
  <c r="I43" i="4"/>
  <c r="H43" i="4"/>
  <c r="F43" i="4"/>
  <c r="D46" i="5" s="1"/>
  <c r="E43" i="4"/>
  <c r="C46" i="5" s="1"/>
  <c r="O42" i="4"/>
  <c r="F42" i="4"/>
  <c r="D45" i="5" s="1"/>
  <c r="E42" i="4"/>
  <c r="B42" i="4"/>
  <c r="B45" i="5" s="1"/>
  <c r="F41" i="4"/>
  <c r="D44" i="5" s="1"/>
  <c r="E41" i="4"/>
  <c r="O40" i="4"/>
  <c r="F40" i="4"/>
  <c r="D43" i="5" s="1"/>
  <c r="E40" i="4"/>
  <c r="B40" i="4"/>
  <c r="B43" i="5" s="1"/>
  <c r="F39" i="4"/>
  <c r="D42" i="5" s="1"/>
  <c r="E39" i="4"/>
  <c r="C42" i="5" s="1"/>
  <c r="F38" i="4"/>
  <c r="E38" i="4"/>
  <c r="B38" i="4"/>
  <c r="B41" i="5" s="1"/>
  <c r="F37" i="4"/>
  <c r="D40" i="5" s="1"/>
  <c r="E37" i="4"/>
  <c r="H36" i="4"/>
  <c r="F36" i="4"/>
  <c r="D39" i="5" s="1"/>
  <c r="E36" i="4"/>
  <c r="B36" i="4"/>
  <c r="B39" i="5" s="1"/>
  <c r="F35" i="4"/>
  <c r="D38" i="5" s="1"/>
  <c r="E35" i="4"/>
  <c r="C38" i="5" s="1"/>
  <c r="U34" i="4"/>
  <c r="F34" i="4"/>
  <c r="E34" i="4"/>
  <c r="B34" i="4"/>
  <c r="B37" i="5" s="1"/>
  <c r="F33" i="4"/>
  <c r="D36" i="5" s="1"/>
  <c r="E33" i="4"/>
  <c r="K32" i="4"/>
  <c r="F32" i="4"/>
  <c r="D35" i="5" s="1"/>
  <c r="E32" i="4"/>
  <c r="F31" i="4"/>
  <c r="D34" i="5" s="1"/>
  <c r="E31" i="4"/>
  <c r="C34" i="5" s="1"/>
  <c r="B31" i="4"/>
  <c r="F30" i="4"/>
  <c r="D33" i="5" s="1"/>
  <c r="E30" i="4"/>
  <c r="H31" i="4" s="1"/>
  <c r="F29" i="4"/>
  <c r="D32" i="5" s="1"/>
  <c r="E29" i="4"/>
  <c r="K28" i="4"/>
  <c r="F28" i="4"/>
  <c r="D31" i="5" s="1"/>
  <c r="E28" i="4"/>
  <c r="F27" i="4"/>
  <c r="D30" i="5" s="1"/>
  <c r="E27" i="4"/>
  <c r="C30" i="5" s="1"/>
  <c r="K26" i="4"/>
  <c r="F26" i="4"/>
  <c r="D29" i="5" s="1"/>
  <c r="E26" i="4"/>
  <c r="H27" i="4" s="1"/>
  <c r="F25" i="4"/>
  <c r="D28" i="5" s="1"/>
  <c r="E25" i="4"/>
  <c r="K24" i="4"/>
  <c r="F24" i="4"/>
  <c r="D27" i="5" s="1"/>
  <c r="E24" i="4"/>
  <c r="F23" i="4"/>
  <c r="D26" i="5" s="1"/>
  <c r="E23" i="4"/>
  <c r="C26" i="5" s="1"/>
  <c r="F22" i="4"/>
  <c r="D25" i="5" s="1"/>
  <c r="E22" i="4"/>
  <c r="H23" i="4" s="1"/>
  <c r="F21" i="4"/>
  <c r="D24" i="5" s="1"/>
  <c r="E21" i="4"/>
  <c r="K20" i="4"/>
  <c r="F20" i="4"/>
  <c r="D23" i="5" s="1"/>
  <c r="E20" i="4"/>
  <c r="F19" i="4"/>
  <c r="D22" i="5" s="1"/>
  <c r="E19" i="4"/>
  <c r="C22" i="5" s="1"/>
  <c r="F18" i="4"/>
  <c r="D21" i="5" s="1"/>
  <c r="E18" i="4"/>
  <c r="H19" i="4" s="1"/>
  <c r="F17" i="4"/>
  <c r="D20" i="5" s="1"/>
  <c r="E17" i="4"/>
  <c r="K16" i="4"/>
  <c r="F16" i="4"/>
  <c r="D19" i="5" s="1"/>
  <c r="E16" i="4"/>
  <c r="F15" i="4"/>
  <c r="D18" i="5" s="1"/>
  <c r="E15" i="4"/>
  <c r="C18" i="5" s="1"/>
  <c r="K14" i="4"/>
  <c r="F14" i="4"/>
  <c r="D17" i="5" s="1"/>
  <c r="E14" i="4"/>
  <c r="F13" i="4"/>
  <c r="D16" i="5" s="1"/>
  <c r="E13" i="4"/>
  <c r="B13" i="4"/>
  <c r="B16" i="5" s="1"/>
  <c r="K12" i="4"/>
  <c r="F12" i="4"/>
  <c r="D15" i="5" s="1"/>
  <c r="E12" i="4"/>
  <c r="F11" i="4"/>
  <c r="D14" i="5" s="1"/>
  <c r="E11" i="4"/>
  <c r="C14" i="5" s="1"/>
  <c r="B11" i="4"/>
  <c r="F10" i="4"/>
  <c r="D13" i="5" s="1"/>
  <c r="E10" i="4"/>
  <c r="F9" i="4"/>
  <c r="D12" i="5" s="1"/>
  <c r="E9" i="4"/>
  <c r="F8" i="4"/>
  <c r="D11" i="5" s="1"/>
  <c r="E8" i="4"/>
  <c r="K8" i="4" s="1"/>
  <c r="I7" i="4"/>
  <c r="H7" i="4"/>
  <c r="F10" i="5" s="1"/>
  <c r="F7" i="4"/>
  <c r="D10" i="5" s="1"/>
  <c r="E7" i="4"/>
  <c r="C10" i="5" s="1"/>
  <c r="T6" i="4"/>
  <c r="O6" i="4"/>
  <c r="F6" i="4"/>
  <c r="D9" i="5" s="1"/>
  <c r="E6" i="4"/>
  <c r="B6" i="4"/>
  <c r="B9" i="5" s="1"/>
  <c r="F5" i="4"/>
  <c r="D8" i="5" s="1"/>
  <c r="E5" i="4"/>
  <c r="F4" i="4"/>
  <c r="D7" i="5" s="1"/>
  <c r="E4" i="4"/>
  <c r="F3" i="4"/>
  <c r="D6" i="5" s="1"/>
  <c r="E3" i="4"/>
  <c r="T3" i="4" s="1"/>
  <c r="B3" i="4"/>
  <c r="A3" i="4"/>
  <c r="A4" i="4" s="1"/>
  <c r="B4" i="4" s="1"/>
  <c r="B7" i="5" s="1"/>
  <c r="O2" i="4"/>
  <c r="J2" i="4"/>
  <c r="I2" i="4"/>
  <c r="F2" i="4"/>
  <c r="D5" i="5" s="1"/>
  <c r="E2" i="4"/>
  <c r="T2" i="4" s="1"/>
  <c r="B2" i="4"/>
  <c r="B5" i="5" s="1"/>
  <c r="G988" i="9"/>
  <c r="G987" i="9"/>
  <c r="G986" i="9"/>
  <c r="G985" i="9"/>
  <c r="G984" i="9"/>
  <c r="G983" i="9"/>
  <c r="G982" i="9"/>
  <c r="G981" i="9"/>
  <c r="G980" i="9"/>
  <c r="G979" i="9"/>
  <c r="D979" i="9"/>
  <c r="F979" i="9" s="1"/>
  <c r="C979" i="9"/>
  <c r="C980" i="9" s="1"/>
  <c r="E971" i="9"/>
  <c r="D971" i="9"/>
  <c r="C971" i="9"/>
  <c r="C968" i="9"/>
  <c r="E967" i="9"/>
  <c r="D967" i="9"/>
  <c r="I966" i="9"/>
  <c r="E966" i="9"/>
  <c r="D966" i="9"/>
  <c r="E965" i="9"/>
  <c r="D965" i="9"/>
  <c r="D964" i="9"/>
  <c r="C963" i="9"/>
  <c r="D963" i="9" s="1"/>
  <c r="E963" i="9" s="1"/>
  <c r="E962" i="9"/>
  <c r="D962" i="9"/>
  <c r="J960" i="9"/>
  <c r="I960" i="9"/>
  <c r="C960" i="9"/>
  <c r="C961" i="9" s="1"/>
  <c r="C959" i="9"/>
  <c r="E958" i="9"/>
  <c r="D958" i="9"/>
  <c r="C958" i="9"/>
  <c r="C955" i="9"/>
  <c r="E954" i="9"/>
  <c r="D954" i="9"/>
  <c r="D953" i="9"/>
  <c r="E953" i="9" s="1"/>
  <c r="C953" i="9"/>
  <c r="D952" i="9"/>
  <c r="E952" i="9" s="1"/>
  <c r="C951" i="9"/>
  <c r="C956" i="9" s="1"/>
  <c r="H960" i="9" s="1"/>
  <c r="D950" i="9"/>
  <c r="E949" i="9"/>
  <c r="D949" i="9"/>
  <c r="G931" i="9"/>
  <c r="G930" i="9"/>
  <c r="G929" i="9"/>
  <c r="G928" i="9"/>
  <c r="G927" i="9"/>
  <c r="G926" i="9"/>
  <c r="G925" i="9"/>
  <c r="G924" i="9"/>
  <c r="C924" i="9"/>
  <c r="E916" i="9"/>
  <c r="D916" i="9"/>
  <c r="C916" i="9"/>
  <c r="C913" i="9"/>
  <c r="D912" i="9"/>
  <c r="I911" i="9"/>
  <c r="D911" i="9"/>
  <c r="E911" i="9" s="1"/>
  <c r="E910" i="9"/>
  <c r="D910" i="9"/>
  <c r="E909" i="9"/>
  <c r="D909" i="9"/>
  <c r="E908" i="9"/>
  <c r="D908" i="9"/>
  <c r="C908" i="9"/>
  <c r="E907" i="9"/>
  <c r="D907" i="9"/>
  <c r="I905" i="9"/>
  <c r="E903" i="9"/>
  <c r="D903" i="9"/>
  <c r="C903" i="9"/>
  <c r="C900" i="9"/>
  <c r="C901" i="9" s="1"/>
  <c r="H905" i="9" s="1"/>
  <c r="J905" i="9" s="1"/>
  <c r="E899" i="9"/>
  <c r="D899" i="9"/>
  <c r="C898" i="9"/>
  <c r="D898" i="9" s="1"/>
  <c r="E898" i="9" s="1"/>
  <c r="E904" i="9" s="1"/>
  <c r="E905" i="9" s="1"/>
  <c r="E897" i="9"/>
  <c r="D897" i="9"/>
  <c r="D896" i="9"/>
  <c r="C896" i="9"/>
  <c r="E895" i="9"/>
  <c r="D895" i="9"/>
  <c r="E894" i="9"/>
  <c r="E896" i="9" s="1"/>
  <c r="D894" i="9"/>
  <c r="G875" i="9"/>
  <c r="G874" i="9"/>
  <c r="G873" i="9"/>
  <c r="G872" i="9"/>
  <c r="G871" i="9"/>
  <c r="G870" i="9"/>
  <c r="C870" i="9"/>
  <c r="D870" i="9" s="1"/>
  <c r="F870" i="9" s="1"/>
  <c r="G869" i="9"/>
  <c r="F869" i="9"/>
  <c r="D869" i="9"/>
  <c r="C869" i="9"/>
  <c r="D861" i="9"/>
  <c r="E861" i="9" s="1"/>
  <c r="C861" i="9"/>
  <c r="C858" i="9"/>
  <c r="E857" i="9"/>
  <c r="D857" i="9"/>
  <c r="I856" i="9"/>
  <c r="I850" i="9" s="1"/>
  <c r="E856" i="9"/>
  <c r="D856" i="9"/>
  <c r="E855" i="9"/>
  <c r="D855" i="9"/>
  <c r="E854" i="9"/>
  <c r="E858" i="9" s="1"/>
  <c r="D854" i="9"/>
  <c r="D858" i="9" s="1"/>
  <c r="D853" i="9"/>
  <c r="E853" i="9" s="1"/>
  <c r="C853" i="9"/>
  <c r="D852" i="9"/>
  <c r="E852" i="9" s="1"/>
  <c r="D849" i="9"/>
  <c r="D850" i="9" s="1"/>
  <c r="C849" i="9"/>
  <c r="C850" i="9" s="1"/>
  <c r="C851" i="9" s="1"/>
  <c r="D848" i="9"/>
  <c r="C848" i="9"/>
  <c r="E845" i="9"/>
  <c r="E846" i="9" s="1"/>
  <c r="C845" i="9"/>
  <c r="E844" i="9"/>
  <c r="E848" i="9" s="1"/>
  <c r="E849" i="9" s="1"/>
  <c r="E850" i="9" s="1"/>
  <c r="D844" i="9"/>
  <c r="E843" i="9"/>
  <c r="D843" i="9"/>
  <c r="C843" i="9"/>
  <c r="E842" i="9"/>
  <c r="D842" i="9"/>
  <c r="C841" i="9"/>
  <c r="C846" i="9" s="1"/>
  <c r="H850" i="9" s="1"/>
  <c r="E840" i="9"/>
  <c r="E841" i="9" s="1"/>
  <c r="D840" i="9"/>
  <c r="E839" i="9"/>
  <c r="D839" i="9"/>
  <c r="D841" i="9" s="1"/>
  <c r="G821" i="9"/>
  <c r="G820" i="9"/>
  <c r="G819" i="9"/>
  <c r="G818" i="9"/>
  <c r="G817" i="9"/>
  <c r="G816" i="9"/>
  <c r="G815" i="9"/>
  <c r="G814" i="9"/>
  <c r="D814" i="9"/>
  <c r="F814" i="9" s="1"/>
  <c r="C814" i="9"/>
  <c r="C815" i="9" s="1"/>
  <c r="C806" i="9"/>
  <c r="D806" i="9" s="1"/>
  <c r="C803" i="9"/>
  <c r="E802" i="9"/>
  <c r="D802" i="9"/>
  <c r="I801" i="9"/>
  <c r="E801" i="9"/>
  <c r="D801" i="9"/>
  <c r="D800" i="9"/>
  <c r="E800" i="9" s="1"/>
  <c r="D799" i="9"/>
  <c r="C798" i="9"/>
  <c r="D798" i="9" s="1"/>
  <c r="E798" i="9" s="1"/>
  <c r="E797" i="9"/>
  <c r="D797" i="9"/>
  <c r="I795" i="9"/>
  <c r="C794" i="9"/>
  <c r="C795" i="9" s="1"/>
  <c r="C796" i="9" s="1"/>
  <c r="C793" i="9"/>
  <c r="C790" i="9"/>
  <c r="D789" i="9"/>
  <c r="D793" i="9" s="1"/>
  <c r="D788" i="9"/>
  <c r="E788" i="9" s="1"/>
  <c r="C788" i="9"/>
  <c r="D787" i="9"/>
  <c r="E787" i="9" s="1"/>
  <c r="C786" i="9"/>
  <c r="D785" i="9"/>
  <c r="E784" i="9"/>
  <c r="D784" i="9"/>
  <c r="G771" i="9"/>
  <c r="G770" i="9"/>
  <c r="G769" i="9"/>
  <c r="G768" i="9"/>
  <c r="G767" i="9"/>
  <c r="G766" i="9"/>
  <c r="G765" i="9"/>
  <c r="G764" i="9"/>
  <c r="G763" i="9"/>
  <c r="G762" i="9"/>
  <c r="G761" i="9"/>
  <c r="G760" i="9"/>
  <c r="G759" i="9"/>
  <c r="G758" i="9"/>
  <c r="G757" i="9"/>
  <c r="G756" i="9"/>
  <c r="G755" i="9"/>
  <c r="G754" i="9"/>
  <c r="G753" i="9"/>
  <c r="G752" i="9"/>
  <c r="G751" i="9"/>
  <c r="G750" i="9"/>
  <c r="G749" i="9"/>
  <c r="G748" i="9"/>
  <c r="G747" i="9"/>
  <c r="G746" i="9"/>
  <c r="G745" i="9"/>
  <c r="G744" i="9"/>
  <c r="G743" i="9"/>
  <c r="G742" i="9"/>
  <c r="G741" i="9"/>
  <c r="G740" i="9"/>
  <c r="G739" i="9"/>
  <c r="G738" i="9"/>
  <c r="G737" i="9"/>
  <c r="G736" i="9"/>
  <c r="G735" i="9"/>
  <c r="G734" i="9"/>
  <c r="G733" i="9"/>
  <c r="G732" i="9"/>
  <c r="G731" i="9"/>
  <c r="G730" i="9"/>
  <c r="G729" i="9"/>
  <c r="G728" i="9"/>
  <c r="G727" i="9"/>
  <c r="G726" i="9"/>
  <c r="G725" i="9"/>
  <c r="G724" i="9"/>
  <c r="G723" i="9"/>
  <c r="C723" i="9"/>
  <c r="G722" i="9"/>
  <c r="F722" i="9"/>
  <c r="D722" i="9"/>
  <c r="C722" i="9"/>
  <c r="D714" i="9"/>
  <c r="E714" i="9" s="1"/>
  <c r="C714" i="9"/>
  <c r="E711" i="9"/>
  <c r="C711" i="9"/>
  <c r="E710" i="9"/>
  <c r="D710" i="9"/>
  <c r="D711" i="9" s="1"/>
  <c r="I709" i="9"/>
  <c r="I703" i="9" s="1"/>
  <c r="E709" i="9"/>
  <c r="D709" i="9"/>
  <c r="E708" i="9"/>
  <c r="D708" i="9"/>
  <c r="E707" i="9"/>
  <c r="D707" i="9"/>
  <c r="D706" i="9"/>
  <c r="E706" i="9" s="1"/>
  <c r="C706" i="9"/>
  <c r="D705" i="9"/>
  <c r="E705" i="9" s="1"/>
  <c r="J703" i="9"/>
  <c r="H703" i="9"/>
  <c r="C702" i="9"/>
  <c r="C703" i="9" s="1"/>
  <c r="C704" i="9" s="1"/>
  <c r="D701" i="9"/>
  <c r="D702" i="9" s="1"/>
  <c r="D703" i="9" s="1"/>
  <c r="C701" i="9"/>
  <c r="E698" i="9"/>
  <c r="E699" i="9" s="1"/>
  <c r="C698" i="9"/>
  <c r="C699" i="9" s="1"/>
  <c r="E697" i="9"/>
  <c r="E701" i="9" s="1"/>
  <c r="D697" i="9"/>
  <c r="E696" i="9"/>
  <c r="D696" i="9"/>
  <c r="C696" i="9"/>
  <c r="E695" i="9"/>
  <c r="D695" i="9"/>
  <c r="C694" i="9"/>
  <c r="E693" i="9"/>
  <c r="E694" i="9" s="1"/>
  <c r="D693" i="9"/>
  <c r="E692" i="9"/>
  <c r="D692" i="9"/>
  <c r="D694" i="9" s="1"/>
  <c r="G676" i="9"/>
  <c r="D676" i="9"/>
  <c r="F676" i="9" s="1"/>
  <c r="G675" i="9"/>
  <c r="G674" i="9"/>
  <c r="G673" i="9"/>
  <c r="G672" i="9"/>
  <c r="G671" i="9"/>
  <c r="G670" i="9"/>
  <c r="G669" i="9"/>
  <c r="C669" i="9"/>
  <c r="G668" i="9"/>
  <c r="F668" i="9"/>
  <c r="C668" i="9"/>
  <c r="D668" i="9" s="1"/>
  <c r="G667" i="9"/>
  <c r="D667" i="9"/>
  <c r="F667" i="9" s="1"/>
  <c r="C667" i="9"/>
  <c r="G666" i="9"/>
  <c r="F666" i="9"/>
  <c r="D666" i="9"/>
  <c r="C666" i="9"/>
  <c r="G665" i="9"/>
  <c r="D665" i="9"/>
  <c r="F665" i="9" s="1"/>
  <c r="C665" i="9"/>
  <c r="D657" i="9"/>
  <c r="C657" i="9"/>
  <c r="C654" i="9"/>
  <c r="D653" i="9"/>
  <c r="I652" i="9"/>
  <c r="I646" i="9" s="1"/>
  <c r="E652" i="9"/>
  <c r="D652" i="9"/>
  <c r="E651" i="9"/>
  <c r="D651" i="9"/>
  <c r="D650" i="9"/>
  <c r="E650" i="9" s="1"/>
  <c r="C649" i="9"/>
  <c r="D648" i="9"/>
  <c r="E648" i="9" s="1"/>
  <c r="C646" i="9"/>
  <c r="C647" i="9" s="1"/>
  <c r="C645" i="9"/>
  <c r="D644" i="9"/>
  <c r="C644" i="9"/>
  <c r="E640" i="9"/>
  <c r="E644" i="9" s="1"/>
  <c r="E645" i="9" s="1"/>
  <c r="E646" i="9" s="1"/>
  <c r="D640" i="9"/>
  <c r="D639" i="9"/>
  <c r="E639" i="9" s="1"/>
  <c r="E638" i="9"/>
  <c r="D638" i="9"/>
  <c r="C637" i="9"/>
  <c r="C641" i="9" s="1"/>
  <c r="E636" i="9"/>
  <c r="D636" i="9"/>
  <c r="E635" i="9"/>
  <c r="E637" i="9" s="1"/>
  <c r="D635" i="9"/>
  <c r="D637" i="9" s="1"/>
  <c r="G628" i="9"/>
  <c r="G627" i="9"/>
  <c r="G626" i="9"/>
  <c r="G625" i="9"/>
  <c r="G624" i="9"/>
  <c r="G623" i="9"/>
  <c r="G622" i="9"/>
  <c r="G621" i="9"/>
  <c r="G620" i="9"/>
  <c r="G619" i="9"/>
  <c r="G618" i="9"/>
  <c r="G617" i="9"/>
  <c r="G616" i="9"/>
  <c r="G615" i="9"/>
  <c r="G614" i="9"/>
  <c r="G613" i="9"/>
  <c r="G612" i="9"/>
  <c r="G611" i="9"/>
  <c r="G610" i="9"/>
  <c r="G609" i="9"/>
  <c r="G608" i="9"/>
  <c r="G607" i="9"/>
  <c r="G606" i="9"/>
  <c r="G605" i="9"/>
  <c r="G604" i="9"/>
  <c r="G603" i="9"/>
  <c r="G602" i="9"/>
  <c r="G601" i="9"/>
  <c r="G600" i="9"/>
  <c r="G599" i="9"/>
  <c r="G598" i="9"/>
  <c r="G597" i="9"/>
  <c r="G596" i="9"/>
  <c r="G595" i="9"/>
  <c r="G594" i="9"/>
  <c r="G593" i="9"/>
  <c r="G592" i="9"/>
  <c r="G591" i="9"/>
  <c r="G590" i="9"/>
  <c r="C590" i="9"/>
  <c r="D590" i="9" s="1"/>
  <c r="F590" i="9" s="1"/>
  <c r="G589" i="9"/>
  <c r="D589" i="9"/>
  <c r="F589" i="9" s="1"/>
  <c r="C589" i="9"/>
  <c r="E581" i="9"/>
  <c r="D581" i="9"/>
  <c r="C581" i="9"/>
  <c r="C578" i="9"/>
  <c r="E577" i="9"/>
  <c r="D577" i="9"/>
  <c r="I576" i="9"/>
  <c r="I570" i="9" s="1"/>
  <c r="D576" i="9"/>
  <c r="E576" i="9" s="1"/>
  <c r="E575" i="9"/>
  <c r="D575" i="9"/>
  <c r="E574" i="9"/>
  <c r="E578" i="9" s="1"/>
  <c r="D574" i="9"/>
  <c r="C573" i="9"/>
  <c r="D573" i="9" s="1"/>
  <c r="E573" i="9" s="1"/>
  <c r="D572" i="9"/>
  <c r="E572" i="9" s="1"/>
  <c r="D570" i="9"/>
  <c r="D569" i="9"/>
  <c r="C569" i="9"/>
  <c r="C570" i="9" s="1"/>
  <c r="D568" i="9"/>
  <c r="C568" i="9"/>
  <c r="E564" i="9"/>
  <c r="E568" i="9" s="1"/>
  <c r="E569" i="9" s="1"/>
  <c r="E570" i="9" s="1"/>
  <c r="D564" i="9"/>
  <c r="E563" i="9"/>
  <c r="D563" i="9"/>
  <c r="D562" i="9"/>
  <c r="E562" i="9" s="1"/>
  <c r="C561" i="9"/>
  <c r="D560" i="9"/>
  <c r="E560" i="9" s="1"/>
  <c r="E561" i="9" s="1"/>
  <c r="E559" i="9"/>
  <c r="D559" i="9"/>
  <c r="G551" i="9"/>
  <c r="G550" i="9"/>
  <c r="G549" i="9"/>
  <c r="G548" i="9"/>
  <c r="G547" i="9"/>
  <c r="G546" i="9"/>
  <c r="G545" i="9"/>
  <c r="G544" i="9"/>
  <c r="G543" i="9"/>
  <c r="G542" i="9"/>
  <c r="G541" i="9"/>
  <c r="G540" i="9"/>
  <c r="G539" i="9"/>
  <c r="G538" i="9"/>
  <c r="G537" i="9"/>
  <c r="G536" i="9"/>
  <c r="G535" i="9"/>
  <c r="G534" i="9"/>
  <c r="G533" i="9"/>
  <c r="G532" i="9"/>
  <c r="G531" i="9"/>
  <c r="C531" i="9"/>
  <c r="E523" i="9"/>
  <c r="D523" i="9"/>
  <c r="C523" i="9"/>
  <c r="C520" i="9"/>
  <c r="E519" i="9"/>
  <c r="D519" i="9"/>
  <c r="I518" i="9"/>
  <c r="D518" i="9"/>
  <c r="E518" i="9" s="1"/>
  <c r="E517" i="9"/>
  <c r="D517" i="9"/>
  <c r="D516" i="9"/>
  <c r="C515" i="9"/>
  <c r="D515" i="9" s="1"/>
  <c r="E515" i="9" s="1"/>
  <c r="E514" i="9"/>
  <c r="D514" i="9"/>
  <c r="I512" i="9"/>
  <c r="D510" i="9"/>
  <c r="D511" i="9" s="1"/>
  <c r="D512" i="9" s="1"/>
  <c r="C510" i="9"/>
  <c r="C511" i="9" s="1"/>
  <c r="C512" i="9" s="1"/>
  <c r="E506" i="9"/>
  <c r="E510" i="9" s="1"/>
  <c r="E511" i="9" s="1"/>
  <c r="E512" i="9" s="1"/>
  <c r="D506" i="9"/>
  <c r="D505" i="9"/>
  <c r="E505" i="9" s="1"/>
  <c r="E504" i="9"/>
  <c r="D504" i="9"/>
  <c r="E503" i="9"/>
  <c r="D503" i="9"/>
  <c r="D507" i="9" s="1"/>
  <c r="C503" i="9"/>
  <c r="E502" i="9"/>
  <c r="D502" i="9"/>
  <c r="E501" i="9"/>
  <c r="D501" i="9"/>
  <c r="G494" i="9"/>
  <c r="G493" i="9"/>
  <c r="G492" i="9"/>
  <c r="G491" i="9"/>
  <c r="G490" i="9"/>
  <c r="G489" i="9"/>
  <c r="G488" i="9"/>
  <c r="G487" i="9"/>
  <c r="G486" i="9"/>
  <c r="G485" i="9"/>
  <c r="G484" i="9"/>
  <c r="G483" i="9"/>
  <c r="G482" i="9"/>
  <c r="G481" i="9"/>
  <c r="G480" i="9"/>
  <c r="G479" i="9"/>
  <c r="G478" i="9"/>
  <c r="G477" i="9"/>
  <c r="G476" i="9"/>
  <c r="G475" i="9"/>
  <c r="G474" i="9"/>
  <c r="C474" i="9"/>
  <c r="G473" i="9"/>
  <c r="F473" i="9"/>
  <c r="C473" i="9"/>
  <c r="D473" i="9" s="1"/>
  <c r="E465" i="9"/>
  <c r="D465" i="9"/>
  <c r="C465" i="9"/>
  <c r="C462" i="9"/>
  <c r="D461" i="9"/>
  <c r="I460" i="9"/>
  <c r="D460" i="9"/>
  <c r="E460" i="9" s="1"/>
  <c r="E459" i="9"/>
  <c r="D459" i="9"/>
  <c r="D458" i="9"/>
  <c r="E458" i="9" s="1"/>
  <c r="D457" i="9"/>
  <c r="E457" i="9" s="1"/>
  <c r="C457" i="9"/>
  <c r="E456" i="9"/>
  <c r="D456" i="9"/>
  <c r="I454" i="9"/>
  <c r="C454" i="9"/>
  <c r="C455" i="9" s="1"/>
  <c r="E452" i="9"/>
  <c r="D452" i="9"/>
  <c r="C452" i="9"/>
  <c r="C453" i="9" s="1"/>
  <c r="E450" i="9"/>
  <c r="C450" i="9"/>
  <c r="H454" i="9" s="1"/>
  <c r="E449" i="9"/>
  <c r="C449" i="9"/>
  <c r="E448" i="9"/>
  <c r="D448" i="9"/>
  <c r="D447" i="9"/>
  <c r="D446" i="9"/>
  <c r="E446" i="9" s="1"/>
  <c r="D445" i="9"/>
  <c r="D449" i="9" s="1"/>
  <c r="C445" i="9"/>
  <c r="D444" i="9"/>
  <c r="E444" i="9" s="1"/>
  <c r="E443" i="9"/>
  <c r="E445" i="9" s="1"/>
  <c r="D443" i="9"/>
  <c r="G423" i="9"/>
  <c r="G422" i="9"/>
  <c r="G421" i="9"/>
  <c r="G420" i="9"/>
  <c r="G419" i="9"/>
  <c r="G418" i="9"/>
  <c r="G417" i="9"/>
  <c r="D417" i="9"/>
  <c r="F417" i="9" s="1"/>
  <c r="G416" i="9"/>
  <c r="F416" i="9"/>
  <c r="D416" i="9"/>
  <c r="C416" i="9"/>
  <c r="C417" i="9" s="1"/>
  <c r="C418" i="9" s="1"/>
  <c r="G415" i="9"/>
  <c r="C415" i="9"/>
  <c r="D415" i="9" s="1"/>
  <c r="F415" i="9" s="1"/>
  <c r="C407" i="9"/>
  <c r="C404" i="9"/>
  <c r="D403" i="9"/>
  <c r="E403" i="9" s="1"/>
  <c r="E404" i="9" s="1"/>
  <c r="I402" i="9"/>
  <c r="D402" i="9"/>
  <c r="E402" i="9" s="1"/>
  <c r="E401" i="9"/>
  <c r="D401" i="9"/>
  <c r="E400" i="9"/>
  <c r="D400" i="9"/>
  <c r="E399" i="9"/>
  <c r="D399" i="9"/>
  <c r="C399" i="9"/>
  <c r="E398" i="9"/>
  <c r="D398" i="9"/>
  <c r="I396" i="9"/>
  <c r="E396" i="9"/>
  <c r="D396" i="9"/>
  <c r="D394" i="9"/>
  <c r="D395" i="9" s="1"/>
  <c r="C394" i="9"/>
  <c r="C395" i="9" s="1"/>
  <c r="C396" i="9" s="1"/>
  <c r="E390" i="9"/>
  <c r="E394" i="9" s="1"/>
  <c r="E395" i="9" s="1"/>
  <c r="D390" i="9"/>
  <c r="E389" i="9"/>
  <c r="D389" i="9"/>
  <c r="E388" i="9"/>
  <c r="D388" i="9"/>
  <c r="D387" i="9"/>
  <c r="C387" i="9"/>
  <c r="E386" i="9"/>
  <c r="D386" i="9"/>
  <c r="E385" i="9"/>
  <c r="D385" i="9"/>
  <c r="G366" i="9"/>
  <c r="F366" i="9"/>
  <c r="D366" i="9"/>
  <c r="G365" i="9"/>
  <c r="F365" i="9"/>
  <c r="D365" i="9"/>
  <c r="G364" i="9"/>
  <c r="D364" i="9"/>
  <c r="F364" i="9" s="1"/>
  <c r="G363" i="9"/>
  <c r="F363" i="9"/>
  <c r="D363" i="9"/>
  <c r="G362" i="9"/>
  <c r="D362" i="9"/>
  <c r="F362" i="9" s="1"/>
  <c r="G361" i="9"/>
  <c r="F361" i="9"/>
  <c r="D361" i="9"/>
  <c r="G360" i="9"/>
  <c r="D360" i="9"/>
  <c r="F360" i="9" s="1"/>
  <c r="G359" i="9"/>
  <c r="G358" i="9"/>
  <c r="G357" i="9"/>
  <c r="D357" i="9"/>
  <c r="F357" i="9" s="1"/>
  <c r="C357" i="9"/>
  <c r="C358" i="9" s="1"/>
  <c r="C359" i="9" s="1"/>
  <c r="D359" i="9" s="1"/>
  <c r="F359" i="9" s="1"/>
  <c r="E349" i="9"/>
  <c r="D349" i="9"/>
  <c r="C349" i="9"/>
  <c r="C346" i="9"/>
  <c r="E345" i="9"/>
  <c r="D345" i="9"/>
  <c r="I344" i="9"/>
  <c r="D344" i="9"/>
  <c r="E344" i="9" s="1"/>
  <c r="D343" i="9"/>
  <c r="E343" i="9" s="1"/>
  <c r="D342" i="9"/>
  <c r="E342" i="9" s="1"/>
  <c r="E346" i="9" s="1"/>
  <c r="C341" i="9"/>
  <c r="D341" i="9" s="1"/>
  <c r="E341" i="9" s="1"/>
  <c r="D340" i="9"/>
  <c r="E340" i="9" s="1"/>
  <c r="I338" i="9"/>
  <c r="D336" i="9"/>
  <c r="D337" i="9" s="1"/>
  <c r="D338" i="9" s="1"/>
  <c r="D339" i="9" s="1"/>
  <c r="C336" i="9"/>
  <c r="C337" i="9" s="1"/>
  <c r="C338" i="9" s="1"/>
  <c r="D332" i="9"/>
  <c r="E332" i="9" s="1"/>
  <c r="E336" i="9" s="1"/>
  <c r="E337" i="9" s="1"/>
  <c r="E338" i="9" s="1"/>
  <c r="D331" i="9"/>
  <c r="E331" i="9" s="1"/>
  <c r="E330" i="9"/>
  <c r="D330" i="9"/>
  <c r="E329" i="9"/>
  <c r="D329" i="9"/>
  <c r="D333" i="9" s="1"/>
  <c r="D334" i="9" s="1"/>
  <c r="C329" i="9"/>
  <c r="E328" i="9"/>
  <c r="D328" i="9"/>
  <c r="E327" i="9"/>
  <c r="D327" i="9"/>
  <c r="G306" i="9"/>
  <c r="G305" i="9"/>
  <c r="G304" i="9"/>
  <c r="G303" i="9"/>
  <c r="G302" i="9"/>
  <c r="G301" i="9"/>
  <c r="G300" i="9"/>
  <c r="D300" i="9"/>
  <c r="F300" i="9" s="1"/>
  <c r="C300" i="9"/>
  <c r="C301" i="9" s="1"/>
  <c r="G299" i="9"/>
  <c r="F299" i="9"/>
  <c r="D299" i="9"/>
  <c r="C299" i="9"/>
  <c r="C291" i="9"/>
  <c r="C288" i="9"/>
  <c r="E287" i="9"/>
  <c r="E288" i="9" s="1"/>
  <c r="D287" i="9"/>
  <c r="I286" i="9"/>
  <c r="I280" i="9" s="1"/>
  <c r="E286" i="9"/>
  <c r="D286" i="9"/>
  <c r="D285" i="9"/>
  <c r="E285" i="9" s="1"/>
  <c r="E284" i="9"/>
  <c r="D284" i="9"/>
  <c r="D288" i="9" s="1"/>
  <c r="D283" i="9"/>
  <c r="E283" i="9" s="1"/>
  <c r="C283" i="9"/>
  <c r="D282" i="9"/>
  <c r="E282" i="9" s="1"/>
  <c r="C278" i="9"/>
  <c r="C279" i="9" s="1"/>
  <c r="C280" i="9" s="1"/>
  <c r="E274" i="9"/>
  <c r="E278" i="9" s="1"/>
  <c r="D274" i="9"/>
  <c r="D278" i="9" s="1"/>
  <c r="D279" i="9" s="1"/>
  <c r="D280" i="9" s="1"/>
  <c r="D273" i="9"/>
  <c r="E273" i="9" s="1"/>
  <c r="C273" i="9"/>
  <c r="E272" i="9"/>
  <c r="D272" i="9"/>
  <c r="D271" i="9"/>
  <c r="C271" i="9"/>
  <c r="E270" i="9"/>
  <c r="D270" i="9"/>
  <c r="E269" i="9"/>
  <c r="D269" i="9"/>
  <c r="G245" i="9"/>
  <c r="D245" i="9"/>
  <c r="F245" i="9" s="1"/>
  <c r="G244" i="9"/>
  <c r="G243" i="9"/>
  <c r="F243" i="9"/>
  <c r="D243" i="9"/>
  <c r="G242" i="9"/>
  <c r="D242" i="9"/>
  <c r="F242" i="9" s="1"/>
  <c r="C242" i="9"/>
  <c r="C243" i="9" s="1"/>
  <c r="C244" i="9" s="1"/>
  <c r="D244" i="9" s="1"/>
  <c r="F244" i="9" s="1"/>
  <c r="G241" i="9"/>
  <c r="D241" i="9"/>
  <c r="F241" i="9" s="1"/>
  <c r="C241" i="9"/>
  <c r="H236" i="9"/>
  <c r="D233" i="9"/>
  <c r="E233" i="9" s="1"/>
  <c r="C233" i="9"/>
  <c r="D230" i="9"/>
  <c r="C230" i="9"/>
  <c r="E229" i="9"/>
  <c r="D229" i="9"/>
  <c r="I228" i="9"/>
  <c r="I222" i="9" s="1"/>
  <c r="E228" i="9"/>
  <c r="D228" i="9"/>
  <c r="D227" i="9"/>
  <c r="E227" i="9" s="1"/>
  <c r="E226" i="9"/>
  <c r="E230" i="9" s="1"/>
  <c r="D226" i="9"/>
  <c r="D225" i="9"/>
  <c r="E225" i="9" s="1"/>
  <c r="C225" i="9"/>
  <c r="D224" i="9"/>
  <c r="E224" i="9" s="1"/>
  <c r="D221" i="9"/>
  <c r="D222" i="9" s="1"/>
  <c r="D220" i="9"/>
  <c r="C220" i="9"/>
  <c r="C221" i="9" s="1"/>
  <c r="C222" i="9" s="1"/>
  <c r="D216" i="9"/>
  <c r="E216" i="9" s="1"/>
  <c r="E220" i="9" s="1"/>
  <c r="E215" i="9"/>
  <c r="D215" i="9"/>
  <c r="C215" i="9"/>
  <c r="E214" i="9"/>
  <c r="D214" i="9"/>
  <c r="C213" i="9"/>
  <c r="D212" i="9"/>
  <c r="E212" i="9" s="1"/>
  <c r="E211" i="9"/>
  <c r="D211" i="9"/>
  <c r="G188" i="9"/>
  <c r="F188" i="9"/>
  <c r="D188" i="9"/>
  <c r="G187" i="9"/>
  <c r="G186" i="9"/>
  <c r="G185" i="9"/>
  <c r="C185" i="9"/>
  <c r="G184" i="9"/>
  <c r="D184" i="9"/>
  <c r="F184" i="9" s="1"/>
  <c r="G183" i="9"/>
  <c r="C183" i="9"/>
  <c r="C184" i="9" s="1"/>
  <c r="H178" i="9"/>
  <c r="D175" i="9"/>
  <c r="E175" i="9" s="1"/>
  <c r="C175" i="9"/>
  <c r="C172" i="9"/>
  <c r="E171" i="9"/>
  <c r="E172" i="9" s="1"/>
  <c r="D171" i="9"/>
  <c r="D172" i="9" s="1"/>
  <c r="I170" i="9"/>
  <c r="I164" i="9" s="1"/>
  <c r="E170" i="9"/>
  <c r="D170" i="9"/>
  <c r="E169" i="9"/>
  <c r="D169" i="9"/>
  <c r="D168" i="9"/>
  <c r="E168" i="9" s="1"/>
  <c r="E167" i="9"/>
  <c r="D167" i="9"/>
  <c r="C167" i="9"/>
  <c r="D166" i="9"/>
  <c r="E166" i="9" s="1"/>
  <c r="D162" i="9"/>
  <c r="C162" i="9"/>
  <c r="C160" i="9"/>
  <c r="H164" i="9" s="1"/>
  <c r="J164" i="9" s="1"/>
  <c r="E158" i="9"/>
  <c r="E162" i="9" s="1"/>
  <c r="D158" i="9"/>
  <c r="C157" i="9"/>
  <c r="D156" i="9"/>
  <c r="E156" i="9" s="1"/>
  <c r="D155" i="9"/>
  <c r="D159" i="9" s="1"/>
  <c r="C155" i="9"/>
  <c r="C159" i="9" s="1"/>
  <c r="D154" i="9"/>
  <c r="E154" i="9" s="1"/>
  <c r="E153" i="9"/>
  <c r="D153" i="9"/>
  <c r="G134" i="9"/>
  <c r="F134" i="9"/>
  <c r="D134" i="9"/>
  <c r="G133" i="9"/>
  <c r="D133" i="9"/>
  <c r="F133" i="9" s="1"/>
  <c r="G132" i="9"/>
  <c r="G131" i="9"/>
  <c r="G130" i="9"/>
  <c r="G129" i="9"/>
  <c r="G128" i="9"/>
  <c r="G127" i="9"/>
  <c r="G126" i="9"/>
  <c r="C126" i="9"/>
  <c r="G125" i="9"/>
  <c r="F125" i="9"/>
  <c r="D125" i="9"/>
  <c r="C125" i="9"/>
  <c r="H120" i="9"/>
  <c r="C117" i="9"/>
  <c r="D117" i="9" s="1"/>
  <c r="D114" i="9"/>
  <c r="C114" i="9"/>
  <c r="E113" i="9"/>
  <c r="E114" i="9" s="1"/>
  <c r="D113" i="9"/>
  <c r="I112" i="9"/>
  <c r="I106" i="9" s="1"/>
  <c r="E112" i="9"/>
  <c r="D112" i="9"/>
  <c r="D111" i="9"/>
  <c r="E111" i="9" s="1"/>
  <c r="D110" i="9"/>
  <c r="E110" i="9" s="1"/>
  <c r="E109" i="9"/>
  <c r="D109" i="9"/>
  <c r="C109" i="9"/>
  <c r="D108" i="9"/>
  <c r="E108" i="9" s="1"/>
  <c r="D105" i="9"/>
  <c r="D106" i="9" s="1"/>
  <c r="C105" i="9"/>
  <c r="C106" i="9" s="1"/>
  <c r="C107" i="9" s="1"/>
  <c r="D104" i="9"/>
  <c r="C104" i="9"/>
  <c r="E101" i="9"/>
  <c r="C101" i="9"/>
  <c r="E100" i="9"/>
  <c r="E104" i="9" s="1"/>
  <c r="D100" i="9"/>
  <c r="D99" i="9"/>
  <c r="E99" i="9" s="1"/>
  <c r="E105" i="9" s="1"/>
  <c r="E106" i="9" s="1"/>
  <c r="E107" i="9" s="1"/>
  <c r="D98" i="9"/>
  <c r="E98" i="9" s="1"/>
  <c r="E97" i="9"/>
  <c r="D97" i="9"/>
  <c r="C97" i="9"/>
  <c r="C102" i="9" s="1"/>
  <c r="H106" i="9" s="1"/>
  <c r="J106" i="9" s="1"/>
  <c r="O107" i="9" s="1"/>
  <c r="E96" i="9"/>
  <c r="D96" i="9"/>
  <c r="E95" i="9"/>
  <c r="D95" i="9"/>
  <c r="G74" i="9"/>
  <c r="F74" i="9"/>
  <c r="D74" i="9"/>
  <c r="G73" i="9"/>
  <c r="G72" i="9"/>
  <c r="G71" i="9"/>
  <c r="G70" i="9"/>
  <c r="G69" i="9"/>
  <c r="G68" i="9"/>
  <c r="C68" i="9"/>
  <c r="G67" i="9"/>
  <c r="C67" i="9"/>
  <c r="D67" i="9" s="1"/>
  <c r="F67" i="9" s="1"/>
  <c r="H62" i="9"/>
  <c r="C59" i="9"/>
  <c r="D56" i="9"/>
  <c r="C56" i="9"/>
  <c r="E55" i="9"/>
  <c r="D55" i="9"/>
  <c r="I54" i="9"/>
  <c r="D54" i="9"/>
  <c r="E54" i="9" s="1"/>
  <c r="D53" i="9"/>
  <c r="E53" i="9" s="1"/>
  <c r="E52" i="9"/>
  <c r="D52" i="9"/>
  <c r="C51" i="9"/>
  <c r="D51" i="9" s="1"/>
  <c r="E51" i="9" s="1"/>
  <c r="E50" i="9"/>
  <c r="D50" i="9"/>
  <c r="I48" i="9"/>
  <c r="C46" i="9"/>
  <c r="C47" i="9" s="1"/>
  <c r="C48" i="9" s="1"/>
  <c r="C49" i="9" s="1"/>
  <c r="C43" i="9"/>
  <c r="D42" i="9"/>
  <c r="E41" i="9"/>
  <c r="D41" i="9"/>
  <c r="D40" i="9"/>
  <c r="E40" i="9" s="1"/>
  <c r="D39" i="9"/>
  <c r="C39" i="9"/>
  <c r="E38" i="9"/>
  <c r="E39" i="9" s="1"/>
  <c r="D38" i="9"/>
  <c r="E37" i="9"/>
  <c r="D37" i="9"/>
  <c r="I31" i="9"/>
  <c r="C18" i="9"/>
  <c r="F17" i="9"/>
  <c r="F16" i="9"/>
  <c r="E16" i="9"/>
  <c r="C16" i="9"/>
  <c r="D16" i="9" s="1"/>
  <c r="F15" i="9"/>
  <c r="E15" i="9" s="1"/>
  <c r="E18" i="9" s="1"/>
  <c r="C15" i="9"/>
  <c r="D15" i="9" s="1"/>
  <c r="D18" i="9" s="1"/>
  <c r="F14" i="9"/>
  <c r="E14" i="9"/>
  <c r="C14" i="9"/>
  <c r="D14" i="9" s="1"/>
  <c r="C8" i="9"/>
  <c r="F19" i="9" s="1"/>
  <c r="C6" i="9"/>
  <c r="E17" i="9" s="1"/>
  <c r="J21" i="11"/>
  <c r="D21" i="11"/>
  <c r="O50" i="3"/>
  <c r="F50" i="3"/>
  <c r="E50" i="3"/>
  <c r="V50" i="3" s="1"/>
  <c r="D50" i="3"/>
  <c r="T49" i="3"/>
  <c r="O49" i="3"/>
  <c r="K49" i="3"/>
  <c r="F49" i="3"/>
  <c r="E49" i="3"/>
  <c r="V49" i="3" s="1"/>
  <c r="D49" i="3"/>
  <c r="G49" i="3" s="1"/>
  <c r="U48" i="3"/>
  <c r="T48" i="3"/>
  <c r="O48" i="3"/>
  <c r="F48" i="3"/>
  <c r="E48" i="3"/>
  <c r="D48" i="3"/>
  <c r="O47" i="3"/>
  <c r="G47" i="3"/>
  <c r="F47" i="3"/>
  <c r="E47" i="3"/>
  <c r="V47" i="3" s="1"/>
  <c r="D47" i="3"/>
  <c r="T46" i="3"/>
  <c r="O46" i="3"/>
  <c r="F46" i="3"/>
  <c r="E46" i="3"/>
  <c r="G46" i="3" s="1"/>
  <c r="D46" i="3"/>
  <c r="Y41" i="3"/>
  <c r="V41" i="3"/>
  <c r="U41" i="3"/>
  <c r="T41" i="3"/>
  <c r="T50" i="3" s="1"/>
  <c r="G41" i="3"/>
  <c r="Y40" i="3"/>
  <c r="V40" i="3"/>
  <c r="U40" i="3"/>
  <c r="T40" i="3"/>
  <c r="G40" i="3"/>
  <c r="Y39" i="3"/>
  <c r="V39" i="3"/>
  <c r="U39" i="3"/>
  <c r="T39" i="3"/>
  <c r="G39" i="3"/>
  <c r="Y38" i="3"/>
  <c r="V38" i="3"/>
  <c r="U38" i="3"/>
  <c r="T38" i="3"/>
  <c r="T47" i="3" s="1"/>
  <c r="G38" i="3"/>
  <c r="L38" i="3" s="1"/>
  <c r="Y37" i="3"/>
  <c r="V37" i="3"/>
  <c r="U37" i="3"/>
  <c r="T37" i="3"/>
  <c r="L37" i="3"/>
  <c r="G37" i="3"/>
  <c r="N30" i="3"/>
  <c r="M30" i="3"/>
  <c r="H30" i="3"/>
  <c r="E30" i="3"/>
  <c r="D30" i="3"/>
  <c r="K30" i="3" s="1"/>
  <c r="K29" i="3"/>
  <c r="H29" i="3"/>
  <c r="D29" i="3"/>
  <c r="E29" i="3" s="1"/>
  <c r="F29" i="3" s="1"/>
  <c r="N28" i="3"/>
  <c r="K28" i="3"/>
  <c r="H28" i="3"/>
  <c r="E28" i="3"/>
  <c r="D28" i="3"/>
  <c r="S24" i="3"/>
  <c r="R24" i="3"/>
  <c r="P24" i="3"/>
  <c r="N24" i="3"/>
  <c r="I24" i="3"/>
  <c r="O24" i="3" s="1"/>
  <c r="F24" i="3"/>
  <c r="E24" i="3"/>
  <c r="S23" i="3"/>
  <c r="P23" i="3"/>
  <c r="N23" i="3"/>
  <c r="N29" i="3" s="1"/>
  <c r="F23" i="3"/>
  <c r="E23" i="3"/>
  <c r="S22" i="3"/>
  <c r="R22" i="3"/>
  <c r="P22" i="3"/>
  <c r="N22" i="3"/>
  <c r="J22" i="3"/>
  <c r="I22" i="3"/>
  <c r="O22" i="3" s="1"/>
  <c r="F22" i="3"/>
  <c r="E22" i="3"/>
  <c r="AT16" i="3"/>
  <c r="AR16" i="3"/>
  <c r="AQ16" i="3"/>
  <c r="AF16" i="3"/>
  <c r="AG16" i="3" s="1"/>
  <c r="AC16" i="3"/>
  <c r="AB16" i="3"/>
  <c r="Y16" i="3"/>
  <c r="V16" i="3"/>
  <c r="U16" i="3"/>
  <c r="Q16" i="3"/>
  <c r="P16" i="3"/>
  <c r="K16" i="3"/>
  <c r="H16" i="3"/>
  <c r="G16" i="3"/>
  <c r="F16" i="3"/>
  <c r="AT15" i="3"/>
  <c r="AR15" i="3"/>
  <c r="AQ15" i="3"/>
  <c r="AF15" i="3"/>
  <c r="AG15" i="3" s="1"/>
  <c r="AC15" i="3"/>
  <c r="AB15" i="3"/>
  <c r="Y15" i="3"/>
  <c r="V15" i="3"/>
  <c r="U15" i="3"/>
  <c r="Q15" i="3"/>
  <c r="P15" i="3"/>
  <c r="H15" i="3"/>
  <c r="K15" i="3" s="1"/>
  <c r="G15" i="3"/>
  <c r="F15" i="3"/>
  <c r="AR14" i="3"/>
  <c r="AQ14" i="3"/>
  <c r="AF14" i="3"/>
  <c r="AG14" i="3" s="1"/>
  <c r="AB14" i="3"/>
  <c r="AC14" i="3" s="1"/>
  <c r="Y14" i="3"/>
  <c r="V14" i="3"/>
  <c r="U14" i="3"/>
  <c r="Q14" i="3"/>
  <c r="P14" i="3"/>
  <c r="S14" i="3" s="1"/>
  <c r="G14" i="3"/>
  <c r="H14" i="3" s="1"/>
  <c r="K14" i="3" s="1"/>
  <c r="F14" i="3"/>
  <c r="AT13" i="3"/>
  <c r="AR13" i="3"/>
  <c r="AQ13" i="3"/>
  <c r="AF13" i="3"/>
  <c r="AG13" i="3" s="1"/>
  <c r="AB13" i="3"/>
  <c r="AC13" i="3" s="1"/>
  <c r="Y13" i="3"/>
  <c r="V13" i="3"/>
  <c r="U13" i="3"/>
  <c r="Q13" i="3"/>
  <c r="P13" i="3"/>
  <c r="S13" i="3" s="1"/>
  <c r="G13" i="3"/>
  <c r="F13" i="3"/>
  <c r="AT12" i="3"/>
  <c r="AR12" i="3"/>
  <c r="AQ12" i="3"/>
  <c r="AO12" i="3"/>
  <c r="AN12" i="3"/>
  <c r="AM12" i="3"/>
  <c r="AL12" i="3"/>
  <c r="AK12" i="3"/>
  <c r="AF12" i="3"/>
  <c r="AG12" i="3" s="1"/>
  <c r="AB12" i="3"/>
  <c r="AC12" i="3" s="1"/>
  <c r="Y12" i="3"/>
  <c r="V12" i="3"/>
  <c r="U12" i="3"/>
  <c r="S12" i="3"/>
  <c r="R12" i="3"/>
  <c r="Q12" i="3"/>
  <c r="P12" i="3"/>
  <c r="G12" i="3"/>
  <c r="F12" i="3"/>
  <c r="AT11" i="3"/>
  <c r="AR11" i="3"/>
  <c r="AQ11" i="3"/>
  <c r="AF11" i="3"/>
  <c r="AG11" i="3" s="1"/>
  <c r="AB11" i="3"/>
  <c r="AC11" i="3" s="1"/>
  <c r="Y11" i="3"/>
  <c r="V11" i="3"/>
  <c r="U11" i="3"/>
  <c r="Q11" i="3"/>
  <c r="S11" i="3" s="1"/>
  <c r="P11" i="3"/>
  <c r="G11" i="3"/>
  <c r="F11" i="3"/>
  <c r="AR10" i="3"/>
  <c r="AQ10" i="3"/>
  <c r="AG10" i="3"/>
  <c r="AF10" i="3"/>
  <c r="AB10" i="3"/>
  <c r="AC10" i="3" s="1"/>
  <c r="Y10" i="3"/>
  <c r="V10" i="3"/>
  <c r="U10" i="3"/>
  <c r="R10" i="3"/>
  <c r="Q10" i="3"/>
  <c r="S10" i="3" s="1"/>
  <c r="P10" i="3"/>
  <c r="G10" i="3"/>
  <c r="F10" i="3"/>
  <c r="AR9" i="3"/>
  <c r="AQ9" i="3"/>
  <c r="AG9" i="3"/>
  <c r="AF9" i="3"/>
  <c r="AB9" i="3"/>
  <c r="AC9" i="3" s="1"/>
  <c r="Y9" i="3"/>
  <c r="V9" i="3"/>
  <c r="U9" i="3"/>
  <c r="Q9" i="3"/>
  <c r="P9" i="3"/>
  <c r="S9" i="3" s="1"/>
  <c r="G9" i="3"/>
  <c r="F9" i="3"/>
  <c r="AR8" i="3"/>
  <c r="AQ8" i="3"/>
  <c r="AM8" i="3"/>
  <c r="AL8" i="3"/>
  <c r="AK8" i="3"/>
  <c r="AO8" i="3" s="1"/>
  <c r="AG8" i="3"/>
  <c r="AF8" i="3"/>
  <c r="AB8" i="3"/>
  <c r="AC8" i="3" s="1"/>
  <c r="Y8" i="3"/>
  <c r="V8" i="3"/>
  <c r="U8" i="3"/>
  <c r="R8" i="3"/>
  <c r="Q8" i="3"/>
  <c r="S8" i="3" s="1"/>
  <c r="P8" i="3"/>
  <c r="G8" i="3"/>
  <c r="F8" i="3"/>
  <c r="AR7" i="3"/>
  <c r="AQ7" i="3"/>
  <c r="AG7" i="3"/>
  <c r="AF7" i="3"/>
  <c r="AB7" i="3"/>
  <c r="AC7" i="3" s="1"/>
  <c r="Y7" i="3"/>
  <c r="V7" i="3"/>
  <c r="U7" i="3"/>
  <c r="R7" i="3"/>
  <c r="Q7" i="3"/>
  <c r="P7" i="3"/>
  <c r="G7" i="3"/>
  <c r="F7" i="3"/>
  <c r="M10" i="16" l="1"/>
  <c r="L10" i="16"/>
  <c r="M8" i="16"/>
  <c r="L8" i="16"/>
  <c r="L12" i="16"/>
  <c r="M12" i="16"/>
  <c r="L20" i="16"/>
  <c r="M20" i="16"/>
  <c r="H299" i="9"/>
  <c r="H300" i="9"/>
  <c r="H415" i="9"/>
  <c r="H242" i="9"/>
  <c r="H666" i="9"/>
  <c r="H979" i="9"/>
  <c r="H364" i="9"/>
  <c r="H590" i="9"/>
  <c r="H134" i="9"/>
  <c r="H74" i="9"/>
  <c r="H241" i="9"/>
  <c r="H668" i="9"/>
  <c r="H184" i="9"/>
  <c r="H245" i="9"/>
  <c r="H366" i="9"/>
  <c r="H589" i="9"/>
  <c r="H722" i="9"/>
  <c r="H244" i="9"/>
  <c r="H125" i="9"/>
  <c r="H359" i="9"/>
  <c r="H361" i="9"/>
  <c r="H67" i="9"/>
  <c r="H133" i="9"/>
  <c r="H362" i="9"/>
  <c r="H365" i="9"/>
  <c r="H243" i="9"/>
  <c r="H357" i="9"/>
  <c r="H869" i="9"/>
  <c r="H416" i="9"/>
  <c r="H665" i="9"/>
  <c r="H667" i="9"/>
  <c r="H870" i="9"/>
  <c r="H360" i="9"/>
  <c r="H363" i="9"/>
  <c r="H417" i="9"/>
  <c r="H814" i="9"/>
  <c r="P184" i="5"/>
  <c r="P183" i="5"/>
  <c r="P189" i="5"/>
  <c r="P187" i="5"/>
  <c r="P182" i="5"/>
  <c r="P181" i="5"/>
  <c r="P180" i="5"/>
  <c r="P178" i="5"/>
  <c r="P177" i="5"/>
  <c r="P175" i="5"/>
  <c r="P174" i="5"/>
  <c r="U174" i="5" s="1"/>
  <c r="P188" i="5"/>
  <c r="U188" i="5" s="1"/>
  <c r="P173" i="5"/>
  <c r="P186" i="5"/>
  <c r="P179" i="5"/>
  <c r="P176" i="5"/>
  <c r="P185" i="5"/>
  <c r="Z15" i="3"/>
  <c r="L15" i="3"/>
  <c r="O165" i="9"/>
  <c r="K164" i="9"/>
  <c r="C174" i="9" s="1"/>
  <c r="S127" i="5"/>
  <c r="S132" i="5"/>
  <c r="S131" i="5"/>
  <c r="S133" i="5"/>
  <c r="S126" i="5"/>
  <c r="S122" i="5"/>
  <c r="S125" i="5"/>
  <c r="S121" i="5"/>
  <c r="P172" i="5"/>
  <c r="P163" i="5"/>
  <c r="P171" i="5"/>
  <c r="P170" i="5"/>
  <c r="P162" i="5"/>
  <c r="P169" i="5"/>
  <c r="P161" i="5"/>
  <c r="P167" i="5"/>
  <c r="P159" i="5"/>
  <c r="P166" i="5"/>
  <c r="U166" i="5" s="1"/>
  <c r="P155" i="5"/>
  <c r="P165" i="5"/>
  <c r="P156" i="5"/>
  <c r="P168" i="5"/>
  <c r="P164" i="5"/>
  <c r="P158" i="5"/>
  <c r="P157" i="5"/>
  <c r="P154" i="5"/>
  <c r="U154" i="5" s="1"/>
  <c r="P160" i="5"/>
  <c r="Z14" i="3"/>
  <c r="L14" i="3"/>
  <c r="D101" i="9"/>
  <c r="D107" i="9" s="1"/>
  <c r="O704" i="9"/>
  <c r="K703" i="9"/>
  <c r="C713" i="9" s="1"/>
  <c r="D713" i="9" s="1"/>
  <c r="E713" i="9" s="1"/>
  <c r="E900" i="9"/>
  <c r="E901" i="9" s="1"/>
  <c r="D41" i="5"/>
  <c r="T38" i="4"/>
  <c r="U38" i="4"/>
  <c r="C73" i="5"/>
  <c r="H71" i="4"/>
  <c r="O70" i="4"/>
  <c r="K70" i="4"/>
  <c r="R11" i="3"/>
  <c r="S49" i="5"/>
  <c r="S48" i="5"/>
  <c r="K37" i="3"/>
  <c r="H37" i="3"/>
  <c r="I37" i="3" s="1"/>
  <c r="C44" i="9"/>
  <c r="H48" i="9" s="1"/>
  <c r="J48" i="9" s="1"/>
  <c r="E56" i="9"/>
  <c r="E102" i="9"/>
  <c r="D407" i="9"/>
  <c r="D723" i="9"/>
  <c r="F723" i="9" s="1"/>
  <c r="H723" i="9" s="1"/>
  <c r="C724" i="9"/>
  <c r="W8" i="3"/>
  <c r="T8" i="3"/>
  <c r="D513" i="9"/>
  <c r="D654" i="9"/>
  <c r="E653" i="9"/>
  <c r="E654" i="9" s="1"/>
  <c r="D851" i="9"/>
  <c r="S172" i="5"/>
  <c r="S168" i="5"/>
  <c r="S160" i="5"/>
  <c r="S167" i="5"/>
  <c r="S159" i="5"/>
  <c r="S166" i="5"/>
  <c r="S164" i="5"/>
  <c r="S171" i="5"/>
  <c r="S169" i="5"/>
  <c r="S163" i="5"/>
  <c r="S162" i="5"/>
  <c r="S170" i="5"/>
  <c r="S154" i="5"/>
  <c r="S155" i="5"/>
  <c r="S158" i="5"/>
  <c r="S165" i="5"/>
  <c r="S161" i="5"/>
  <c r="S157" i="5"/>
  <c r="S156" i="5"/>
  <c r="S124" i="5"/>
  <c r="S120" i="5"/>
  <c r="S119" i="5"/>
  <c r="S123" i="5"/>
  <c r="S70" i="5"/>
  <c r="S65" i="5"/>
  <c r="S69" i="5"/>
  <c r="S66" i="5"/>
  <c r="S64" i="5"/>
  <c r="S68" i="5"/>
  <c r="S67" i="5"/>
  <c r="S63" i="5"/>
  <c r="S74" i="5"/>
  <c r="S73" i="5"/>
  <c r="S62" i="5"/>
  <c r="S72" i="5"/>
  <c r="S59" i="5"/>
  <c r="S58" i="5"/>
  <c r="S57" i="5"/>
  <c r="S53" i="5"/>
  <c r="S54" i="5"/>
  <c r="S71" i="5"/>
  <c r="I29" i="3"/>
  <c r="E566" i="9"/>
  <c r="E565" i="9"/>
  <c r="E571" i="9" s="1"/>
  <c r="K905" i="9"/>
  <c r="C915" i="9" s="1"/>
  <c r="D915" i="9" s="1"/>
  <c r="E915" i="9" s="1"/>
  <c r="O906" i="9"/>
  <c r="C20" i="5"/>
  <c r="O17" i="4"/>
  <c r="K17" i="4"/>
  <c r="H18" i="4"/>
  <c r="H16" i="4"/>
  <c r="K18" i="4"/>
  <c r="H9" i="3"/>
  <c r="K9" i="3" s="1"/>
  <c r="K39" i="3"/>
  <c r="H39" i="3"/>
  <c r="I39" i="3"/>
  <c r="C69" i="9"/>
  <c r="D68" i="9"/>
  <c r="F68" i="9" s="1"/>
  <c r="H68" i="9" s="1"/>
  <c r="D301" i="9"/>
  <c r="F301" i="9" s="1"/>
  <c r="H301" i="9" s="1"/>
  <c r="C302" i="9"/>
  <c r="R51" i="5"/>
  <c r="R50" i="5"/>
  <c r="R43" i="5"/>
  <c r="R40" i="5"/>
  <c r="R38" i="5"/>
  <c r="R47" i="5"/>
  <c r="R44" i="5"/>
  <c r="T44" i="5" s="1"/>
  <c r="R42" i="5"/>
  <c r="R41" i="5"/>
  <c r="R46" i="5"/>
  <c r="R45" i="5"/>
  <c r="R29" i="5"/>
  <c r="R21" i="5"/>
  <c r="R28" i="5"/>
  <c r="R20" i="5"/>
  <c r="T20" i="5" s="1"/>
  <c r="R27" i="5"/>
  <c r="T27" i="5" s="1"/>
  <c r="R19" i="5"/>
  <c r="R34" i="5"/>
  <c r="R26" i="5"/>
  <c r="R14" i="5"/>
  <c r="T14" i="5" s="1"/>
  <c r="R39" i="5"/>
  <c r="R35" i="5"/>
  <c r="R33" i="5"/>
  <c r="T33" i="5" s="1"/>
  <c r="R25" i="5"/>
  <c r="R18" i="5"/>
  <c r="R15" i="5"/>
  <c r="R13" i="5"/>
  <c r="R52" i="5"/>
  <c r="T52" i="5" s="1"/>
  <c r="R36" i="5"/>
  <c r="R32" i="5"/>
  <c r="R24" i="5"/>
  <c r="R17" i="5"/>
  <c r="R16" i="5"/>
  <c r="R12" i="5"/>
  <c r="R30" i="5"/>
  <c r="R10" i="5"/>
  <c r="R23" i="5"/>
  <c r="R22" i="5"/>
  <c r="R11" i="5"/>
  <c r="T11" i="5" s="1"/>
  <c r="R37" i="5"/>
  <c r="T37" i="5" s="1"/>
  <c r="R31" i="5"/>
  <c r="H8" i="3"/>
  <c r="K8" i="3" s="1"/>
  <c r="R98" i="5"/>
  <c r="T98" i="5" s="1"/>
  <c r="R97" i="5"/>
  <c r="R83" i="5"/>
  <c r="R82" i="5"/>
  <c r="T82" i="5" s="1"/>
  <c r="R81" i="5"/>
  <c r="R78" i="5"/>
  <c r="R96" i="5"/>
  <c r="R93" i="5"/>
  <c r="R91" i="5"/>
  <c r="R90" i="5"/>
  <c r="R89" i="5"/>
  <c r="R87" i="5"/>
  <c r="R76" i="5"/>
  <c r="R94" i="5"/>
  <c r="R86" i="5"/>
  <c r="R75" i="5"/>
  <c r="R79" i="5"/>
  <c r="R95" i="5"/>
  <c r="R85" i="5"/>
  <c r="R80" i="5"/>
  <c r="T80" i="5" s="1"/>
  <c r="R92" i="5"/>
  <c r="R88" i="5"/>
  <c r="R84" i="5"/>
  <c r="R77" i="5"/>
  <c r="K10" i="3"/>
  <c r="H10" i="3"/>
  <c r="T12" i="3"/>
  <c r="W12" i="3" s="1"/>
  <c r="J24" i="3"/>
  <c r="L30" i="3"/>
  <c r="K24" i="3"/>
  <c r="L39" i="3"/>
  <c r="L40" i="3"/>
  <c r="K40" i="3"/>
  <c r="H40" i="3"/>
  <c r="I40" i="3"/>
  <c r="L41" i="3"/>
  <c r="K41" i="3"/>
  <c r="H41" i="3"/>
  <c r="I41" i="3"/>
  <c r="U46" i="3"/>
  <c r="E117" i="9"/>
  <c r="E334" i="9"/>
  <c r="E333" i="9"/>
  <c r="E339" i="9" s="1"/>
  <c r="J454" i="9"/>
  <c r="D462" i="9"/>
  <c r="E461" i="9"/>
  <c r="E462" i="9" s="1"/>
  <c r="D561" i="9"/>
  <c r="D649" i="9"/>
  <c r="E649" i="9" s="1"/>
  <c r="E851" i="9"/>
  <c r="L47" i="3"/>
  <c r="K47" i="3"/>
  <c r="H47" i="3"/>
  <c r="C532" i="9"/>
  <c r="D531" i="9"/>
  <c r="F531" i="9" s="1"/>
  <c r="H531" i="9" s="1"/>
  <c r="D669" i="9"/>
  <c r="F669" i="9" s="1"/>
  <c r="H669" i="9" s="1"/>
  <c r="C670" i="9"/>
  <c r="D29" i="9"/>
  <c r="D24" i="9"/>
  <c r="G24" i="9" s="1"/>
  <c r="D43" i="9"/>
  <c r="D44" i="9" s="1"/>
  <c r="E516" i="9"/>
  <c r="E520" i="9" s="1"/>
  <c r="D520" i="9"/>
  <c r="F28" i="3"/>
  <c r="I28" i="3" s="1"/>
  <c r="R105" i="5"/>
  <c r="T105" i="5" s="1"/>
  <c r="R104" i="5"/>
  <c r="R111" i="5"/>
  <c r="T111" i="5" s="1"/>
  <c r="R109" i="5"/>
  <c r="R108" i="5"/>
  <c r="T108" i="5" s="1"/>
  <c r="R110" i="5"/>
  <c r="R99" i="5"/>
  <c r="R106" i="5"/>
  <c r="R107" i="5"/>
  <c r="H11" i="3"/>
  <c r="K11" i="3"/>
  <c r="S153" i="5"/>
  <c r="S152" i="5"/>
  <c r="S147" i="5"/>
  <c r="S136" i="5"/>
  <c r="S137" i="5"/>
  <c r="S138" i="5"/>
  <c r="S139" i="5"/>
  <c r="S145" i="5"/>
  <c r="S140" i="5"/>
  <c r="S135" i="5"/>
  <c r="S141" i="5"/>
  <c r="S146" i="5"/>
  <c r="P197" i="5"/>
  <c r="P196" i="5"/>
  <c r="P195" i="5"/>
  <c r="P194" i="5"/>
  <c r="P198" i="5"/>
  <c r="P192" i="5"/>
  <c r="U192" i="5" s="1"/>
  <c r="P193" i="5"/>
  <c r="P190" i="5"/>
  <c r="P191" i="5"/>
  <c r="Z16" i="3"/>
  <c r="L16" i="3"/>
  <c r="M28" i="3"/>
  <c r="K22" i="3"/>
  <c r="I30" i="3"/>
  <c r="F30" i="3"/>
  <c r="H46" i="3"/>
  <c r="J46" i="3" s="1"/>
  <c r="L46" i="3" s="1"/>
  <c r="H49" i="3"/>
  <c r="L49" i="3"/>
  <c r="M49" i="3" s="1"/>
  <c r="P49" i="3" s="1"/>
  <c r="K106" i="9"/>
  <c r="C116" i="9" s="1"/>
  <c r="C127" i="9"/>
  <c r="D126" i="9"/>
  <c r="F126" i="9" s="1"/>
  <c r="H126" i="9" s="1"/>
  <c r="C163" i="9"/>
  <c r="C164" i="9" s="1"/>
  <c r="C165" i="9" s="1"/>
  <c r="D157" i="9"/>
  <c r="E157" i="9" s="1"/>
  <c r="E163" i="9" s="1"/>
  <c r="E164" i="9" s="1"/>
  <c r="C186" i="9"/>
  <c r="D185" i="9"/>
  <c r="F185" i="9" s="1"/>
  <c r="H185" i="9" s="1"/>
  <c r="D213" i="9"/>
  <c r="C392" i="9"/>
  <c r="H396" i="9" s="1"/>
  <c r="J396" i="9" s="1"/>
  <c r="C391" i="9"/>
  <c r="H473" i="9"/>
  <c r="D641" i="9"/>
  <c r="D642" i="9" s="1"/>
  <c r="R27" i="4"/>
  <c r="W10" i="3"/>
  <c r="T10" i="3"/>
  <c r="S103" i="5"/>
  <c r="S102" i="5"/>
  <c r="S101" i="5"/>
  <c r="S100" i="5"/>
  <c r="D508" i="9"/>
  <c r="K23" i="3"/>
  <c r="M29" i="3"/>
  <c r="L29" i="3"/>
  <c r="S7" i="3"/>
  <c r="T7" i="3" s="1"/>
  <c r="W7" i="3" s="1"/>
  <c r="AN8" i="3"/>
  <c r="S104" i="5"/>
  <c r="S111" i="5"/>
  <c r="S110" i="5"/>
  <c r="S108" i="5"/>
  <c r="S107" i="5"/>
  <c r="S106" i="5"/>
  <c r="S109" i="5"/>
  <c r="S105" i="5"/>
  <c r="S99" i="5"/>
  <c r="R114" i="5"/>
  <c r="R113" i="5"/>
  <c r="R112" i="5"/>
  <c r="R134" i="5"/>
  <c r="T134" i="5" s="1"/>
  <c r="R129" i="5"/>
  <c r="R118" i="5"/>
  <c r="T118" i="5" s="1"/>
  <c r="R130" i="5"/>
  <c r="R117" i="5"/>
  <c r="R128" i="5"/>
  <c r="T128" i="5" s="1"/>
  <c r="R116" i="5"/>
  <c r="R115" i="5"/>
  <c r="K12" i="3"/>
  <c r="H12" i="3"/>
  <c r="H13" i="3"/>
  <c r="K13" i="3" s="1"/>
  <c r="S15" i="3"/>
  <c r="R15" i="3"/>
  <c r="S16" i="3"/>
  <c r="R16" i="3"/>
  <c r="L28" i="3"/>
  <c r="G48" i="3"/>
  <c r="D46" i="9"/>
  <c r="D47" i="9" s="1"/>
  <c r="D48" i="9" s="1"/>
  <c r="D49" i="9" s="1"/>
  <c r="E42" i="9"/>
  <c r="E46" i="9" s="1"/>
  <c r="E47" i="9" s="1"/>
  <c r="E48" i="9" s="1"/>
  <c r="E221" i="9"/>
  <c r="E222" i="9" s="1"/>
  <c r="E641" i="9"/>
  <c r="E642" i="9" s="1"/>
  <c r="E647" i="9"/>
  <c r="E657" i="9"/>
  <c r="D698" i="9"/>
  <c r="D704" i="9" s="1"/>
  <c r="F30" i="5"/>
  <c r="J27" i="4"/>
  <c r="I27" i="4"/>
  <c r="K38" i="3"/>
  <c r="I38" i="3"/>
  <c r="H38" i="3"/>
  <c r="D59" i="9"/>
  <c r="D163" i="9"/>
  <c r="D164" i="9" s="1"/>
  <c r="D165" i="9" s="1"/>
  <c r="D275" i="9"/>
  <c r="D281" i="9" s="1"/>
  <c r="D276" i="9"/>
  <c r="D291" i="9"/>
  <c r="AM9" i="3"/>
  <c r="AK9" i="3"/>
  <c r="AL9" i="3"/>
  <c r="S113" i="5"/>
  <c r="S112" i="5"/>
  <c r="S128" i="5"/>
  <c r="S130" i="5"/>
  <c r="S117" i="5"/>
  <c r="S116" i="5"/>
  <c r="S118" i="5"/>
  <c r="S114" i="5"/>
  <c r="S134" i="5"/>
  <c r="S129" i="5"/>
  <c r="S115" i="5"/>
  <c r="C30" i="9"/>
  <c r="C26" i="9"/>
  <c r="F26" i="9" s="1"/>
  <c r="D346" i="9"/>
  <c r="C397" i="9"/>
  <c r="C419" i="9"/>
  <c r="D418" i="9"/>
  <c r="F418" i="9" s="1"/>
  <c r="H418" i="9" s="1"/>
  <c r="D453" i="9"/>
  <c r="D454" i="9" s="1"/>
  <c r="D455" i="9" s="1"/>
  <c r="E447" i="9"/>
  <c r="E453" i="9" s="1"/>
  <c r="E454" i="9" s="1"/>
  <c r="E455" i="9" s="1"/>
  <c r="D474" i="9"/>
  <c r="F474" i="9" s="1"/>
  <c r="H474" i="9" s="1"/>
  <c r="C475" i="9"/>
  <c r="E906" i="9"/>
  <c r="R61" i="5"/>
  <c r="R60" i="5"/>
  <c r="R56" i="5"/>
  <c r="R55" i="5"/>
  <c r="V48" i="3"/>
  <c r="G50" i="3"/>
  <c r="D160" i="9"/>
  <c r="E213" i="9"/>
  <c r="D391" i="9"/>
  <c r="D392" i="9" s="1"/>
  <c r="D450" i="9"/>
  <c r="E507" i="9"/>
  <c r="E508" i="9" s="1"/>
  <c r="C565" i="9"/>
  <c r="C571" i="9" s="1"/>
  <c r="D980" i="9"/>
  <c r="F980" i="9" s="1"/>
  <c r="H980" i="9" s="1"/>
  <c r="C981" i="9"/>
  <c r="R7" i="4"/>
  <c r="C32" i="5"/>
  <c r="O29" i="4"/>
  <c r="K29" i="4"/>
  <c r="H30" i="4"/>
  <c r="H28" i="4"/>
  <c r="R55" i="4"/>
  <c r="F100" i="5"/>
  <c r="J97" i="4"/>
  <c r="I97" i="4"/>
  <c r="F96" i="5"/>
  <c r="J93" i="4"/>
  <c r="I93" i="4"/>
  <c r="W93" i="4" s="1"/>
  <c r="R9" i="5"/>
  <c r="R8" i="5"/>
  <c r="T8" i="5" s="1"/>
  <c r="R5" i="5"/>
  <c r="R6" i="5"/>
  <c r="R7" i="5"/>
  <c r="V46" i="3"/>
  <c r="U49" i="3"/>
  <c r="D901" i="9"/>
  <c r="C24" i="5"/>
  <c r="O21" i="4"/>
  <c r="K21" i="4"/>
  <c r="H22" i="4"/>
  <c r="H20" i="4"/>
  <c r="C77" i="5"/>
  <c r="H75" i="4"/>
  <c r="O74" i="4"/>
  <c r="K74" i="4"/>
  <c r="S9" i="5"/>
  <c r="S8" i="5"/>
  <c r="S5" i="5"/>
  <c r="S7" i="5"/>
  <c r="S6" i="5"/>
  <c r="C17" i="9"/>
  <c r="C19" i="9"/>
  <c r="E155" i="9"/>
  <c r="D183" i="9"/>
  <c r="F183" i="9" s="1"/>
  <c r="H183" i="9" s="1"/>
  <c r="C217" i="9"/>
  <c r="C223" i="9" s="1"/>
  <c r="E271" i="9"/>
  <c r="C642" i="9"/>
  <c r="H646" i="9" s="1"/>
  <c r="J646" i="9" s="1"/>
  <c r="D794" i="9"/>
  <c r="D795" i="9" s="1"/>
  <c r="C871" i="9"/>
  <c r="C904" i="9"/>
  <c r="C905" i="9" s="1"/>
  <c r="C906" i="9" s="1"/>
  <c r="B14" i="5"/>
  <c r="U11" i="4"/>
  <c r="D85" i="5"/>
  <c r="F104" i="5"/>
  <c r="J101" i="4"/>
  <c r="I101" i="4"/>
  <c r="E950" i="9"/>
  <c r="E951" i="9" s="1"/>
  <c r="D951" i="9"/>
  <c r="O961" i="9"/>
  <c r="K960" i="9"/>
  <c r="C970" i="9" s="1"/>
  <c r="D970" i="9" s="1"/>
  <c r="E970" i="9" s="1"/>
  <c r="F22" i="5"/>
  <c r="J19" i="4"/>
  <c r="I19" i="4"/>
  <c r="R23" i="3"/>
  <c r="F18" i="9"/>
  <c r="D30" i="9" s="1"/>
  <c r="D846" i="9"/>
  <c r="D845" i="9"/>
  <c r="F34" i="5"/>
  <c r="J31" i="4"/>
  <c r="I31" i="4"/>
  <c r="D67" i="5"/>
  <c r="T64" i="4"/>
  <c r="H7" i="3"/>
  <c r="R9" i="3"/>
  <c r="R13" i="3"/>
  <c r="R14" i="3"/>
  <c r="R188" i="5"/>
  <c r="R184" i="5"/>
  <c r="R173" i="5"/>
  <c r="R185" i="5"/>
  <c r="T185" i="5" s="1"/>
  <c r="R179" i="5"/>
  <c r="T179" i="5" s="1"/>
  <c r="R176" i="5"/>
  <c r="R174" i="5"/>
  <c r="R180" i="5"/>
  <c r="T180" i="5" s="1"/>
  <c r="R189" i="5"/>
  <c r="T189" i="5" s="1"/>
  <c r="R175" i="5"/>
  <c r="R177" i="5"/>
  <c r="T177" i="5" s="1"/>
  <c r="R187" i="5"/>
  <c r="R186" i="5"/>
  <c r="T186" i="5" s="1"/>
  <c r="R178" i="5"/>
  <c r="R192" i="5"/>
  <c r="R193" i="5"/>
  <c r="R49" i="5"/>
  <c r="T49" i="5" s="1"/>
  <c r="R48" i="5"/>
  <c r="T48" i="5" s="1"/>
  <c r="R124" i="5"/>
  <c r="T124" i="5" s="1"/>
  <c r="R123" i="5"/>
  <c r="T123" i="5" s="1"/>
  <c r="R120" i="5"/>
  <c r="T120" i="5" s="1"/>
  <c r="R119" i="5"/>
  <c r="T119" i="5" s="1"/>
  <c r="U47" i="3"/>
  <c r="D17" i="9"/>
  <c r="D19" i="9"/>
  <c r="D358" i="9"/>
  <c r="F358" i="9" s="1"/>
  <c r="H358" i="9" s="1"/>
  <c r="E387" i="9"/>
  <c r="E702" i="9"/>
  <c r="E703" i="9" s="1"/>
  <c r="E704" i="9" s="1"/>
  <c r="E806" i="9"/>
  <c r="D904" i="9"/>
  <c r="D905" i="9" s="1"/>
  <c r="D906" i="9" s="1"/>
  <c r="E912" i="9"/>
  <c r="E913" i="9" s="1"/>
  <c r="D913" i="9"/>
  <c r="D959" i="9"/>
  <c r="D960" i="9" s="1"/>
  <c r="F26" i="5"/>
  <c r="J23" i="4"/>
  <c r="I23" i="4"/>
  <c r="K30" i="4"/>
  <c r="C36" i="5"/>
  <c r="O33" i="4"/>
  <c r="K33" i="4"/>
  <c r="H34" i="4"/>
  <c r="K34" i="4"/>
  <c r="H32" i="4"/>
  <c r="D803" i="9"/>
  <c r="E799" i="9"/>
  <c r="E803" i="9" s="1"/>
  <c r="D815" i="9"/>
  <c r="F815" i="9" s="1"/>
  <c r="H815" i="9" s="1"/>
  <c r="C816" i="9"/>
  <c r="F94" i="5"/>
  <c r="J91" i="4"/>
  <c r="I91" i="4"/>
  <c r="S50" i="5"/>
  <c r="S47" i="5"/>
  <c r="S44" i="5"/>
  <c r="S42" i="5"/>
  <c r="S41" i="5"/>
  <c r="S46" i="5"/>
  <c r="S45" i="5"/>
  <c r="S28" i="5"/>
  <c r="S20" i="5"/>
  <c r="S51" i="5"/>
  <c r="S27" i="5"/>
  <c r="S19" i="5"/>
  <c r="S34" i="5"/>
  <c r="S26" i="5"/>
  <c r="S14" i="5"/>
  <c r="S39" i="5"/>
  <c r="S38" i="5"/>
  <c r="S35" i="5"/>
  <c r="S33" i="5"/>
  <c r="S25" i="5"/>
  <c r="S18" i="5"/>
  <c r="S15" i="5"/>
  <c r="S13" i="5"/>
  <c r="S52" i="5"/>
  <c r="S43" i="5"/>
  <c r="S36" i="5"/>
  <c r="S32" i="5"/>
  <c r="S24" i="5"/>
  <c r="S17" i="5"/>
  <c r="S16" i="5"/>
  <c r="S12" i="5"/>
  <c r="S37" i="5"/>
  <c r="S31" i="5"/>
  <c r="S23" i="5"/>
  <c r="S11" i="5"/>
  <c r="S29" i="5"/>
  <c r="S22" i="5"/>
  <c r="S40" i="5"/>
  <c r="S30" i="5"/>
  <c r="S21" i="5"/>
  <c r="S10" i="5"/>
  <c r="S95" i="5"/>
  <c r="S82" i="5"/>
  <c r="S81" i="5"/>
  <c r="S78" i="5"/>
  <c r="S92" i="5"/>
  <c r="S88" i="5"/>
  <c r="S80" i="5"/>
  <c r="S79" i="5"/>
  <c r="S77" i="5"/>
  <c r="S94" i="5"/>
  <c r="S86" i="5"/>
  <c r="S75" i="5"/>
  <c r="S97" i="5"/>
  <c r="S85" i="5"/>
  <c r="S98" i="5"/>
  <c r="S93" i="5"/>
  <c r="S91" i="5"/>
  <c r="S89" i="5"/>
  <c r="S87" i="5"/>
  <c r="S76" i="5"/>
  <c r="S83" i="5"/>
  <c r="S96" i="5"/>
  <c r="S84" i="5"/>
  <c r="S90" i="5"/>
  <c r="I23" i="3"/>
  <c r="D404" i="9"/>
  <c r="D578" i="9"/>
  <c r="K7" i="3"/>
  <c r="R71" i="5"/>
  <c r="T71" i="5" s="1"/>
  <c r="R70" i="5"/>
  <c r="R65" i="5"/>
  <c r="R69" i="5"/>
  <c r="T69" i="5" s="1"/>
  <c r="R66" i="5"/>
  <c r="T66" i="5" s="1"/>
  <c r="R64" i="5"/>
  <c r="T64" i="5" s="1"/>
  <c r="R62" i="5"/>
  <c r="T62" i="5" s="1"/>
  <c r="R74" i="5"/>
  <c r="T74" i="5" s="1"/>
  <c r="R68" i="5"/>
  <c r="T68" i="5" s="1"/>
  <c r="R63" i="5"/>
  <c r="T63" i="5" s="1"/>
  <c r="R72" i="5"/>
  <c r="T72" i="5" s="1"/>
  <c r="R59" i="5"/>
  <c r="T59" i="5" s="1"/>
  <c r="R58" i="5"/>
  <c r="T58" i="5" s="1"/>
  <c r="R57" i="5"/>
  <c r="T57" i="5" s="1"/>
  <c r="R67" i="5"/>
  <c r="T67" i="5" s="1"/>
  <c r="R53" i="5"/>
  <c r="T53" i="5" s="1"/>
  <c r="R54" i="5"/>
  <c r="T54" i="5" s="1"/>
  <c r="R73" i="5"/>
  <c r="R147" i="5"/>
  <c r="T147" i="5" s="1"/>
  <c r="R153" i="5"/>
  <c r="T153" i="5" s="1"/>
  <c r="R136" i="5"/>
  <c r="T136" i="5" s="1"/>
  <c r="R137" i="5"/>
  <c r="T137" i="5" s="1"/>
  <c r="R138" i="5"/>
  <c r="T138" i="5" s="1"/>
  <c r="R152" i="5"/>
  <c r="T152" i="5" s="1"/>
  <c r="R139" i="5"/>
  <c r="T139" i="5" s="1"/>
  <c r="R146" i="5"/>
  <c r="T146" i="5" s="1"/>
  <c r="R141" i="5"/>
  <c r="T141" i="5" s="1"/>
  <c r="R135" i="5"/>
  <c r="R140" i="5"/>
  <c r="T140" i="5" s="1"/>
  <c r="R145" i="5"/>
  <c r="R172" i="5"/>
  <c r="T172" i="5" s="1"/>
  <c r="R169" i="5"/>
  <c r="T169" i="5" s="1"/>
  <c r="R161" i="5"/>
  <c r="T161" i="5" s="1"/>
  <c r="R168" i="5"/>
  <c r="T168" i="5" s="1"/>
  <c r="R160" i="5"/>
  <c r="R167" i="5"/>
  <c r="R159" i="5"/>
  <c r="T159" i="5" s="1"/>
  <c r="R165" i="5"/>
  <c r="R164" i="5"/>
  <c r="T164" i="5" s="1"/>
  <c r="R158" i="5"/>
  <c r="T158" i="5" s="1"/>
  <c r="R157" i="5"/>
  <c r="T157" i="5" s="1"/>
  <c r="R171" i="5"/>
  <c r="R170" i="5"/>
  <c r="R154" i="5"/>
  <c r="T154" i="5" s="1"/>
  <c r="R156" i="5"/>
  <c r="T156" i="5" s="1"/>
  <c r="R166" i="5"/>
  <c r="T166" i="5" s="1"/>
  <c r="R162" i="5"/>
  <c r="T162" i="5" s="1"/>
  <c r="R163" i="5"/>
  <c r="T163" i="5" s="1"/>
  <c r="R155" i="5"/>
  <c r="T155" i="5" s="1"/>
  <c r="S184" i="5"/>
  <c r="S189" i="5"/>
  <c r="S186" i="5"/>
  <c r="S188" i="5"/>
  <c r="S185" i="5"/>
  <c r="S179" i="5"/>
  <c r="S176" i="5"/>
  <c r="S187" i="5"/>
  <c r="S180" i="5"/>
  <c r="S178" i="5"/>
  <c r="S177" i="5"/>
  <c r="S175" i="5"/>
  <c r="S174" i="5"/>
  <c r="S173" i="5"/>
  <c r="S193" i="5"/>
  <c r="S192" i="5"/>
  <c r="U50" i="3"/>
  <c r="E19" i="9"/>
  <c r="H188" i="9"/>
  <c r="C333" i="9"/>
  <c r="C339" i="9" s="1"/>
  <c r="H676" i="9"/>
  <c r="E785" i="9"/>
  <c r="E786" i="9" s="1"/>
  <c r="D786" i="9"/>
  <c r="E959" i="9"/>
  <c r="E960" i="9" s="1"/>
  <c r="C28" i="5"/>
  <c r="O25" i="4"/>
  <c r="K25" i="4"/>
  <c r="H26" i="4"/>
  <c r="H24" i="4"/>
  <c r="C276" i="9"/>
  <c r="H280" i="9" s="1"/>
  <c r="J280" i="9" s="1"/>
  <c r="C275" i="9"/>
  <c r="C281" i="9" s="1"/>
  <c r="E279" i="9"/>
  <c r="E280" i="9" s="1"/>
  <c r="D397" i="9"/>
  <c r="C508" i="9"/>
  <c r="H512" i="9" s="1"/>
  <c r="J512" i="9" s="1"/>
  <c r="C507" i="9"/>
  <c r="C513" i="9" s="1"/>
  <c r="C591" i="9"/>
  <c r="D645" i="9"/>
  <c r="D646" i="9" s="1"/>
  <c r="D647" i="9" s="1"/>
  <c r="C791" i="9"/>
  <c r="H795" i="9" s="1"/>
  <c r="J795" i="9" s="1"/>
  <c r="J850" i="9"/>
  <c r="C925" i="9"/>
  <c r="D924" i="9"/>
  <c r="F924" i="9" s="1"/>
  <c r="H924" i="9" s="1"/>
  <c r="D968" i="9"/>
  <c r="E964" i="9"/>
  <c r="E968" i="9" s="1"/>
  <c r="C17" i="5"/>
  <c r="H15" i="4"/>
  <c r="O14" i="4"/>
  <c r="R19" i="4"/>
  <c r="K22" i="4"/>
  <c r="E789" i="9"/>
  <c r="E793" i="9" s="1"/>
  <c r="E794" i="9" s="1"/>
  <c r="E795" i="9" s="1"/>
  <c r="C7" i="5"/>
  <c r="U4" i="4"/>
  <c r="H4" i="4"/>
  <c r="H5" i="4"/>
  <c r="O4" i="4"/>
  <c r="C12" i="5"/>
  <c r="O9" i="4"/>
  <c r="K9" i="4"/>
  <c r="H10" i="4"/>
  <c r="B34" i="5"/>
  <c r="U31" i="4"/>
  <c r="C39" i="5"/>
  <c r="U36" i="4"/>
  <c r="H37" i="4"/>
  <c r="O36" i="4"/>
  <c r="K36" i="4"/>
  <c r="C43" i="5"/>
  <c r="U40" i="4"/>
  <c r="K40" i="4"/>
  <c r="H40" i="4"/>
  <c r="T40" i="4"/>
  <c r="F50" i="5"/>
  <c r="J47" i="4"/>
  <c r="I47" i="4"/>
  <c r="C60" i="5"/>
  <c r="O57" i="4"/>
  <c r="T57" i="4"/>
  <c r="K57" i="4"/>
  <c r="H58" i="4"/>
  <c r="W57" i="4"/>
  <c r="D65" i="5"/>
  <c r="H63" i="4"/>
  <c r="O62" i="4"/>
  <c r="F112" i="5"/>
  <c r="J109" i="4"/>
  <c r="I109" i="4"/>
  <c r="W109" i="4" s="1"/>
  <c r="F114" i="5"/>
  <c r="J111" i="4"/>
  <c r="I111" i="4"/>
  <c r="F128" i="5"/>
  <c r="J125" i="4"/>
  <c r="I125" i="4"/>
  <c r="W125" i="4" s="1"/>
  <c r="F130" i="5"/>
  <c r="J127" i="4"/>
  <c r="I127" i="4"/>
  <c r="W127" i="4" s="1"/>
  <c r="C8" i="5"/>
  <c r="O5" i="4"/>
  <c r="K5" i="4"/>
  <c r="H6" i="4"/>
  <c r="J7" i="4"/>
  <c r="W7" i="4" s="1"/>
  <c r="H8" i="4"/>
  <c r="K10" i="4"/>
  <c r="K58" i="4"/>
  <c r="C64" i="5"/>
  <c r="O61" i="4"/>
  <c r="K61" i="4"/>
  <c r="H62" i="4"/>
  <c r="W61" i="4"/>
  <c r="C83" i="5"/>
  <c r="H81" i="4"/>
  <c r="O80" i="4"/>
  <c r="K80" i="4"/>
  <c r="H80" i="4"/>
  <c r="C91" i="5"/>
  <c r="K88" i="4"/>
  <c r="H88" i="4"/>
  <c r="H89" i="4"/>
  <c r="R99" i="4"/>
  <c r="R113" i="4"/>
  <c r="F119" i="5"/>
  <c r="I116" i="4"/>
  <c r="W116" i="4" s="1"/>
  <c r="J116" i="4"/>
  <c r="C123" i="5"/>
  <c r="U120" i="4"/>
  <c r="H121" i="4"/>
  <c r="O120" i="4"/>
  <c r="K120" i="4"/>
  <c r="H120" i="4"/>
  <c r="T120" i="4"/>
  <c r="F39" i="5"/>
  <c r="I36" i="4"/>
  <c r="W36" i="4" s="1"/>
  <c r="J36" i="4"/>
  <c r="O49" i="4"/>
  <c r="C52" i="5"/>
  <c r="T49" i="4"/>
  <c r="K49" i="4"/>
  <c r="H50" i="4"/>
  <c r="H48" i="4"/>
  <c r="C56" i="5"/>
  <c r="O53" i="4"/>
  <c r="T53" i="4"/>
  <c r="K53" i="4"/>
  <c r="H54" i="4"/>
  <c r="F60" i="5"/>
  <c r="J57" i="4"/>
  <c r="I57" i="4"/>
  <c r="F64" i="5"/>
  <c r="J61" i="4"/>
  <c r="I61" i="4"/>
  <c r="R61" i="4" s="1"/>
  <c r="C71" i="5"/>
  <c r="H69" i="4"/>
  <c r="O68" i="4"/>
  <c r="K68" i="4"/>
  <c r="C75" i="5"/>
  <c r="H73" i="4"/>
  <c r="O72" i="4"/>
  <c r="K72" i="4"/>
  <c r="C95" i="5"/>
  <c r="K92" i="4"/>
  <c r="H92" i="4"/>
  <c r="R109" i="4"/>
  <c r="D121" i="5"/>
  <c r="H119" i="4"/>
  <c r="O118" i="4"/>
  <c r="D900" i="9"/>
  <c r="K4" i="4"/>
  <c r="C9" i="5"/>
  <c r="U6" i="4"/>
  <c r="F48" i="5"/>
  <c r="J45" i="4"/>
  <c r="W45" i="4" s="1"/>
  <c r="U62" i="4"/>
  <c r="C79" i="5"/>
  <c r="U76" i="4"/>
  <c r="H77" i="4"/>
  <c r="O76" i="4"/>
  <c r="K76" i="4"/>
  <c r="H76" i="4"/>
  <c r="O88" i="4"/>
  <c r="C104" i="5"/>
  <c r="O101" i="4"/>
  <c r="K101" i="4"/>
  <c r="H102" i="4"/>
  <c r="U118" i="4"/>
  <c r="U2" i="4"/>
  <c r="C15" i="5"/>
  <c r="H13" i="4"/>
  <c r="O12" i="4"/>
  <c r="C16" i="5"/>
  <c r="O13" i="4"/>
  <c r="T13" i="4"/>
  <c r="K13" i="4"/>
  <c r="H14" i="4"/>
  <c r="U13" i="4"/>
  <c r="D37" i="5"/>
  <c r="H35" i="4"/>
  <c r="O34" i="4"/>
  <c r="T36" i="4"/>
  <c r="C41" i="5"/>
  <c r="K39" i="4"/>
  <c r="H39" i="4"/>
  <c r="O38" i="4"/>
  <c r="K38" i="4"/>
  <c r="F46" i="5"/>
  <c r="J43" i="4"/>
  <c r="W43" i="4" s="1"/>
  <c r="H49" i="4"/>
  <c r="H53" i="4"/>
  <c r="U57" i="4"/>
  <c r="F63" i="5"/>
  <c r="I60" i="4"/>
  <c r="Q60" i="4" s="1"/>
  <c r="C67" i="5"/>
  <c r="U64" i="4"/>
  <c r="H65" i="4"/>
  <c r="O64" i="4"/>
  <c r="K64" i="4"/>
  <c r="H68" i="4"/>
  <c r="H72" i="4"/>
  <c r="C85" i="5"/>
  <c r="H83" i="4"/>
  <c r="O82" i="4"/>
  <c r="K82" i="4"/>
  <c r="C89" i="5"/>
  <c r="K86" i="4"/>
  <c r="U86" i="4"/>
  <c r="H87" i="4"/>
  <c r="O92" i="4"/>
  <c r="C108" i="5"/>
  <c r="O105" i="4"/>
  <c r="K105" i="4"/>
  <c r="H106" i="4"/>
  <c r="H105" i="4"/>
  <c r="F134" i="5"/>
  <c r="J131" i="4"/>
  <c r="I131" i="4"/>
  <c r="C176" i="5"/>
  <c r="U173" i="4"/>
  <c r="T173" i="4"/>
  <c r="K173" i="4"/>
  <c r="H174" i="4"/>
  <c r="O173" i="4"/>
  <c r="C5" i="5"/>
  <c r="W2" i="4"/>
  <c r="H3" i="4"/>
  <c r="B6" i="5"/>
  <c r="U3" i="4"/>
  <c r="K6" i="4"/>
  <c r="C13" i="5"/>
  <c r="H11" i="4"/>
  <c r="O10" i="4"/>
  <c r="H12" i="4"/>
  <c r="H17" i="4"/>
  <c r="H21" i="4"/>
  <c r="H25" i="4"/>
  <c r="H29" i="4"/>
  <c r="H33" i="4"/>
  <c r="U49" i="4"/>
  <c r="U53" i="4"/>
  <c r="F62" i="5"/>
  <c r="J59" i="4"/>
  <c r="I59" i="4"/>
  <c r="S60" i="4" s="1"/>
  <c r="H64" i="4"/>
  <c r="C81" i="5"/>
  <c r="H79" i="4"/>
  <c r="O78" i="4"/>
  <c r="K78" i="4"/>
  <c r="O86" i="4"/>
  <c r="C93" i="5"/>
  <c r="K90" i="4"/>
  <c r="T4" i="4"/>
  <c r="C11" i="5"/>
  <c r="H9" i="4"/>
  <c r="O8" i="4"/>
  <c r="H41" i="4"/>
  <c r="F54" i="5"/>
  <c r="J51" i="4"/>
  <c r="I51" i="4"/>
  <c r="F58" i="5"/>
  <c r="J55" i="4"/>
  <c r="I55" i="4"/>
  <c r="C69" i="5"/>
  <c r="H67" i="4"/>
  <c r="O66" i="4"/>
  <c r="K66" i="4"/>
  <c r="C87" i="5"/>
  <c r="H85" i="4"/>
  <c r="O84" i="4"/>
  <c r="K84" i="4"/>
  <c r="H84" i="4"/>
  <c r="F98" i="5"/>
  <c r="J95" i="4"/>
  <c r="W95" i="4" s="1"/>
  <c r="R103" i="4"/>
  <c r="F116" i="5"/>
  <c r="J113" i="4"/>
  <c r="I113" i="4"/>
  <c r="F118" i="5"/>
  <c r="J115" i="4"/>
  <c r="I115" i="4"/>
  <c r="S116" i="4" s="1"/>
  <c r="H117" i="4"/>
  <c r="C112" i="5"/>
  <c r="O109" i="4"/>
  <c r="K109" i="4"/>
  <c r="H110" i="4"/>
  <c r="C116" i="5"/>
  <c r="O113" i="4"/>
  <c r="K113" i="4"/>
  <c r="H114" i="4"/>
  <c r="C125" i="5"/>
  <c r="T122" i="4"/>
  <c r="F132" i="5"/>
  <c r="J129" i="4"/>
  <c r="C135" i="5"/>
  <c r="U132" i="4"/>
  <c r="H133" i="4"/>
  <c r="H135" i="4"/>
  <c r="C139" i="5"/>
  <c r="D180" i="5"/>
  <c r="H176" i="4"/>
  <c r="O177" i="4"/>
  <c r="C120" i="5"/>
  <c r="O117" i="4"/>
  <c r="T117" i="4"/>
  <c r="K117" i="4"/>
  <c r="H118" i="4"/>
  <c r="K118" i="4"/>
  <c r="U122" i="4"/>
  <c r="C127" i="5"/>
  <c r="U124" i="4"/>
  <c r="C129" i="5"/>
  <c r="I129" i="4"/>
  <c r="W129" i="4" s="1"/>
  <c r="U133" i="4"/>
  <c r="D141" i="5"/>
  <c r="K139" i="4"/>
  <c r="O138" i="4"/>
  <c r="F173" i="5"/>
  <c r="J170" i="4"/>
  <c r="I170" i="4"/>
  <c r="C45" i="5"/>
  <c r="K43" i="4"/>
  <c r="T42" i="4"/>
  <c r="C47" i="5"/>
  <c r="O52" i="4"/>
  <c r="O54" i="4"/>
  <c r="O56" i="4"/>
  <c r="C97" i="5"/>
  <c r="T94" i="4"/>
  <c r="C99" i="5"/>
  <c r="W96" i="4"/>
  <c r="C101" i="5"/>
  <c r="J99" i="4"/>
  <c r="W99" i="4" s="1"/>
  <c r="I103" i="4"/>
  <c r="I107" i="4"/>
  <c r="O108" i="4"/>
  <c r="O110" i="4"/>
  <c r="O112" i="4"/>
  <c r="W113" i="4"/>
  <c r="O114" i="4"/>
  <c r="U117" i="4"/>
  <c r="T124" i="4"/>
  <c r="C131" i="5"/>
  <c r="U128" i="4"/>
  <c r="H132" i="4"/>
  <c r="C136" i="5"/>
  <c r="O133" i="4"/>
  <c r="T133" i="4"/>
  <c r="K133" i="4"/>
  <c r="H134" i="4"/>
  <c r="H136" i="4"/>
  <c r="H137" i="4"/>
  <c r="D149" i="5"/>
  <c r="O146" i="4"/>
  <c r="O16" i="4"/>
  <c r="O18" i="4"/>
  <c r="O20" i="4"/>
  <c r="O22" i="4"/>
  <c r="O24" i="4"/>
  <c r="O26" i="4"/>
  <c r="O28" i="4"/>
  <c r="O30" i="4"/>
  <c r="O32" i="4"/>
  <c r="C40" i="5"/>
  <c r="O37" i="4"/>
  <c r="K37" i="4"/>
  <c r="H38" i="4"/>
  <c r="U42" i="4"/>
  <c r="C49" i="5"/>
  <c r="T46" i="4"/>
  <c r="C51" i="5"/>
  <c r="C53" i="5"/>
  <c r="O58" i="4"/>
  <c r="O60" i="4"/>
  <c r="C68" i="5"/>
  <c r="O65" i="4"/>
  <c r="K65" i="4"/>
  <c r="H66" i="4"/>
  <c r="C72" i="5"/>
  <c r="O69" i="4"/>
  <c r="K69" i="4"/>
  <c r="H70" i="4"/>
  <c r="C76" i="5"/>
  <c r="O73" i="4"/>
  <c r="K73" i="4"/>
  <c r="H74" i="4"/>
  <c r="U94" i="4"/>
  <c r="C103" i="5"/>
  <c r="U100" i="4"/>
  <c r="C105" i="5"/>
  <c r="J103" i="4"/>
  <c r="C107" i="5"/>
  <c r="C109" i="5"/>
  <c r="J107" i="4"/>
  <c r="O116" i="4"/>
  <c r="C124" i="5"/>
  <c r="O121" i="4"/>
  <c r="T121" i="4"/>
  <c r="K121" i="4"/>
  <c r="H122" i="4"/>
  <c r="K122" i="4"/>
  <c r="H124" i="4"/>
  <c r="T128" i="4"/>
  <c r="C133" i="5"/>
  <c r="U130" i="4"/>
  <c r="K132" i="4"/>
  <c r="K136" i="4"/>
  <c r="U138" i="4"/>
  <c r="T139" i="4"/>
  <c r="C144" i="5"/>
  <c r="U141" i="4"/>
  <c r="T141" i="4"/>
  <c r="K141" i="4"/>
  <c r="H140" i="4"/>
  <c r="H142" i="4"/>
  <c r="D189" i="5"/>
  <c r="U186" i="4"/>
  <c r="O186" i="4"/>
  <c r="F47" i="5"/>
  <c r="I44" i="4"/>
  <c r="W44" i="4" s="1"/>
  <c r="U46" i="4"/>
  <c r="C55" i="5"/>
  <c r="U52" i="4"/>
  <c r="C57" i="5"/>
  <c r="K55" i="4"/>
  <c r="C59" i="5"/>
  <c r="C80" i="5"/>
  <c r="O77" i="4"/>
  <c r="K77" i="4"/>
  <c r="H78" i="4"/>
  <c r="C84" i="5"/>
  <c r="O81" i="4"/>
  <c r="K81" i="4"/>
  <c r="H82" i="4"/>
  <c r="C88" i="5"/>
  <c r="O85" i="4"/>
  <c r="T85" i="4"/>
  <c r="K85" i="4"/>
  <c r="H86" i="4"/>
  <c r="F99" i="5"/>
  <c r="I96" i="4"/>
  <c r="T100" i="4"/>
  <c r="C111" i="5"/>
  <c r="U108" i="4"/>
  <c r="C113" i="5"/>
  <c r="C115" i="5"/>
  <c r="C117" i="5"/>
  <c r="U119" i="4"/>
  <c r="K126" i="4"/>
  <c r="F131" i="5"/>
  <c r="I128" i="4"/>
  <c r="W128" i="4" s="1"/>
  <c r="B134" i="5"/>
  <c r="U131" i="4"/>
  <c r="O136" i="4"/>
  <c r="C148" i="5"/>
  <c r="U145" i="4"/>
  <c r="T145" i="4"/>
  <c r="K145" i="4"/>
  <c r="O145" i="4"/>
  <c r="H146" i="4"/>
  <c r="C174" i="5"/>
  <c r="O171" i="4"/>
  <c r="K171" i="4"/>
  <c r="K172" i="4"/>
  <c r="H172" i="4"/>
  <c r="F185" i="5"/>
  <c r="J182" i="4"/>
  <c r="I182" i="4"/>
  <c r="W182" i="4" s="1"/>
  <c r="C19" i="5"/>
  <c r="C21" i="5"/>
  <c r="C23" i="5"/>
  <c r="C25" i="5"/>
  <c r="C27" i="5"/>
  <c r="C29" i="5"/>
  <c r="K27" i="4"/>
  <c r="C31" i="5"/>
  <c r="C33" i="5"/>
  <c r="K31" i="4"/>
  <c r="C35" i="5"/>
  <c r="C44" i="5"/>
  <c r="O41" i="4"/>
  <c r="K41" i="4"/>
  <c r="H42" i="4"/>
  <c r="K42" i="4"/>
  <c r="T52" i="4"/>
  <c r="C61" i="5"/>
  <c r="K59" i="4"/>
  <c r="T58" i="4"/>
  <c r="C63" i="5"/>
  <c r="W60" i="4"/>
  <c r="U85" i="4"/>
  <c r="C92" i="5"/>
  <c r="O89" i="4"/>
  <c r="T89" i="4"/>
  <c r="K89" i="4"/>
  <c r="H90" i="4"/>
  <c r="C96" i="5"/>
  <c r="O93" i="4"/>
  <c r="K93" i="4"/>
  <c r="H94" i="4"/>
  <c r="K94" i="4"/>
  <c r="J96" i="4"/>
  <c r="H100" i="4"/>
  <c r="H104" i="4"/>
  <c r="T108" i="4"/>
  <c r="C119" i="5"/>
  <c r="U116" i="4"/>
  <c r="K124" i="4"/>
  <c r="C128" i="5"/>
  <c r="O125" i="4"/>
  <c r="T125" i="4"/>
  <c r="K125" i="4"/>
  <c r="H126" i="4"/>
  <c r="J128" i="4"/>
  <c r="O132" i="4"/>
  <c r="D181" i="5"/>
  <c r="K179" i="4"/>
  <c r="O178" i="4"/>
  <c r="C186" i="5"/>
  <c r="O183" i="4"/>
  <c r="H184" i="4"/>
  <c r="K183" i="4"/>
  <c r="K184" i="4"/>
  <c r="A5" i="4"/>
  <c r="C37" i="5"/>
  <c r="T34" i="4"/>
  <c r="K44" i="4"/>
  <c r="C48" i="5"/>
  <c r="O45" i="4"/>
  <c r="T45" i="4"/>
  <c r="K45" i="4"/>
  <c r="H46" i="4"/>
  <c r="K46" i="4"/>
  <c r="K50" i="4"/>
  <c r="H52" i="4"/>
  <c r="H56" i="4"/>
  <c r="U58" i="4"/>
  <c r="C65" i="5"/>
  <c r="T62" i="4"/>
  <c r="U89" i="4"/>
  <c r="K96" i="4"/>
  <c r="C100" i="5"/>
  <c r="O97" i="4"/>
  <c r="T97" i="4"/>
  <c r="K97" i="4"/>
  <c r="H98" i="4"/>
  <c r="R97" i="4"/>
  <c r="K102" i="4"/>
  <c r="K106" i="4"/>
  <c r="H108" i="4"/>
  <c r="H112" i="4"/>
  <c r="T116" i="4"/>
  <c r="C121" i="5"/>
  <c r="T118" i="4"/>
  <c r="O122" i="4"/>
  <c r="H123" i="4"/>
  <c r="U125" i="4"/>
  <c r="K128" i="4"/>
  <c r="C132" i="5"/>
  <c r="O129" i="4"/>
  <c r="K129" i="4"/>
  <c r="H130" i="4"/>
  <c r="K130" i="4"/>
  <c r="O141" i="4"/>
  <c r="D177" i="5"/>
  <c r="U174" i="4"/>
  <c r="K175" i="4"/>
  <c r="O174" i="4"/>
  <c r="C146" i="5"/>
  <c r="O143" i="4"/>
  <c r="U150" i="4"/>
  <c r="U154" i="4"/>
  <c r="C172" i="5"/>
  <c r="U169" i="4"/>
  <c r="T169" i="4"/>
  <c r="K169" i="4"/>
  <c r="C192" i="5"/>
  <c r="U189" i="4"/>
  <c r="T189" i="4"/>
  <c r="K189" i="4"/>
  <c r="H189" i="4"/>
  <c r="AW5" i="5"/>
  <c r="AV5" i="5"/>
  <c r="AU5" i="5"/>
  <c r="AZ5" i="5"/>
  <c r="AY5" i="5"/>
  <c r="C194" i="5"/>
  <c r="O191" i="4"/>
  <c r="K192" i="4"/>
  <c r="U191" i="4"/>
  <c r="C6" i="5"/>
  <c r="C140" i="5"/>
  <c r="K137" i="4"/>
  <c r="C150" i="5"/>
  <c r="O147" i="4"/>
  <c r="T151" i="4"/>
  <c r="O181" i="4"/>
  <c r="H186" i="4"/>
  <c r="C190" i="5"/>
  <c r="O187" i="4"/>
  <c r="U187" i="4"/>
  <c r="H190" i="4"/>
  <c r="T195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K143" i="4"/>
  <c r="H150" i="4"/>
  <c r="C154" i="5"/>
  <c r="O151" i="4"/>
  <c r="U151" i="4"/>
  <c r="H154" i="4"/>
  <c r="C158" i="5"/>
  <c r="O155" i="4"/>
  <c r="H158" i="4"/>
  <c r="C162" i="5"/>
  <c r="O159" i="4"/>
  <c r="H162" i="4"/>
  <c r="C166" i="5"/>
  <c r="O163" i="4"/>
  <c r="H166" i="4"/>
  <c r="C170" i="5"/>
  <c r="O167" i="4"/>
  <c r="C180" i="5"/>
  <c r="U177" i="4"/>
  <c r="T177" i="4"/>
  <c r="K177" i="4"/>
  <c r="C196" i="5"/>
  <c r="U193" i="4"/>
  <c r="T193" i="4"/>
  <c r="K193" i="4"/>
  <c r="AG42" i="5"/>
  <c r="AF42" i="5"/>
  <c r="F183" i="5"/>
  <c r="J180" i="4"/>
  <c r="O182" i="4"/>
  <c r="O189" i="4"/>
  <c r="K191" i="4"/>
  <c r="H192" i="4"/>
  <c r="C198" i="5"/>
  <c r="O195" i="4"/>
  <c r="U195" i="4"/>
  <c r="U142" i="4"/>
  <c r="H144" i="4"/>
  <c r="K147" i="4"/>
  <c r="O169" i="4"/>
  <c r="C178" i="5"/>
  <c r="O175" i="4"/>
  <c r="I180" i="4"/>
  <c r="Q180" i="4" s="1"/>
  <c r="C184" i="5"/>
  <c r="U181" i="4"/>
  <c r="T181" i="4"/>
  <c r="K181" i="4"/>
  <c r="K187" i="4"/>
  <c r="H194" i="4"/>
  <c r="C188" i="5"/>
  <c r="K185" i="4"/>
  <c r="H185" i="4"/>
  <c r="AQ5" i="5"/>
  <c r="K3" i="4"/>
  <c r="K7" i="4"/>
  <c r="K11" i="4"/>
  <c r="T11" i="4"/>
  <c r="K15" i="4"/>
  <c r="K19" i="4"/>
  <c r="K23" i="4"/>
  <c r="T31" i="4"/>
  <c r="K35" i="4"/>
  <c r="K47" i="4"/>
  <c r="K51" i="4"/>
  <c r="K63" i="4"/>
  <c r="K67" i="4"/>
  <c r="K71" i="4"/>
  <c r="T71" i="4"/>
  <c r="K75" i="4"/>
  <c r="T75" i="4"/>
  <c r="K79" i="4"/>
  <c r="K83" i="4"/>
  <c r="K87" i="4"/>
  <c r="T87" i="4"/>
  <c r="K91" i="4"/>
  <c r="K95" i="4"/>
  <c r="T95" i="4"/>
  <c r="K99" i="4"/>
  <c r="K103" i="4"/>
  <c r="K107" i="4"/>
  <c r="K111" i="4"/>
  <c r="K115" i="4"/>
  <c r="K119" i="4"/>
  <c r="T119" i="4"/>
  <c r="K123" i="4"/>
  <c r="K127" i="4"/>
  <c r="T127" i="4"/>
  <c r="K131" i="4"/>
  <c r="T131" i="4"/>
  <c r="K135" i="4"/>
  <c r="H138" i="4"/>
  <c r="C142" i="5"/>
  <c r="O139" i="4"/>
  <c r="U139" i="4"/>
  <c r="K144" i="4"/>
  <c r="H148" i="4"/>
  <c r="C152" i="5"/>
  <c r="K149" i="4"/>
  <c r="H152" i="4"/>
  <c r="C156" i="5"/>
  <c r="K153" i="4"/>
  <c r="H156" i="4"/>
  <c r="C160" i="5"/>
  <c r="K157" i="4"/>
  <c r="H160" i="4"/>
  <c r="C164" i="5"/>
  <c r="K161" i="4"/>
  <c r="H161" i="4"/>
  <c r="H164" i="4"/>
  <c r="C168" i="5"/>
  <c r="K165" i="4"/>
  <c r="H168" i="4"/>
  <c r="O170" i="4"/>
  <c r="H178" i="4"/>
  <c r="C182" i="5"/>
  <c r="O179" i="4"/>
  <c r="H188" i="4"/>
  <c r="T191" i="4"/>
  <c r="O193" i="4"/>
  <c r="K195" i="4"/>
  <c r="AI5" i="5"/>
  <c r="AH5" i="5"/>
  <c r="AX5" i="5"/>
  <c r="H141" i="4"/>
  <c r="H145" i="4"/>
  <c r="H149" i="4"/>
  <c r="H153" i="4"/>
  <c r="H157" i="4"/>
  <c r="H165" i="4"/>
  <c r="H169" i="4"/>
  <c r="H173" i="4"/>
  <c r="H177" i="4"/>
  <c r="H181" i="4"/>
  <c r="H193" i="4"/>
  <c r="AG28" i="5"/>
  <c r="AG29" i="5"/>
  <c r="AF29" i="5"/>
  <c r="O190" i="4"/>
  <c r="T192" i="4"/>
  <c r="O194" i="4"/>
  <c r="F196" i="4"/>
  <c r="H195" i="4" s="1"/>
  <c r="AG38" i="5"/>
  <c r="AF38" i="5"/>
  <c r="AG89" i="5"/>
  <c r="AF89" i="5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K138" i="4"/>
  <c r="T138" i="4"/>
  <c r="O140" i="4"/>
  <c r="K142" i="4"/>
  <c r="T142" i="4"/>
  <c r="O144" i="4"/>
  <c r="K146" i="4"/>
  <c r="O148" i="4"/>
  <c r="K150" i="4"/>
  <c r="T150" i="4"/>
  <c r="O152" i="4"/>
  <c r="K154" i="4"/>
  <c r="T154" i="4"/>
  <c r="O156" i="4"/>
  <c r="K158" i="4"/>
  <c r="O160" i="4"/>
  <c r="K162" i="4"/>
  <c r="O164" i="4"/>
  <c r="K166" i="4"/>
  <c r="O168" i="4"/>
  <c r="K170" i="4"/>
  <c r="O172" i="4"/>
  <c r="K174" i="4"/>
  <c r="T174" i="4"/>
  <c r="O176" i="4"/>
  <c r="K178" i="4"/>
  <c r="T178" i="4"/>
  <c r="O180" i="4"/>
  <c r="K182" i="4"/>
  <c r="O184" i="4"/>
  <c r="K186" i="4"/>
  <c r="T186" i="4"/>
  <c r="O188" i="4"/>
  <c r="K190" i="4"/>
  <c r="T190" i="4"/>
  <c r="O192" i="4"/>
  <c r="K194" i="4"/>
  <c r="AG20" i="5"/>
  <c r="AG21" i="5"/>
  <c r="AF21" i="5"/>
  <c r="AC14" i="5"/>
  <c r="AG51" i="5"/>
  <c r="AG70" i="5"/>
  <c r="AG83" i="5"/>
  <c r="AF83" i="5"/>
  <c r="AF10" i="5"/>
  <c r="AF22" i="5"/>
  <c r="AF36" i="5"/>
  <c r="AG53" i="5"/>
  <c r="AF53" i="5"/>
  <c r="AF11" i="5"/>
  <c r="AF15" i="5"/>
  <c r="AF16" i="5"/>
  <c r="AF31" i="5"/>
  <c r="AF35" i="5"/>
  <c r="AF12" i="5"/>
  <c r="AF14" i="5"/>
  <c r="AF17" i="5"/>
  <c r="AF32" i="5"/>
  <c r="AF18" i="5"/>
  <c r="AG52" i="5"/>
  <c r="AG64" i="5"/>
  <c r="AF64" i="5"/>
  <c r="AG114" i="5"/>
  <c r="AF114" i="5"/>
  <c r="AC44" i="5"/>
  <c r="AF54" i="5"/>
  <c r="AG71" i="5"/>
  <c r="AF71" i="5"/>
  <c r="AG75" i="5"/>
  <c r="AF75" i="5"/>
  <c r="AG82" i="5"/>
  <c r="AG86" i="5"/>
  <c r="AF86" i="5"/>
  <c r="AG88" i="5"/>
  <c r="AF88" i="5"/>
  <c r="AC88" i="5"/>
  <c r="AG90" i="5"/>
  <c r="AF90" i="5"/>
  <c r="AG92" i="5"/>
  <c r="AF92" i="5"/>
  <c r="AC92" i="5"/>
  <c r="AG97" i="5"/>
  <c r="AF97" i="5"/>
  <c r="AF57" i="5"/>
  <c r="AC78" i="5"/>
  <c r="AG98" i="5"/>
  <c r="AG99" i="5"/>
  <c r="AF99" i="5"/>
  <c r="AG118" i="5"/>
  <c r="AF118" i="5"/>
  <c r="AG95" i="5"/>
  <c r="AF95" i="5"/>
  <c r="AC96" i="5"/>
  <c r="AG96" i="5"/>
  <c r="AG104" i="5"/>
  <c r="AF104" i="5"/>
  <c r="AF66" i="5"/>
  <c r="AF76" i="5"/>
  <c r="AF78" i="5"/>
  <c r="AF79" i="5"/>
  <c r="AF87" i="5"/>
  <c r="AF91" i="5"/>
  <c r="AF96" i="5"/>
  <c r="AG108" i="5"/>
  <c r="AF108" i="5"/>
  <c r="AG135" i="5"/>
  <c r="AF135" i="5"/>
  <c r="AG113" i="5"/>
  <c r="AG117" i="5"/>
  <c r="AF117" i="5"/>
  <c r="AG105" i="5"/>
  <c r="AF105" i="5"/>
  <c r="AG132" i="5"/>
  <c r="AF132" i="5"/>
  <c r="AG134" i="5"/>
  <c r="AF134" i="5"/>
  <c r="AG128" i="5"/>
  <c r="AF128" i="5"/>
  <c r="AC128" i="5"/>
  <c r="AC140" i="5"/>
  <c r="AG140" i="5"/>
  <c r="AF140" i="5"/>
  <c r="AG141" i="5"/>
  <c r="AF141" i="5"/>
  <c r="AC145" i="5"/>
  <c r="AG145" i="5"/>
  <c r="AF145" i="5"/>
  <c r="AF126" i="5"/>
  <c r="AC137" i="5"/>
  <c r="AG164" i="5"/>
  <c r="AF164" i="5"/>
  <c r="AF139" i="5"/>
  <c r="AC156" i="5"/>
  <c r="AG156" i="5"/>
  <c r="AF138" i="5"/>
  <c r="AC155" i="5"/>
  <c r="AG155" i="5"/>
  <c r="AF155" i="5"/>
  <c r="AA35" i="14"/>
  <c r="X35" i="14"/>
  <c r="AF137" i="5"/>
  <c r="AC146" i="5"/>
  <c r="AF147" i="5"/>
  <c r="AG149" i="5"/>
  <c r="AF149" i="5"/>
  <c r="AF136" i="5"/>
  <c r="AG161" i="5"/>
  <c r="AF161" i="5"/>
  <c r="AG157" i="5"/>
  <c r="AG169" i="5"/>
  <c r="AF169" i="5"/>
  <c r="AG171" i="5"/>
  <c r="AF171" i="5"/>
  <c r="AG172" i="5"/>
  <c r="AF172" i="5"/>
  <c r="AF165" i="5"/>
  <c r="AG173" i="5"/>
  <c r="AF173" i="5"/>
  <c r="L6" i="12"/>
  <c r="AA27" i="14"/>
  <c r="X41" i="14"/>
  <c r="AA41" i="14"/>
  <c r="Y49" i="14"/>
  <c r="X49" i="14"/>
  <c r="AA49" i="14"/>
  <c r="AA57" i="14"/>
  <c r="Y57" i="14"/>
  <c r="X57" i="14"/>
  <c r="AA67" i="14"/>
  <c r="Y67" i="14"/>
  <c r="AF73" i="14"/>
  <c r="AF184" i="5"/>
  <c r="AC184" i="5"/>
  <c r="AG184" i="5"/>
  <c r="AA8" i="14"/>
  <c r="AA75" i="14" s="1"/>
  <c r="E19" i="15" s="1"/>
  <c r="H19" i="15" s="1"/>
  <c r="I19" i="15" s="1"/>
  <c r="X27" i="14"/>
  <c r="X8" i="14"/>
  <c r="AA61" i="14"/>
  <c r="X5" i="14"/>
  <c r="X75" i="14" s="1"/>
  <c r="E4" i="15" s="1"/>
  <c r="H4" i="15" s="1"/>
  <c r="I4" i="15" s="1"/>
  <c r="H263" i="9" l="1"/>
  <c r="C231" i="9" s="1"/>
  <c r="D231" i="9" s="1"/>
  <c r="E231" i="9" s="1"/>
  <c r="H379" i="9"/>
  <c r="C347" i="9" s="1"/>
  <c r="D347" i="9" s="1"/>
  <c r="E347" i="9" s="1"/>
  <c r="X12" i="3"/>
  <c r="AA12" i="3"/>
  <c r="P52" i="5"/>
  <c r="U52" i="5" s="1"/>
  <c r="P51" i="5"/>
  <c r="U51" i="5" s="1"/>
  <c r="P39" i="5"/>
  <c r="U39" i="5" s="1"/>
  <c r="P50" i="5"/>
  <c r="U50" i="5" s="1"/>
  <c r="P49" i="5"/>
  <c r="U49" i="5" s="1"/>
  <c r="P48" i="5"/>
  <c r="U48" i="5" s="1"/>
  <c r="P43" i="5"/>
  <c r="U43" i="5" s="1"/>
  <c r="P40" i="5"/>
  <c r="U40" i="5" s="1"/>
  <c r="P38" i="5"/>
  <c r="U38" i="5" s="1"/>
  <c r="P47" i="5"/>
  <c r="U47" i="5" s="1"/>
  <c r="P44" i="5"/>
  <c r="U44" i="5" s="1"/>
  <c r="P42" i="5"/>
  <c r="U42" i="5" s="1"/>
  <c r="P41" i="5"/>
  <c r="U41" i="5" s="1"/>
  <c r="P37" i="5"/>
  <c r="U37" i="5" s="1"/>
  <c r="P31" i="5"/>
  <c r="U31" i="5" s="1"/>
  <c r="P23" i="5"/>
  <c r="U23" i="5" s="1"/>
  <c r="P11" i="5"/>
  <c r="U11" i="5" s="1"/>
  <c r="P45" i="5"/>
  <c r="U45" i="5" s="1"/>
  <c r="P30" i="5"/>
  <c r="U30" i="5" s="1"/>
  <c r="P22" i="5"/>
  <c r="U22" i="5" s="1"/>
  <c r="P10" i="5"/>
  <c r="U10" i="5" s="1"/>
  <c r="P29" i="5"/>
  <c r="U29" i="5" s="1"/>
  <c r="P21" i="5"/>
  <c r="U21" i="5" s="1"/>
  <c r="P28" i="5"/>
  <c r="U28" i="5" s="1"/>
  <c r="P20" i="5"/>
  <c r="U20" i="5" s="1"/>
  <c r="P46" i="5"/>
  <c r="U46" i="5" s="1"/>
  <c r="P27" i="5"/>
  <c r="U27" i="5" s="1"/>
  <c r="P19" i="5"/>
  <c r="U19" i="5" s="1"/>
  <c r="P34" i="5"/>
  <c r="U34" i="5" s="1"/>
  <c r="P26" i="5"/>
  <c r="U26" i="5" s="1"/>
  <c r="P14" i="5"/>
  <c r="U14" i="5" s="1"/>
  <c r="P18" i="5"/>
  <c r="U18" i="5" s="1"/>
  <c r="P17" i="5"/>
  <c r="U17" i="5" s="1"/>
  <c r="P16" i="5"/>
  <c r="U16" i="5" s="1"/>
  <c r="P15" i="5"/>
  <c r="U15" i="5" s="1"/>
  <c r="P13" i="5"/>
  <c r="U13" i="5" s="1"/>
  <c r="P12" i="5"/>
  <c r="U12" i="5" s="1"/>
  <c r="P24" i="5"/>
  <c r="U24" i="5" s="1"/>
  <c r="P36" i="5"/>
  <c r="U36" i="5" s="1"/>
  <c r="P35" i="5"/>
  <c r="U35" i="5" s="1"/>
  <c r="P25" i="5"/>
  <c r="U25" i="5" s="1"/>
  <c r="P33" i="5"/>
  <c r="U33" i="5" s="1"/>
  <c r="P32" i="5"/>
  <c r="U32" i="5" s="1"/>
  <c r="L8" i="3"/>
  <c r="Z8" i="3"/>
  <c r="S32" i="4"/>
  <c r="AA7" i="3"/>
  <c r="X7" i="3"/>
  <c r="Q49" i="3"/>
  <c r="W49" i="3"/>
  <c r="J28" i="3"/>
  <c r="O28" i="3"/>
  <c r="F198" i="5"/>
  <c r="I195" i="4"/>
  <c r="J195" i="4"/>
  <c r="R128" i="4"/>
  <c r="S129" i="4"/>
  <c r="Q129" i="4"/>
  <c r="A6" i="4"/>
  <c r="A7" i="4" s="1"/>
  <c r="B5" i="4"/>
  <c r="F97" i="5"/>
  <c r="I94" i="4"/>
  <c r="J94" i="4"/>
  <c r="Q85" i="4"/>
  <c r="S65" i="4"/>
  <c r="F88" i="5"/>
  <c r="J85" i="4"/>
  <c r="I85" i="4"/>
  <c r="F36" i="5"/>
  <c r="J33" i="4"/>
  <c r="I33" i="4"/>
  <c r="W33" i="4" s="1"/>
  <c r="W131" i="4"/>
  <c r="F105" i="5"/>
  <c r="I102" i="4"/>
  <c r="W102" i="4" s="1"/>
  <c r="J102" i="4"/>
  <c r="F76" i="5"/>
  <c r="J73" i="4"/>
  <c r="I73" i="4"/>
  <c r="F51" i="5"/>
  <c r="I48" i="4"/>
  <c r="J48" i="4"/>
  <c r="R57" i="4"/>
  <c r="F66" i="5"/>
  <c r="J63" i="4"/>
  <c r="I63" i="4"/>
  <c r="W63" i="4" s="1"/>
  <c r="W47" i="4"/>
  <c r="R47" i="4"/>
  <c r="O796" i="9"/>
  <c r="K795" i="9"/>
  <c r="C805" i="9" s="1"/>
  <c r="S25" i="4"/>
  <c r="D790" i="9"/>
  <c r="D796" i="9" s="1"/>
  <c r="D31" i="9"/>
  <c r="D28" i="9"/>
  <c r="G28" i="9" s="1"/>
  <c r="T170" i="5"/>
  <c r="T160" i="5"/>
  <c r="T65" i="5"/>
  <c r="W91" i="4"/>
  <c r="T192" i="5"/>
  <c r="T174" i="5"/>
  <c r="W13" i="3"/>
  <c r="T13" i="3"/>
  <c r="W19" i="4"/>
  <c r="W101" i="4"/>
  <c r="F31" i="5"/>
  <c r="I28" i="4"/>
  <c r="S28" i="4" s="1"/>
  <c r="J28" i="4"/>
  <c r="E291" i="9"/>
  <c r="J38" i="3"/>
  <c r="R38" i="3"/>
  <c r="T15" i="3"/>
  <c r="W15" i="3" s="1"/>
  <c r="T117" i="5"/>
  <c r="I46" i="3"/>
  <c r="K46" i="3" s="1"/>
  <c r="U190" i="5"/>
  <c r="W190" i="5" s="1"/>
  <c r="T99" i="5"/>
  <c r="O455" i="9"/>
  <c r="K454" i="9"/>
  <c r="C464" i="9" s="1"/>
  <c r="S151" i="5"/>
  <c r="S149" i="5"/>
  <c r="S150" i="5"/>
  <c r="S148" i="5"/>
  <c r="S144" i="5"/>
  <c r="S142" i="5"/>
  <c r="S143" i="5"/>
  <c r="T84" i="5"/>
  <c r="T86" i="5"/>
  <c r="T96" i="5"/>
  <c r="T12" i="5"/>
  <c r="T15" i="5"/>
  <c r="T34" i="5"/>
  <c r="T46" i="5"/>
  <c r="T50" i="5"/>
  <c r="R149" i="5"/>
  <c r="T149" i="5" s="1"/>
  <c r="R148" i="5"/>
  <c r="R151" i="5"/>
  <c r="T151" i="5" s="1"/>
  <c r="R150" i="5"/>
  <c r="T150" i="5" s="1"/>
  <c r="R143" i="5"/>
  <c r="T143" i="5" s="1"/>
  <c r="R142" i="5"/>
  <c r="T142" i="5" s="1"/>
  <c r="R144" i="5"/>
  <c r="P39" i="3"/>
  <c r="M39" i="3"/>
  <c r="O29" i="3"/>
  <c r="J29" i="3"/>
  <c r="U165" i="5"/>
  <c r="U170" i="5"/>
  <c r="U186" i="5"/>
  <c r="F147" i="5"/>
  <c r="J144" i="4"/>
  <c r="I144" i="4"/>
  <c r="W144" i="4" s="1"/>
  <c r="Q194" i="4"/>
  <c r="F178" i="5"/>
  <c r="I175" i="4"/>
  <c r="J175" i="4"/>
  <c r="F164" i="5"/>
  <c r="J161" i="4"/>
  <c r="I161" i="4"/>
  <c r="S158" i="4"/>
  <c r="F166" i="5"/>
  <c r="I163" i="4"/>
  <c r="J163" i="4"/>
  <c r="R148" i="4"/>
  <c r="R102" i="4"/>
  <c r="Q103" i="4"/>
  <c r="S103" i="4"/>
  <c r="Q51" i="4"/>
  <c r="R10" i="4"/>
  <c r="R180" i="4"/>
  <c r="F153" i="5"/>
  <c r="J150" i="4"/>
  <c r="I150" i="4"/>
  <c r="R129" i="4"/>
  <c r="F175" i="5"/>
  <c r="J172" i="4"/>
  <c r="I172" i="4"/>
  <c r="Q73" i="4"/>
  <c r="R116" i="4"/>
  <c r="F117" i="5"/>
  <c r="I114" i="4"/>
  <c r="S114" i="4" s="1"/>
  <c r="J114" i="4"/>
  <c r="W51" i="4"/>
  <c r="R51" i="4"/>
  <c r="S178" i="4"/>
  <c r="F162" i="5"/>
  <c r="I159" i="4"/>
  <c r="J159" i="4"/>
  <c r="W180" i="4"/>
  <c r="F190" i="5"/>
  <c r="I187" i="4"/>
  <c r="J187" i="4"/>
  <c r="F158" i="5"/>
  <c r="I155" i="4"/>
  <c r="J155" i="4"/>
  <c r="F160" i="5"/>
  <c r="J157" i="4"/>
  <c r="I157" i="4"/>
  <c r="W157" i="4" s="1"/>
  <c r="S153" i="4"/>
  <c r="Q131" i="4"/>
  <c r="R114" i="4"/>
  <c r="S115" i="4"/>
  <c r="Q115" i="4"/>
  <c r="Q99" i="4"/>
  <c r="R46" i="4"/>
  <c r="Q47" i="4"/>
  <c r="Q23" i="4"/>
  <c r="Q7" i="4"/>
  <c r="Y75" i="14"/>
  <c r="S186" i="4"/>
  <c r="R153" i="4"/>
  <c r="F186" i="5"/>
  <c r="I183" i="4"/>
  <c r="J183" i="4"/>
  <c r="F154" i="5"/>
  <c r="I151" i="4"/>
  <c r="J151" i="4"/>
  <c r="F156" i="5"/>
  <c r="J153" i="4"/>
  <c r="I153" i="4"/>
  <c r="Q195" i="4"/>
  <c r="R194" i="4"/>
  <c r="F163" i="5"/>
  <c r="J160" i="4"/>
  <c r="I160" i="4"/>
  <c r="Q147" i="4"/>
  <c r="F157" i="5"/>
  <c r="J154" i="4"/>
  <c r="I154" i="4"/>
  <c r="F189" i="5"/>
  <c r="J186" i="4"/>
  <c r="I186" i="4"/>
  <c r="W186" i="4" s="1"/>
  <c r="F101" i="5"/>
  <c r="I98" i="4"/>
  <c r="R98" i="4" s="1"/>
  <c r="J98" i="4"/>
  <c r="F59" i="5"/>
  <c r="I56" i="4"/>
  <c r="R56" i="4" s="1"/>
  <c r="J56" i="4"/>
  <c r="Q93" i="4"/>
  <c r="F45" i="5"/>
  <c r="I42" i="4"/>
  <c r="W42" i="4" s="1"/>
  <c r="J42" i="4"/>
  <c r="R170" i="4"/>
  <c r="F81" i="5"/>
  <c r="I78" i="4"/>
  <c r="J78" i="4"/>
  <c r="F145" i="5"/>
  <c r="J142" i="4"/>
  <c r="I142" i="4"/>
  <c r="W142" i="4" s="1"/>
  <c r="F127" i="5"/>
  <c r="I124" i="4"/>
  <c r="W124" i="4" s="1"/>
  <c r="J124" i="4"/>
  <c r="F41" i="5"/>
  <c r="I38" i="4"/>
  <c r="W38" i="4" s="1"/>
  <c r="J38" i="4"/>
  <c r="F137" i="5"/>
  <c r="I134" i="4"/>
  <c r="J134" i="4"/>
  <c r="W170" i="4"/>
  <c r="W55" i="4"/>
  <c r="F82" i="5"/>
  <c r="J79" i="4"/>
  <c r="I79" i="4"/>
  <c r="W59" i="4"/>
  <c r="R59" i="4"/>
  <c r="F32" i="5"/>
  <c r="J29" i="4"/>
  <c r="I29" i="4"/>
  <c r="F56" i="5"/>
  <c r="J53" i="4"/>
  <c r="I53" i="4"/>
  <c r="R38" i="4"/>
  <c r="F17" i="5"/>
  <c r="I14" i="4"/>
  <c r="J14" i="4"/>
  <c r="Q101" i="4"/>
  <c r="F80" i="5"/>
  <c r="J77" i="4"/>
  <c r="I77" i="4"/>
  <c r="W77" i="4" s="1"/>
  <c r="F95" i="5"/>
  <c r="I92" i="4"/>
  <c r="W92" i="4" s="1"/>
  <c r="J92" i="4"/>
  <c r="F53" i="5"/>
  <c r="I50" i="4"/>
  <c r="W50" i="4" s="1"/>
  <c r="J50" i="4"/>
  <c r="F83" i="5"/>
  <c r="I80" i="4"/>
  <c r="W80" i="4" s="1"/>
  <c r="J80" i="4"/>
  <c r="W111" i="4"/>
  <c r="R111" i="4"/>
  <c r="Q36" i="4"/>
  <c r="R35" i="4"/>
  <c r="E281" i="9"/>
  <c r="E790" i="9"/>
  <c r="E791" i="9" s="1"/>
  <c r="T171" i="5"/>
  <c r="T73" i="5"/>
  <c r="T70" i="5"/>
  <c r="F35" i="5"/>
  <c r="I32" i="4"/>
  <c r="J32" i="4"/>
  <c r="T178" i="5"/>
  <c r="T176" i="5"/>
  <c r="T9" i="3"/>
  <c r="W9" i="3"/>
  <c r="O647" i="9"/>
  <c r="K646" i="9"/>
  <c r="C656" i="9" s="1"/>
  <c r="R73" i="4"/>
  <c r="F25" i="5"/>
  <c r="I22" i="4"/>
  <c r="J22" i="4"/>
  <c r="T7" i="5"/>
  <c r="S98" i="4"/>
  <c r="W97" i="4"/>
  <c r="E217" i="9"/>
  <c r="E218" i="9" s="1"/>
  <c r="T130" i="5"/>
  <c r="C128" i="9"/>
  <c r="D127" i="9"/>
  <c r="F127" i="9" s="1"/>
  <c r="H127" i="9" s="1"/>
  <c r="U193" i="5"/>
  <c r="T110" i="5"/>
  <c r="J41" i="3"/>
  <c r="R41" i="3"/>
  <c r="M24" i="3"/>
  <c r="L24" i="3"/>
  <c r="T88" i="5"/>
  <c r="T94" i="5"/>
  <c r="T78" i="5"/>
  <c r="T31" i="5"/>
  <c r="T16" i="5"/>
  <c r="T18" i="5"/>
  <c r="T19" i="5"/>
  <c r="T41" i="5"/>
  <c r="T51" i="5"/>
  <c r="P73" i="5"/>
  <c r="U73" i="5" s="1"/>
  <c r="P72" i="5"/>
  <c r="U72" i="5" s="1"/>
  <c r="P71" i="5"/>
  <c r="U71" i="5" s="1"/>
  <c r="P69" i="5"/>
  <c r="U69" i="5" s="1"/>
  <c r="P66" i="5"/>
  <c r="U66" i="5" s="1"/>
  <c r="P64" i="5"/>
  <c r="U64" i="5" s="1"/>
  <c r="P68" i="5"/>
  <c r="U68" i="5" s="1"/>
  <c r="P67" i="5"/>
  <c r="U67" i="5" s="1"/>
  <c r="P63" i="5"/>
  <c r="U63" i="5" s="1"/>
  <c r="P54" i="5"/>
  <c r="U54" i="5" s="1"/>
  <c r="P53" i="5"/>
  <c r="U53" i="5" s="1"/>
  <c r="P62" i="5"/>
  <c r="U62" i="5" s="1"/>
  <c r="P74" i="5"/>
  <c r="U74" i="5" s="1"/>
  <c r="P70" i="5"/>
  <c r="U70" i="5" s="1"/>
  <c r="P61" i="5"/>
  <c r="U61" i="5" s="1"/>
  <c r="P60" i="5"/>
  <c r="U60" i="5" s="1"/>
  <c r="P59" i="5"/>
  <c r="U59" i="5" s="1"/>
  <c r="P65" i="5"/>
  <c r="U65" i="5" s="1"/>
  <c r="P55" i="5"/>
  <c r="U55" i="5" s="1"/>
  <c r="P56" i="5"/>
  <c r="U56" i="5" s="1"/>
  <c r="W56" i="5" s="1"/>
  <c r="P58" i="5"/>
  <c r="U58" i="5" s="1"/>
  <c r="P57" i="5"/>
  <c r="U57" i="5" s="1"/>
  <c r="Z9" i="3"/>
  <c r="L9" i="3"/>
  <c r="K48" i="9"/>
  <c r="C58" i="9" s="1"/>
  <c r="O49" i="9"/>
  <c r="U160" i="5"/>
  <c r="U155" i="5"/>
  <c r="U171" i="5"/>
  <c r="D26" i="9"/>
  <c r="G26" i="9" s="1"/>
  <c r="U173" i="5"/>
  <c r="S142" i="4"/>
  <c r="F167" i="5"/>
  <c r="J164" i="4"/>
  <c r="I164" i="4"/>
  <c r="R94" i="4"/>
  <c r="Q95" i="4"/>
  <c r="S95" i="4"/>
  <c r="Q63" i="4"/>
  <c r="Q19" i="4"/>
  <c r="F169" i="5"/>
  <c r="J166" i="4"/>
  <c r="I166" i="4"/>
  <c r="R96" i="4"/>
  <c r="S97" i="4"/>
  <c r="Q97" i="4"/>
  <c r="F55" i="5"/>
  <c r="I52" i="4"/>
  <c r="J52" i="4"/>
  <c r="R43" i="4"/>
  <c r="S44" i="4"/>
  <c r="Q44" i="4"/>
  <c r="R183" i="4"/>
  <c r="Q184" i="4"/>
  <c r="Q124" i="4"/>
  <c r="Q41" i="4"/>
  <c r="S27" i="4"/>
  <c r="Q27" i="4"/>
  <c r="R125" i="4"/>
  <c r="F143" i="5"/>
  <c r="J140" i="4"/>
  <c r="I140" i="4"/>
  <c r="R135" i="4"/>
  <c r="S122" i="4"/>
  <c r="F73" i="5"/>
  <c r="I70" i="4"/>
  <c r="J70" i="4"/>
  <c r="R36" i="4"/>
  <c r="S37" i="4"/>
  <c r="S133" i="4"/>
  <c r="F44" i="5"/>
  <c r="J41" i="4"/>
  <c r="I41" i="4"/>
  <c r="R41" i="4" s="1"/>
  <c r="F28" i="5"/>
  <c r="J25" i="4"/>
  <c r="I25" i="4"/>
  <c r="Q25" i="4" s="1"/>
  <c r="F177" i="5"/>
  <c r="J174" i="4"/>
  <c r="I174" i="4"/>
  <c r="F68" i="5"/>
  <c r="J65" i="4"/>
  <c r="I65" i="4"/>
  <c r="W65" i="4" s="1"/>
  <c r="F52" i="5"/>
  <c r="J49" i="4"/>
  <c r="I49" i="4"/>
  <c r="W49" i="4" s="1"/>
  <c r="R91" i="4"/>
  <c r="S92" i="4"/>
  <c r="R48" i="4"/>
  <c r="F123" i="5"/>
  <c r="I120" i="4"/>
  <c r="W120" i="4" s="1"/>
  <c r="J120" i="4"/>
  <c r="F92" i="5"/>
  <c r="J89" i="4"/>
  <c r="I89" i="4"/>
  <c r="R79" i="4"/>
  <c r="R9" i="4"/>
  <c r="F8" i="5"/>
  <c r="J5" i="4"/>
  <c r="I5" i="4"/>
  <c r="W5" i="4" s="1"/>
  <c r="R33" i="4"/>
  <c r="R29" i="4"/>
  <c r="R20" i="4"/>
  <c r="T6" i="5"/>
  <c r="C420" i="9"/>
  <c r="D419" i="9"/>
  <c r="F419" i="9" s="1"/>
  <c r="H419" i="9" s="1"/>
  <c r="R133" i="5"/>
  <c r="T133" i="5" s="1"/>
  <c r="R126" i="5"/>
  <c r="T126" i="5" s="1"/>
  <c r="R125" i="5"/>
  <c r="T125" i="5" s="1"/>
  <c r="R122" i="5"/>
  <c r="T122" i="5" s="1"/>
  <c r="R121" i="5"/>
  <c r="T121" i="5" s="1"/>
  <c r="R132" i="5"/>
  <c r="T132" i="5" s="1"/>
  <c r="R131" i="5"/>
  <c r="T131" i="5" s="1"/>
  <c r="R127" i="5"/>
  <c r="T127" i="5" s="1"/>
  <c r="S38" i="3"/>
  <c r="P38" i="3"/>
  <c r="M38" i="3"/>
  <c r="P152" i="5"/>
  <c r="U152" i="5" s="1"/>
  <c r="P151" i="5"/>
  <c r="U151" i="5" s="1"/>
  <c r="P150" i="5"/>
  <c r="U150" i="5" s="1"/>
  <c r="P145" i="5"/>
  <c r="U145" i="5" s="1"/>
  <c r="P144" i="5"/>
  <c r="U144" i="5" s="1"/>
  <c r="P140" i="5"/>
  <c r="U140" i="5" s="1"/>
  <c r="P146" i="5"/>
  <c r="U146" i="5" s="1"/>
  <c r="P143" i="5"/>
  <c r="U143" i="5" s="1"/>
  <c r="P142" i="5"/>
  <c r="P141" i="5"/>
  <c r="U141" i="5" s="1"/>
  <c r="P149" i="5"/>
  <c r="U149" i="5" s="1"/>
  <c r="P147" i="5"/>
  <c r="U147" i="5" s="1"/>
  <c r="P136" i="5"/>
  <c r="U136" i="5" s="1"/>
  <c r="P137" i="5"/>
  <c r="U137" i="5" s="1"/>
  <c r="P139" i="5"/>
  <c r="U139" i="5" s="1"/>
  <c r="P138" i="5"/>
  <c r="U138" i="5" s="1"/>
  <c r="P148" i="5"/>
  <c r="U148" i="5" s="1"/>
  <c r="W148" i="5" s="1"/>
  <c r="P135" i="5"/>
  <c r="U135" i="5" s="1"/>
  <c r="P153" i="5"/>
  <c r="U153" i="5" s="1"/>
  <c r="Z13" i="3"/>
  <c r="L13" i="3"/>
  <c r="AA10" i="3"/>
  <c r="X10" i="3"/>
  <c r="K396" i="9"/>
  <c r="C406" i="9" s="1"/>
  <c r="O397" i="9"/>
  <c r="D116" i="9"/>
  <c r="J30" i="3"/>
  <c r="O30" i="3"/>
  <c r="C671" i="9"/>
  <c r="D670" i="9"/>
  <c r="F670" i="9" s="1"/>
  <c r="H670" i="9" s="1"/>
  <c r="R191" i="5"/>
  <c r="R198" i="5"/>
  <c r="R194" i="5"/>
  <c r="T194" i="5" s="1"/>
  <c r="R195" i="5"/>
  <c r="R190" i="5"/>
  <c r="R196" i="5"/>
  <c r="R197" i="5"/>
  <c r="T197" i="5" s="1"/>
  <c r="S41" i="3"/>
  <c r="P41" i="3"/>
  <c r="M41" i="3"/>
  <c r="T92" i="5"/>
  <c r="T76" i="5"/>
  <c r="T81" i="5"/>
  <c r="T17" i="5"/>
  <c r="T25" i="5"/>
  <c r="T42" i="5"/>
  <c r="D302" i="9"/>
  <c r="F302" i="9" s="1"/>
  <c r="H302" i="9" s="1"/>
  <c r="C303" i="9"/>
  <c r="W11" i="3"/>
  <c r="T11" i="3"/>
  <c r="E513" i="9"/>
  <c r="U163" i="5"/>
  <c r="U187" i="5"/>
  <c r="F182" i="5"/>
  <c r="I179" i="4"/>
  <c r="Q179" i="4" s="1"/>
  <c r="J179" i="4"/>
  <c r="R78" i="4"/>
  <c r="S79" i="4"/>
  <c r="Q79" i="4"/>
  <c r="R161" i="4"/>
  <c r="F141" i="5"/>
  <c r="J138" i="4"/>
  <c r="I138" i="4"/>
  <c r="W138" i="4" s="1"/>
  <c r="F125" i="5"/>
  <c r="I122" i="4"/>
  <c r="J122" i="4"/>
  <c r="W107" i="4"/>
  <c r="R107" i="4"/>
  <c r="F113" i="5"/>
  <c r="I110" i="4"/>
  <c r="J110" i="4"/>
  <c r="F120" i="5"/>
  <c r="J117" i="4"/>
  <c r="I117" i="4"/>
  <c r="W117" i="4" s="1"/>
  <c r="R89" i="4"/>
  <c r="F24" i="5"/>
  <c r="J21" i="4"/>
  <c r="I21" i="4"/>
  <c r="Q21" i="4" s="1"/>
  <c r="R172" i="4"/>
  <c r="F86" i="5"/>
  <c r="J83" i="4"/>
  <c r="I83" i="4"/>
  <c r="W83" i="4" s="1"/>
  <c r="F57" i="5"/>
  <c r="I54" i="4"/>
  <c r="J54" i="4"/>
  <c r="S120" i="4"/>
  <c r="F65" i="5"/>
  <c r="I62" i="4"/>
  <c r="J62" i="4"/>
  <c r="F11" i="5"/>
  <c r="I8" i="4"/>
  <c r="S9" i="4" s="1"/>
  <c r="J8" i="4"/>
  <c r="F61" i="5"/>
  <c r="I58" i="4"/>
  <c r="W58" i="4" s="1"/>
  <c r="J58" i="4"/>
  <c r="F40" i="5"/>
  <c r="J37" i="4"/>
  <c r="I37" i="4"/>
  <c r="Q37" i="4" s="1"/>
  <c r="I4" i="4"/>
  <c r="W4" i="4" s="1"/>
  <c r="F7" i="5"/>
  <c r="J4" i="4"/>
  <c r="D591" i="9"/>
  <c r="F591" i="9" s="1"/>
  <c r="H591" i="9" s="1"/>
  <c r="C592" i="9"/>
  <c r="O281" i="9"/>
  <c r="K280" i="9"/>
  <c r="C290" i="9" s="1"/>
  <c r="P8" i="5"/>
  <c r="U8" i="5" s="1"/>
  <c r="P5" i="5"/>
  <c r="U5" i="5" s="1"/>
  <c r="P7" i="5"/>
  <c r="U7" i="5" s="1"/>
  <c r="P9" i="5"/>
  <c r="U9" i="5" s="1"/>
  <c r="P6" i="5"/>
  <c r="U6" i="5" s="1"/>
  <c r="Z7" i="3"/>
  <c r="L7" i="3"/>
  <c r="E391" i="9"/>
  <c r="E397" i="9" s="1"/>
  <c r="T187" i="5"/>
  <c r="E276" i="9"/>
  <c r="E275" i="9"/>
  <c r="F78" i="5"/>
  <c r="I75" i="4"/>
  <c r="J75" i="4"/>
  <c r="T5" i="5"/>
  <c r="F33" i="5"/>
  <c r="I30" i="4"/>
  <c r="W30" i="4" s="1"/>
  <c r="J30" i="4"/>
  <c r="C566" i="9"/>
  <c r="H570" i="9" s="1"/>
  <c r="J570" i="9" s="1"/>
  <c r="L50" i="3"/>
  <c r="K50" i="3"/>
  <c r="H50" i="3"/>
  <c r="I50" i="3" s="1"/>
  <c r="D699" i="9"/>
  <c r="T129" i="5"/>
  <c r="D217" i="9"/>
  <c r="D223" i="9" s="1"/>
  <c r="M22" i="3"/>
  <c r="L22" i="3"/>
  <c r="U198" i="5"/>
  <c r="W198" i="5" s="1"/>
  <c r="T109" i="5"/>
  <c r="S198" i="5"/>
  <c r="S197" i="5"/>
  <c r="S196" i="5"/>
  <c r="S195" i="5"/>
  <c r="S194" i="5"/>
  <c r="S191" i="5"/>
  <c r="S190" i="5"/>
  <c r="T87" i="5"/>
  <c r="T24" i="5"/>
  <c r="I16" i="4"/>
  <c r="F19" i="5"/>
  <c r="J16" i="4"/>
  <c r="U157" i="5"/>
  <c r="U159" i="5"/>
  <c r="U172" i="5"/>
  <c r="U189" i="5"/>
  <c r="F196" i="5"/>
  <c r="I193" i="4"/>
  <c r="W193" i="4" s="1"/>
  <c r="J193" i="4"/>
  <c r="F195" i="5"/>
  <c r="J192" i="4"/>
  <c r="I192" i="4"/>
  <c r="Q192" i="4" s="1"/>
  <c r="F184" i="5"/>
  <c r="I181" i="4"/>
  <c r="W181" i="4" s="1"/>
  <c r="J181" i="4"/>
  <c r="F188" i="5"/>
  <c r="I185" i="4"/>
  <c r="R185" i="4" s="1"/>
  <c r="J185" i="4"/>
  <c r="R192" i="4"/>
  <c r="Q59" i="4"/>
  <c r="Q31" i="4"/>
  <c r="F142" i="5"/>
  <c r="I139" i="4"/>
  <c r="J139" i="4"/>
  <c r="F180" i="5"/>
  <c r="I177" i="4"/>
  <c r="W177" i="4" s="1"/>
  <c r="J177" i="4"/>
  <c r="F191" i="5"/>
  <c r="J188" i="4"/>
  <c r="I188" i="4"/>
  <c r="Q161" i="4"/>
  <c r="S161" i="4"/>
  <c r="R160" i="4"/>
  <c r="Q144" i="4"/>
  <c r="R122" i="4"/>
  <c r="Q123" i="4"/>
  <c r="Q91" i="4"/>
  <c r="S75" i="4"/>
  <c r="Q75" i="4"/>
  <c r="S35" i="4"/>
  <c r="R14" i="4"/>
  <c r="Q185" i="4"/>
  <c r="F161" i="5"/>
  <c r="J158" i="4"/>
  <c r="I158" i="4"/>
  <c r="F192" i="5"/>
  <c r="I189" i="4"/>
  <c r="S190" i="4" s="1"/>
  <c r="J189" i="4"/>
  <c r="F115" i="5"/>
  <c r="I112" i="4"/>
  <c r="J112" i="4"/>
  <c r="R45" i="4"/>
  <c r="F187" i="5"/>
  <c r="J184" i="4"/>
  <c r="I184" i="4"/>
  <c r="S184" i="4" s="1"/>
  <c r="F103" i="5"/>
  <c r="I100" i="4"/>
  <c r="R100" i="4" s="1"/>
  <c r="J100" i="4"/>
  <c r="Q116" i="4"/>
  <c r="F85" i="5"/>
  <c r="I82" i="4"/>
  <c r="R82" i="4" s="1"/>
  <c r="J82" i="4"/>
  <c r="R120" i="4"/>
  <c r="Q121" i="4"/>
  <c r="W103" i="4"/>
  <c r="S118" i="4"/>
  <c r="F138" i="5"/>
  <c r="J135" i="4"/>
  <c r="I135" i="4"/>
  <c r="R108" i="4"/>
  <c r="Q109" i="4"/>
  <c r="W115" i="4"/>
  <c r="R115" i="4"/>
  <c r="F12" i="5"/>
  <c r="J9" i="4"/>
  <c r="I9" i="4"/>
  <c r="W9" i="4" s="1"/>
  <c r="F20" i="5"/>
  <c r="J17" i="4"/>
  <c r="I17" i="4"/>
  <c r="W17" i="4" s="1"/>
  <c r="F108" i="5"/>
  <c r="J105" i="4"/>
  <c r="I105" i="4"/>
  <c r="W105" i="4" s="1"/>
  <c r="F90" i="5"/>
  <c r="J87" i="4"/>
  <c r="I87" i="4"/>
  <c r="W87" i="4" s="1"/>
  <c r="R67" i="4"/>
  <c r="R52" i="4"/>
  <c r="S53" i="4"/>
  <c r="Q53" i="4"/>
  <c r="F91" i="5"/>
  <c r="I88" i="4"/>
  <c r="W88" i="4" s="1"/>
  <c r="J88" i="4"/>
  <c r="F84" i="5"/>
  <c r="J81" i="4"/>
  <c r="I81" i="4"/>
  <c r="W81" i="4" s="1"/>
  <c r="R60" i="4"/>
  <c r="S61" i="4"/>
  <c r="Q61" i="4"/>
  <c r="Q57" i="4"/>
  <c r="F43" i="5"/>
  <c r="I40" i="4"/>
  <c r="J40" i="4"/>
  <c r="F13" i="5"/>
  <c r="I10" i="4"/>
  <c r="W10" i="4" s="1"/>
  <c r="J10" i="4"/>
  <c r="I24" i="4"/>
  <c r="F27" i="5"/>
  <c r="J24" i="4"/>
  <c r="T173" i="5"/>
  <c r="S61" i="5"/>
  <c r="T61" i="5" s="1"/>
  <c r="S60" i="5"/>
  <c r="S56" i="5"/>
  <c r="S55" i="5"/>
  <c r="T55" i="5" s="1"/>
  <c r="R28" i="4"/>
  <c r="S29" i="4"/>
  <c r="Q29" i="4"/>
  <c r="K48" i="3"/>
  <c r="I48" i="3"/>
  <c r="H48" i="3"/>
  <c r="L48" i="3"/>
  <c r="P116" i="5"/>
  <c r="U116" i="5" s="1"/>
  <c r="P115" i="5"/>
  <c r="U115" i="5" s="1"/>
  <c r="P114" i="5"/>
  <c r="U114" i="5" s="1"/>
  <c r="P112" i="5"/>
  <c r="U112" i="5" s="1"/>
  <c r="P128" i="5"/>
  <c r="U128" i="5" s="1"/>
  <c r="P127" i="5"/>
  <c r="U127" i="5" s="1"/>
  <c r="P125" i="5"/>
  <c r="U125" i="5" s="1"/>
  <c r="P123" i="5"/>
  <c r="U123" i="5" s="1"/>
  <c r="W123" i="5" s="1"/>
  <c r="P121" i="5"/>
  <c r="U121" i="5" s="1"/>
  <c r="P119" i="5"/>
  <c r="U119" i="5" s="1"/>
  <c r="W119" i="5" s="1"/>
  <c r="P117" i="5"/>
  <c r="U117" i="5" s="1"/>
  <c r="P113" i="5"/>
  <c r="U113" i="5" s="1"/>
  <c r="P131" i="5"/>
  <c r="U131" i="5" s="1"/>
  <c r="P129" i="5"/>
  <c r="U129" i="5" s="1"/>
  <c r="P133" i="5"/>
  <c r="U133" i="5" s="1"/>
  <c r="P126" i="5"/>
  <c r="U126" i="5" s="1"/>
  <c r="P124" i="5"/>
  <c r="U124" i="5" s="1"/>
  <c r="W124" i="5" s="1"/>
  <c r="P122" i="5"/>
  <c r="U122" i="5" s="1"/>
  <c r="P120" i="5"/>
  <c r="U120" i="5" s="1"/>
  <c r="W120" i="5" s="1"/>
  <c r="P118" i="5"/>
  <c r="U118" i="5" s="1"/>
  <c r="P130" i="5"/>
  <c r="U130" i="5" s="1"/>
  <c r="P134" i="5"/>
  <c r="U134" i="5" s="1"/>
  <c r="P132" i="5"/>
  <c r="U132" i="5" s="1"/>
  <c r="L12" i="3"/>
  <c r="Z12" i="3"/>
  <c r="J49" i="3"/>
  <c r="I49" i="3"/>
  <c r="R49" i="3" s="1"/>
  <c r="S49" i="3" s="1"/>
  <c r="U194" i="5"/>
  <c r="W194" i="5" s="1"/>
  <c r="P107" i="5"/>
  <c r="U107" i="5" s="1"/>
  <c r="P106" i="5"/>
  <c r="U106" i="5" s="1"/>
  <c r="P105" i="5"/>
  <c r="U105" i="5" s="1"/>
  <c r="P111" i="5"/>
  <c r="U111" i="5" s="1"/>
  <c r="P102" i="5"/>
  <c r="P110" i="5"/>
  <c r="U110" i="5" s="1"/>
  <c r="P101" i="5"/>
  <c r="P100" i="5"/>
  <c r="U100" i="5" s="1"/>
  <c r="W100" i="5" s="1"/>
  <c r="P99" i="5"/>
  <c r="U99" i="5" s="1"/>
  <c r="P108" i="5"/>
  <c r="U108" i="5" s="1"/>
  <c r="P104" i="5"/>
  <c r="U104" i="5" s="1"/>
  <c r="P103" i="5"/>
  <c r="P109" i="5"/>
  <c r="U109" i="5" s="1"/>
  <c r="L11" i="3"/>
  <c r="Z11" i="3"/>
  <c r="T85" i="5"/>
  <c r="T89" i="5"/>
  <c r="T83" i="5"/>
  <c r="T22" i="5"/>
  <c r="T32" i="5"/>
  <c r="T35" i="5"/>
  <c r="T28" i="5"/>
  <c r="T47" i="5"/>
  <c r="E407" i="9"/>
  <c r="D102" i="9"/>
  <c r="U158" i="5"/>
  <c r="U167" i="5"/>
  <c r="U175" i="5"/>
  <c r="U183" i="5"/>
  <c r="F152" i="5"/>
  <c r="J149" i="4"/>
  <c r="I149" i="4"/>
  <c r="W149" i="4" s="1"/>
  <c r="Q157" i="4"/>
  <c r="S157" i="4"/>
  <c r="R110" i="4"/>
  <c r="S111" i="4"/>
  <c r="Q111" i="4"/>
  <c r="F146" i="5"/>
  <c r="I143" i="4"/>
  <c r="W143" i="4" s="1"/>
  <c r="J143" i="4"/>
  <c r="F107" i="5"/>
  <c r="I104" i="4"/>
  <c r="R104" i="4" s="1"/>
  <c r="J104" i="4"/>
  <c r="R54" i="4"/>
  <c r="Q55" i="4"/>
  <c r="S55" i="4"/>
  <c r="S182" i="4"/>
  <c r="Q182" i="4"/>
  <c r="R181" i="4"/>
  <c r="F174" i="5"/>
  <c r="I171" i="4"/>
  <c r="J171" i="4"/>
  <c r="F144" i="5"/>
  <c r="J141" i="4"/>
  <c r="I141" i="4"/>
  <c r="W141" i="4" s="1"/>
  <c r="F171" i="5"/>
  <c r="J168" i="4"/>
  <c r="I168" i="4"/>
  <c r="Q107" i="4"/>
  <c r="F197" i="5"/>
  <c r="J194" i="4"/>
  <c r="I194" i="4"/>
  <c r="S195" i="4" s="1"/>
  <c r="F193" i="5"/>
  <c r="J190" i="4"/>
  <c r="I190" i="4"/>
  <c r="R127" i="4"/>
  <c r="S128" i="4"/>
  <c r="Q128" i="4"/>
  <c r="S132" i="4"/>
  <c r="R131" i="4"/>
  <c r="Q170" i="4"/>
  <c r="R169" i="4"/>
  <c r="R137" i="4"/>
  <c r="F170" i="5"/>
  <c r="I167" i="4"/>
  <c r="J167" i="4"/>
  <c r="F176" i="5"/>
  <c r="I173" i="4"/>
  <c r="W173" i="4" s="1"/>
  <c r="J173" i="4"/>
  <c r="R164" i="4"/>
  <c r="F155" i="5"/>
  <c r="J152" i="4"/>
  <c r="I152" i="4"/>
  <c r="R134" i="4"/>
  <c r="S135" i="4"/>
  <c r="Q135" i="4"/>
  <c r="Q187" i="4"/>
  <c r="R186" i="4"/>
  <c r="S187" i="4"/>
  <c r="Q189" i="4"/>
  <c r="S189" i="4"/>
  <c r="R188" i="4"/>
  <c r="F111" i="5"/>
  <c r="I108" i="4"/>
  <c r="J108" i="4"/>
  <c r="F49" i="5"/>
  <c r="I46" i="4"/>
  <c r="W46" i="4" s="1"/>
  <c r="J46" i="4"/>
  <c r="F129" i="5"/>
  <c r="I126" i="4"/>
  <c r="W126" i="4" s="1"/>
  <c r="J126" i="4"/>
  <c r="F93" i="5"/>
  <c r="I90" i="4"/>
  <c r="W90" i="4" s="1"/>
  <c r="J90" i="4"/>
  <c r="F149" i="5"/>
  <c r="J146" i="4"/>
  <c r="I146" i="4"/>
  <c r="R146" i="4" s="1"/>
  <c r="R80" i="4"/>
  <c r="S81" i="4"/>
  <c r="Q81" i="4"/>
  <c r="F77" i="5"/>
  <c r="I74" i="4"/>
  <c r="Q74" i="4" s="1"/>
  <c r="J74" i="4"/>
  <c r="F121" i="5"/>
  <c r="I118" i="4"/>
  <c r="R118" i="4" s="1"/>
  <c r="J118" i="4"/>
  <c r="F179" i="5"/>
  <c r="J176" i="4"/>
  <c r="I176" i="4"/>
  <c r="F136" i="5"/>
  <c r="J133" i="4"/>
  <c r="I133" i="4"/>
  <c r="Q133" i="4" s="1"/>
  <c r="F87" i="5"/>
  <c r="I84" i="4"/>
  <c r="W84" i="4" s="1"/>
  <c r="J84" i="4"/>
  <c r="S52" i="4"/>
  <c r="F15" i="5"/>
  <c r="I12" i="4"/>
  <c r="R12" i="4" s="1"/>
  <c r="J12" i="4"/>
  <c r="R37" i="4"/>
  <c r="S38" i="4"/>
  <c r="F38" i="5"/>
  <c r="J35" i="4"/>
  <c r="I35" i="4"/>
  <c r="W35" i="4" s="1"/>
  <c r="F124" i="5"/>
  <c r="J121" i="4"/>
  <c r="I121" i="4"/>
  <c r="R121" i="4" s="1"/>
  <c r="Q88" i="4"/>
  <c r="S40" i="4"/>
  <c r="R8" i="4"/>
  <c r="Q9" i="4"/>
  <c r="C334" i="9"/>
  <c r="H338" i="9" s="1"/>
  <c r="J338" i="9" s="1"/>
  <c r="T165" i="5"/>
  <c r="T145" i="5"/>
  <c r="D816" i="9"/>
  <c r="F816" i="9" s="1"/>
  <c r="H816" i="9" s="1"/>
  <c r="C817" i="9"/>
  <c r="F37" i="5"/>
  <c r="I34" i="4"/>
  <c r="Q34" i="4" s="1"/>
  <c r="J34" i="4"/>
  <c r="W23" i="4"/>
  <c r="R23" i="4"/>
  <c r="T175" i="5"/>
  <c r="T184" i="5"/>
  <c r="W31" i="4"/>
  <c r="R31" i="4"/>
  <c r="D955" i="9"/>
  <c r="D961" i="9" s="1"/>
  <c r="D956" i="9"/>
  <c r="C218" i="9"/>
  <c r="H222" i="9" s="1"/>
  <c r="J222" i="9" s="1"/>
  <c r="T9" i="5"/>
  <c r="C476" i="9"/>
  <c r="D475" i="9"/>
  <c r="F475" i="9" s="1"/>
  <c r="H475" i="9" s="1"/>
  <c r="AN9" i="3"/>
  <c r="AO9" i="3"/>
  <c r="W27" i="4"/>
  <c r="T115" i="5"/>
  <c r="T112" i="5"/>
  <c r="C187" i="9"/>
  <c r="D187" i="9" s="1"/>
  <c r="F187" i="9" s="1"/>
  <c r="H187" i="9" s="1"/>
  <c r="D186" i="9"/>
  <c r="F186" i="9" s="1"/>
  <c r="H186" i="9" s="1"/>
  <c r="U195" i="5"/>
  <c r="T104" i="5"/>
  <c r="C533" i="9"/>
  <c r="D532" i="9"/>
  <c r="F532" i="9" s="1"/>
  <c r="H532" i="9" s="1"/>
  <c r="D566" i="9"/>
  <c r="D565" i="9"/>
  <c r="D571" i="9" s="1"/>
  <c r="J40" i="3"/>
  <c r="R40" i="3"/>
  <c r="T95" i="5"/>
  <c r="T90" i="5"/>
  <c r="T97" i="5"/>
  <c r="T23" i="5"/>
  <c r="T36" i="5"/>
  <c r="T39" i="5"/>
  <c r="T21" i="5"/>
  <c r="T38" i="5"/>
  <c r="D69" i="9"/>
  <c r="F69" i="9" s="1"/>
  <c r="H69" i="9" s="1"/>
  <c r="C70" i="9"/>
  <c r="AA8" i="3"/>
  <c r="X8" i="3"/>
  <c r="Q70" i="4"/>
  <c r="S70" i="4"/>
  <c r="R69" i="4"/>
  <c r="U164" i="5"/>
  <c r="U161" i="5"/>
  <c r="U185" i="5"/>
  <c r="U177" i="5"/>
  <c r="U184" i="5"/>
  <c r="F150" i="5"/>
  <c r="I147" i="4"/>
  <c r="J147" i="4"/>
  <c r="F181" i="5"/>
  <c r="J178" i="4"/>
  <c r="I178" i="4"/>
  <c r="Q127" i="4"/>
  <c r="F148" i="5"/>
  <c r="I145" i="4"/>
  <c r="W145" i="4" s="1"/>
  <c r="J145" i="4"/>
  <c r="F151" i="5"/>
  <c r="J148" i="4"/>
  <c r="I148" i="4"/>
  <c r="Q191" i="4"/>
  <c r="R190" i="4"/>
  <c r="S191" i="4"/>
  <c r="Q183" i="4"/>
  <c r="R182" i="4"/>
  <c r="S183" i="4"/>
  <c r="F172" i="5"/>
  <c r="J169" i="4"/>
  <c r="I169" i="4"/>
  <c r="W169" i="4" s="1"/>
  <c r="F70" i="5"/>
  <c r="I67" i="4"/>
  <c r="W67" i="4" s="1"/>
  <c r="J67" i="4"/>
  <c r="I64" i="4"/>
  <c r="Q64" i="4" s="1"/>
  <c r="F67" i="5"/>
  <c r="J64" i="4"/>
  <c r="F6" i="5"/>
  <c r="I3" i="4"/>
  <c r="W3" i="4" s="1"/>
  <c r="J3" i="4"/>
  <c r="F109" i="5"/>
  <c r="I106" i="4"/>
  <c r="W106" i="4" s="1"/>
  <c r="J106" i="4"/>
  <c r="R85" i="4"/>
  <c r="F75" i="5"/>
  <c r="I72" i="4"/>
  <c r="R72" i="4" s="1"/>
  <c r="J72" i="4"/>
  <c r="S108" i="4"/>
  <c r="F79" i="5"/>
  <c r="I76" i="4"/>
  <c r="W76" i="4" s="1"/>
  <c r="J76" i="4"/>
  <c r="Q72" i="4"/>
  <c r="R71" i="4"/>
  <c r="F72" i="5"/>
  <c r="J69" i="4"/>
  <c r="I69" i="4"/>
  <c r="F9" i="5"/>
  <c r="I6" i="4"/>
  <c r="Q6" i="4" s="1"/>
  <c r="J6" i="4"/>
  <c r="F18" i="5"/>
  <c r="J15" i="4"/>
  <c r="I15" i="4"/>
  <c r="C926" i="9"/>
  <c r="D925" i="9"/>
  <c r="F925" i="9" s="1"/>
  <c r="H925" i="9" s="1"/>
  <c r="K512" i="9"/>
  <c r="C522" i="9" s="1"/>
  <c r="O513" i="9"/>
  <c r="J23" i="3"/>
  <c r="O23" i="3"/>
  <c r="R32" i="4"/>
  <c r="S33" i="4"/>
  <c r="Q33" i="4"/>
  <c r="C31" i="9"/>
  <c r="C28" i="9"/>
  <c r="F28" i="9" s="1"/>
  <c r="T188" i="5"/>
  <c r="E955" i="9"/>
  <c r="E956" i="9" s="1"/>
  <c r="C872" i="9"/>
  <c r="D871" i="9"/>
  <c r="F871" i="9" s="1"/>
  <c r="H871" i="9" s="1"/>
  <c r="F23" i="5"/>
  <c r="I20" i="4"/>
  <c r="J20" i="4"/>
  <c r="D981" i="9"/>
  <c r="F981" i="9" s="1"/>
  <c r="H981" i="9" s="1"/>
  <c r="C982" i="9"/>
  <c r="T56" i="5"/>
  <c r="E59" i="9"/>
  <c r="T16" i="3"/>
  <c r="W16" i="3"/>
  <c r="T116" i="5"/>
  <c r="T113" i="5"/>
  <c r="L23" i="3"/>
  <c r="M23" i="3"/>
  <c r="E165" i="9"/>
  <c r="T107" i="5"/>
  <c r="J47" i="3"/>
  <c r="R181" i="5"/>
  <c r="T181" i="5" s="1"/>
  <c r="R183" i="5"/>
  <c r="T183" i="5" s="1"/>
  <c r="R182" i="5"/>
  <c r="S40" i="3"/>
  <c r="M40" i="3"/>
  <c r="P40" i="3" s="1"/>
  <c r="P96" i="5"/>
  <c r="U96" i="5" s="1"/>
  <c r="P98" i="5"/>
  <c r="U98" i="5" s="1"/>
  <c r="P97" i="5"/>
  <c r="U97" i="5" s="1"/>
  <c r="P95" i="5"/>
  <c r="U95" i="5" s="1"/>
  <c r="P85" i="5"/>
  <c r="U85" i="5" s="1"/>
  <c r="P84" i="5"/>
  <c r="U84" i="5" s="1"/>
  <c r="P83" i="5"/>
  <c r="U83" i="5" s="1"/>
  <c r="P81" i="5"/>
  <c r="U81" i="5" s="1"/>
  <c r="P78" i="5"/>
  <c r="U78" i="5" s="1"/>
  <c r="P92" i="5"/>
  <c r="U92" i="5" s="1"/>
  <c r="P88" i="5"/>
  <c r="U88" i="5" s="1"/>
  <c r="P80" i="5"/>
  <c r="U80" i="5" s="1"/>
  <c r="P79" i="5"/>
  <c r="U79" i="5" s="1"/>
  <c r="P77" i="5"/>
  <c r="U77" i="5" s="1"/>
  <c r="P94" i="5"/>
  <c r="U94" i="5" s="1"/>
  <c r="P90" i="5"/>
  <c r="U90" i="5" s="1"/>
  <c r="P86" i="5"/>
  <c r="U86" i="5" s="1"/>
  <c r="P82" i="5"/>
  <c r="U82" i="5" s="1"/>
  <c r="P75" i="5"/>
  <c r="U75" i="5" s="1"/>
  <c r="P93" i="5"/>
  <c r="U93" i="5" s="1"/>
  <c r="P91" i="5"/>
  <c r="U91" i="5" s="1"/>
  <c r="P89" i="5"/>
  <c r="U89" i="5" s="1"/>
  <c r="P87" i="5"/>
  <c r="U87" i="5" s="1"/>
  <c r="P76" i="5"/>
  <c r="U76" i="5" s="1"/>
  <c r="L10" i="3"/>
  <c r="Z10" i="3"/>
  <c r="T79" i="5"/>
  <c r="T91" i="5"/>
  <c r="T10" i="5"/>
  <c r="T29" i="5"/>
  <c r="T40" i="5"/>
  <c r="F21" i="5"/>
  <c r="I18" i="4"/>
  <c r="W18" i="4" s="1"/>
  <c r="J18" i="4"/>
  <c r="J37" i="3"/>
  <c r="R37" i="3"/>
  <c r="U168" i="5"/>
  <c r="U169" i="5"/>
  <c r="D174" i="9"/>
  <c r="U176" i="5"/>
  <c r="U178" i="5"/>
  <c r="I47" i="3"/>
  <c r="R47" i="3" s="1"/>
  <c r="S47" i="3" s="1"/>
  <c r="F126" i="5"/>
  <c r="J123" i="4"/>
  <c r="I123" i="4"/>
  <c r="W123" i="4" s="1"/>
  <c r="R95" i="4"/>
  <c r="S96" i="4"/>
  <c r="Q96" i="4"/>
  <c r="R44" i="4"/>
  <c r="S45" i="4"/>
  <c r="Q45" i="4"/>
  <c r="R124" i="4"/>
  <c r="S125" i="4"/>
  <c r="Q125" i="4"/>
  <c r="R88" i="4"/>
  <c r="S89" i="4"/>
  <c r="Q89" i="4"/>
  <c r="F140" i="5"/>
  <c r="J137" i="4"/>
  <c r="I137" i="4"/>
  <c r="W137" i="4" s="1"/>
  <c r="F135" i="5"/>
  <c r="I132" i="4"/>
  <c r="R132" i="4" s="1"/>
  <c r="J132" i="4"/>
  <c r="R83" i="4"/>
  <c r="Q84" i="4"/>
  <c r="F194" i="5"/>
  <c r="I191" i="4"/>
  <c r="J191" i="4"/>
  <c r="F168" i="5"/>
  <c r="J165" i="4"/>
  <c r="I165" i="4"/>
  <c r="S166" i="4" s="1"/>
  <c r="F159" i="5"/>
  <c r="J156" i="4"/>
  <c r="I156" i="4"/>
  <c r="R156" i="4" s="1"/>
  <c r="F165" i="5"/>
  <c r="J162" i="4"/>
  <c r="I162" i="4"/>
  <c r="R142" i="4"/>
  <c r="F133" i="5"/>
  <c r="I130" i="4"/>
  <c r="S131" i="4" s="1"/>
  <c r="J130" i="4"/>
  <c r="Q102" i="4"/>
  <c r="S102" i="4"/>
  <c r="R101" i="4"/>
  <c r="Q94" i="4"/>
  <c r="R93" i="4"/>
  <c r="S94" i="4"/>
  <c r="R171" i="4"/>
  <c r="S172" i="4"/>
  <c r="Q172" i="4"/>
  <c r="Q145" i="4"/>
  <c r="S145" i="4"/>
  <c r="R144" i="4"/>
  <c r="F89" i="5"/>
  <c r="I86" i="4"/>
  <c r="W86" i="4" s="1"/>
  <c r="J86" i="4"/>
  <c r="F69" i="5"/>
  <c r="I66" i="4"/>
  <c r="W66" i="4" s="1"/>
  <c r="J66" i="4"/>
  <c r="F139" i="5"/>
  <c r="I136" i="4"/>
  <c r="W136" i="4" s="1"/>
  <c r="J136" i="4"/>
  <c r="R42" i="4"/>
  <c r="Q43" i="4"/>
  <c r="S43" i="4"/>
  <c r="R112" i="4"/>
  <c r="S113" i="4"/>
  <c r="Q113" i="4"/>
  <c r="Q78" i="4"/>
  <c r="R77" i="4"/>
  <c r="S78" i="4"/>
  <c r="F14" i="5"/>
  <c r="I11" i="4"/>
  <c r="Q11" i="4" s="1"/>
  <c r="J11" i="4"/>
  <c r="F71" i="5"/>
  <c r="I68" i="4"/>
  <c r="W68" i="4" s="1"/>
  <c r="J68" i="4"/>
  <c r="F42" i="5"/>
  <c r="J39" i="4"/>
  <c r="I39" i="4"/>
  <c r="Q39" i="4" s="1"/>
  <c r="F16" i="5"/>
  <c r="J13" i="4"/>
  <c r="I13" i="4"/>
  <c r="R75" i="4"/>
  <c r="F122" i="5"/>
  <c r="J119" i="4"/>
  <c r="I119" i="4"/>
  <c r="W119" i="4" s="1"/>
  <c r="R4" i="4"/>
  <c r="S5" i="4"/>
  <c r="E796" i="9"/>
  <c r="O851" i="9"/>
  <c r="K850" i="9"/>
  <c r="C860" i="9" s="1"/>
  <c r="F29" i="5"/>
  <c r="I26" i="4"/>
  <c r="J26" i="4"/>
  <c r="T167" i="5"/>
  <c r="T135" i="5"/>
  <c r="C29" i="9"/>
  <c r="C24" i="9"/>
  <c r="F24" i="9" s="1"/>
  <c r="T193" i="5"/>
  <c r="T14" i="3"/>
  <c r="W14" i="3" s="1"/>
  <c r="E160" i="9"/>
  <c r="E159" i="9"/>
  <c r="T60" i="5"/>
  <c r="T114" i="5"/>
  <c r="E43" i="9"/>
  <c r="E44" i="9" s="1"/>
  <c r="U191" i="5"/>
  <c r="W191" i="5" s="1"/>
  <c r="U197" i="5"/>
  <c r="T106" i="5"/>
  <c r="M47" i="3"/>
  <c r="P47" i="3" s="1"/>
  <c r="R46" i="3"/>
  <c r="S183" i="5"/>
  <c r="S182" i="5"/>
  <c r="S181" i="5"/>
  <c r="T77" i="5"/>
  <c r="T75" i="5"/>
  <c r="T93" i="5"/>
  <c r="T30" i="5"/>
  <c r="T13" i="5"/>
  <c r="T26" i="5"/>
  <c r="T45" i="5"/>
  <c r="T43" i="5"/>
  <c r="J39" i="3"/>
  <c r="R39" i="3"/>
  <c r="S39" i="3" s="1"/>
  <c r="R16" i="4"/>
  <c r="S17" i="4"/>
  <c r="Q17" i="4"/>
  <c r="D724" i="9"/>
  <c r="F724" i="9" s="1"/>
  <c r="H724" i="9" s="1"/>
  <c r="C725" i="9"/>
  <c r="R103" i="5"/>
  <c r="T103" i="5" s="1"/>
  <c r="R102" i="5"/>
  <c r="T102" i="5" s="1"/>
  <c r="R101" i="5"/>
  <c r="T101" i="5" s="1"/>
  <c r="R100" i="5"/>
  <c r="T100" i="5" s="1"/>
  <c r="S37" i="3"/>
  <c r="P37" i="3"/>
  <c r="M37" i="3"/>
  <c r="F74" i="5"/>
  <c r="I71" i="4"/>
  <c r="J71" i="4"/>
  <c r="U156" i="5"/>
  <c r="U162" i="5"/>
  <c r="U179" i="5"/>
  <c r="U180" i="5"/>
  <c r="E6" i="15" l="1"/>
  <c r="H6" i="15" s="1"/>
  <c r="I6" i="15" s="1"/>
  <c r="E33" i="16"/>
  <c r="H205" i="9"/>
  <c r="C173" i="9" s="1"/>
  <c r="D173" i="9" s="1"/>
  <c r="E173" i="9" s="1"/>
  <c r="Q40" i="3"/>
  <c r="W40" i="3"/>
  <c r="AA15" i="3"/>
  <c r="X15" i="3"/>
  <c r="W47" i="3"/>
  <c r="Q47" i="3"/>
  <c r="AA14" i="3"/>
  <c r="X14" i="3"/>
  <c r="E20" i="15"/>
  <c r="H20" i="15" s="1"/>
  <c r="I20" i="15" s="1"/>
  <c r="E11" i="15"/>
  <c r="H11" i="15" s="1"/>
  <c r="I11" i="15" s="1"/>
  <c r="E9" i="15"/>
  <c r="H9" i="15" s="1"/>
  <c r="I9" i="15" s="1"/>
  <c r="E10" i="15"/>
  <c r="H10" i="15" s="1"/>
  <c r="I10" i="15" s="1"/>
  <c r="E8" i="15"/>
  <c r="H8" i="15" s="1"/>
  <c r="I8" i="15" s="1"/>
  <c r="AL68" i="14"/>
  <c r="D522" i="9"/>
  <c r="Q86" i="4"/>
  <c r="W139" i="4"/>
  <c r="R139" i="4"/>
  <c r="S140" i="4"/>
  <c r="T196" i="5"/>
  <c r="Q38" i="3"/>
  <c r="W38" i="3"/>
  <c r="S49" i="4"/>
  <c r="AA16" i="3"/>
  <c r="X16" i="3"/>
  <c r="Q176" i="4"/>
  <c r="W176" i="4"/>
  <c r="S150" i="4"/>
  <c r="E174" i="9"/>
  <c r="S20" i="4"/>
  <c r="W20" i="4"/>
  <c r="Q20" i="4"/>
  <c r="E961" i="9"/>
  <c r="S86" i="4"/>
  <c r="Q148" i="4"/>
  <c r="W148" i="4"/>
  <c r="R126" i="4"/>
  <c r="K222" i="9"/>
  <c r="C232" i="9" s="1"/>
  <c r="O223" i="9"/>
  <c r="R39" i="4"/>
  <c r="W108" i="4"/>
  <c r="Q108" i="4"/>
  <c r="Q165" i="4"/>
  <c r="Q138" i="4"/>
  <c r="U102" i="5"/>
  <c r="W122" i="5"/>
  <c r="W40" i="4"/>
  <c r="Q118" i="4"/>
  <c r="W158" i="4"/>
  <c r="R158" i="4"/>
  <c r="S159" i="4"/>
  <c r="S91" i="4"/>
  <c r="S31" i="4"/>
  <c r="W62" i="4"/>
  <c r="Q62" i="4"/>
  <c r="S62" i="4"/>
  <c r="W122" i="4"/>
  <c r="D406" i="9"/>
  <c r="E49" i="9"/>
  <c r="Q80" i="4"/>
  <c r="S13" i="4"/>
  <c r="W174" i="4"/>
  <c r="W70" i="4"/>
  <c r="W140" i="4"/>
  <c r="Q140" i="4"/>
  <c r="Q126" i="4"/>
  <c r="S124" i="4"/>
  <c r="Q169" i="4"/>
  <c r="S63" i="4"/>
  <c r="Q142" i="4"/>
  <c r="E223" i="9"/>
  <c r="W22" i="4"/>
  <c r="Q22" i="4"/>
  <c r="Q82" i="4"/>
  <c r="S147" i="4"/>
  <c r="R151" i="4"/>
  <c r="W151" i="4"/>
  <c r="S152" i="4"/>
  <c r="Q151" i="4"/>
  <c r="S137" i="4"/>
  <c r="S47" i="4"/>
  <c r="R177" i="4"/>
  <c r="Q117" i="4"/>
  <c r="R174" i="4"/>
  <c r="R70" i="4"/>
  <c r="S119" i="4"/>
  <c r="R157" i="4"/>
  <c r="Q141" i="4"/>
  <c r="W175" i="4"/>
  <c r="R175" i="4"/>
  <c r="S176" i="4"/>
  <c r="U181" i="5"/>
  <c r="W181" i="5" s="1"/>
  <c r="D791" i="9"/>
  <c r="R63" i="4"/>
  <c r="Q76" i="4"/>
  <c r="W11" i="4"/>
  <c r="S12" i="4"/>
  <c r="R11" i="4"/>
  <c r="W191" i="4"/>
  <c r="W71" i="4"/>
  <c r="Q5" i="4"/>
  <c r="S76" i="4"/>
  <c r="W130" i="4"/>
  <c r="Q156" i="4"/>
  <c r="W156" i="4"/>
  <c r="U196" i="5"/>
  <c r="W196" i="5" s="1"/>
  <c r="W6" i="4"/>
  <c r="W178" i="4"/>
  <c r="C71" i="9"/>
  <c r="D70" i="9"/>
  <c r="F70" i="9" s="1"/>
  <c r="H70" i="9" s="1"/>
  <c r="D533" i="9"/>
  <c r="F533" i="9" s="1"/>
  <c r="H533" i="9" s="1"/>
  <c r="C534" i="9"/>
  <c r="K338" i="9"/>
  <c r="C348" i="9" s="1"/>
  <c r="O339" i="9"/>
  <c r="S88" i="4"/>
  <c r="S138" i="4"/>
  <c r="S107" i="4"/>
  <c r="U103" i="5"/>
  <c r="W103" i="5" s="1"/>
  <c r="W121" i="5"/>
  <c r="S68" i="4"/>
  <c r="S109" i="4"/>
  <c r="Q46" i="4"/>
  <c r="Q35" i="4"/>
  <c r="R90" i="4"/>
  <c r="R30" i="4"/>
  <c r="W185" i="4"/>
  <c r="D218" i="9"/>
  <c r="M50" i="3"/>
  <c r="P50" i="3"/>
  <c r="W75" i="4"/>
  <c r="C593" i="9"/>
  <c r="D592" i="9"/>
  <c r="F592" i="9" s="1"/>
  <c r="H592" i="9" s="1"/>
  <c r="W21" i="4"/>
  <c r="S21" i="4"/>
  <c r="S80" i="4"/>
  <c r="Q49" i="4"/>
  <c r="R123" i="4"/>
  <c r="W52" i="4"/>
  <c r="Q52" i="4"/>
  <c r="W166" i="4"/>
  <c r="R166" i="4"/>
  <c r="S167" i="4"/>
  <c r="R62" i="4"/>
  <c r="R141" i="4"/>
  <c r="S36" i="4"/>
  <c r="S39" i="4"/>
  <c r="W29" i="4"/>
  <c r="Q186" i="4"/>
  <c r="Q137" i="4"/>
  <c r="S99" i="4"/>
  <c r="R130" i="4"/>
  <c r="Q155" i="4"/>
  <c r="W155" i="4"/>
  <c r="R155" i="4"/>
  <c r="S156" i="4"/>
  <c r="Q178" i="4"/>
  <c r="S117" i="4"/>
  <c r="R105" i="4"/>
  <c r="Q175" i="4"/>
  <c r="S11" i="4"/>
  <c r="Q87" i="4"/>
  <c r="Q158" i="4"/>
  <c r="R49" i="4"/>
  <c r="T144" i="5"/>
  <c r="W73" i="4"/>
  <c r="Q65" i="4"/>
  <c r="Q42" i="4"/>
  <c r="W150" i="4"/>
  <c r="S151" i="4"/>
  <c r="R150" i="4"/>
  <c r="S87" i="4"/>
  <c r="S50" i="4"/>
  <c r="Q26" i="4"/>
  <c r="W26" i="4"/>
  <c r="S14" i="4"/>
  <c r="R13" i="4"/>
  <c r="W13" i="4"/>
  <c r="S143" i="4"/>
  <c r="S84" i="4"/>
  <c r="AG73" i="14"/>
  <c r="T182" i="5"/>
  <c r="W69" i="4"/>
  <c r="W64" i="4"/>
  <c r="W195" i="5"/>
  <c r="W34" i="4"/>
  <c r="R87" i="4"/>
  <c r="W118" i="4"/>
  <c r="W146" i="4"/>
  <c r="W152" i="4"/>
  <c r="Q152" i="4"/>
  <c r="W190" i="4"/>
  <c r="R106" i="4"/>
  <c r="W171" i="4"/>
  <c r="W133" i="5"/>
  <c r="W125" i="5"/>
  <c r="J48" i="3"/>
  <c r="R48" i="3"/>
  <c r="W24" i="4"/>
  <c r="S24" i="4"/>
  <c r="Q24" i="4"/>
  <c r="S57" i="4"/>
  <c r="Q68" i="4"/>
  <c r="R65" i="4"/>
  <c r="W135" i="4"/>
  <c r="S121" i="4"/>
  <c r="S112" i="4"/>
  <c r="Q112" i="4"/>
  <c r="W112" i="4"/>
  <c r="R184" i="4"/>
  <c r="R34" i="4"/>
  <c r="S123" i="4"/>
  <c r="W188" i="4"/>
  <c r="Q188" i="4"/>
  <c r="S59" i="4"/>
  <c r="Q16" i="4"/>
  <c r="W16" i="4"/>
  <c r="O571" i="9"/>
  <c r="K570" i="9"/>
  <c r="C580" i="9" s="1"/>
  <c r="R119" i="4"/>
  <c r="S173" i="4"/>
  <c r="Q110" i="4"/>
  <c r="S110" i="4"/>
  <c r="W110" i="4"/>
  <c r="R17" i="4"/>
  <c r="T190" i="5"/>
  <c r="W144" i="5"/>
  <c r="W89" i="4"/>
  <c r="S26" i="4"/>
  <c r="W25" i="4"/>
  <c r="R25" i="4"/>
  <c r="Q77" i="4"/>
  <c r="R26" i="4"/>
  <c r="Q174" i="4"/>
  <c r="W55" i="5"/>
  <c r="S74" i="4"/>
  <c r="S101" i="4"/>
  <c r="S54" i="4"/>
  <c r="R53" i="4"/>
  <c r="W53" i="4"/>
  <c r="R138" i="4"/>
  <c r="W78" i="4"/>
  <c r="Q3" i="4"/>
  <c r="W183" i="4"/>
  <c r="S7" i="4"/>
  <c r="Q67" i="4"/>
  <c r="R152" i="4"/>
  <c r="Q159" i="4"/>
  <c r="S160" i="4"/>
  <c r="W159" i="4"/>
  <c r="R159" i="4"/>
  <c r="Q106" i="4"/>
  <c r="S51" i="4"/>
  <c r="R86" i="4"/>
  <c r="S149" i="4"/>
  <c r="Q190" i="4"/>
  <c r="Q50" i="4"/>
  <c r="R193" i="4"/>
  <c r="M46" i="3"/>
  <c r="P46" i="3" s="1"/>
  <c r="S46" i="3"/>
  <c r="R24" i="4"/>
  <c r="R64" i="4"/>
  <c r="W94" i="4"/>
  <c r="R195" i="4"/>
  <c r="W195" i="4"/>
  <c r="W48" i="5"/>
  <c r="W154" i="4"/>
  <c r="S155" i="4"/>
  <c r="R154" i="4"/>
  <c r="S106" i="4"/>
  <c r="Q37" i="3"/>
  <c r="W37" i="3"/>
  <c r="S104" i="4"/>
  <c r="Q105" i="4"/>
  <c r="W165" i="4"/>
  <c r="C873" i="9"/>
  <c r="D872" i="9"/>
  <c r="F872" i="9" s="1"/>
  <c r="H872" i="9" s="1"/>
  <c r="C927" i="9"/>
  <c r="D926" i="9"/>
  <c r="F926" i="9" s="1"/>
  <c r="H926" i="9" s="1"/>
  <c r="W121" i="4"/>
  <c r="Q38" i="4"/>
  <c r="S134" i="4"/>
  <c r="R133" i="4"/>
  <c r="W133" i="4"/>
  <c r="S170" i="4"/>
  <c r="W168" i="4"/>
  <c r="Q168" i="4"/>
  <c r="W127" i="5"/>
  <c r="Q4" i="4"/>
  <c r="S66" i="4"/>
  <c r="W184" i="4"/>
  <c r="S185" i="4"/>
  <c r="Q69" i="4"/>
  <c r="R58" i="4"/>
  <c r="Q120" i="4"/>
  <c r="S90" i="4"/>
  <c r="R179" i="4"/>
  <c r="S180" i="4"/>
  <c r="W179" i="4"/>
  <c r="S18" i="4"/>
  <c r="T195" i="5"/>
  <c r="S30" i="4"/>
  <c r="Q92" i="4"/>
  <c r="Q122" i="4"/>
  <c r="S77" i="4"/>
  <c r="R173" i="4"/>
  <c r="Q139" i="4"/>
  <c r="S93" i="4"/>
  <c r="S3" i="4"/>
  <c r="W153" i="4"/>
  <c r="R6" i="4"/>
  <c r="S67" i="4"/>
  <c r="Q153" i="4"/>
  <c r="W187" i="4"/>
  <c r="R187" i="4"/>
  <c r="S188" i="4"/>
  <c r="S73" i="4"/>
  <c r="S130" i="4"/>
  <c r="Q149" i="4"/>
  <c r="R189" i="4"/>
  <c r="W161" i="4"/>
  <c r="S194" i="4"/>
  <c r="D805" i="9"/>
  <c r="S58" i="4"/>
  <c r="W49" i="5"/>
  <c r="X11" i="3"/>
  <c r="AA11" i="3"/>
  <c r="D671" i="9"/>
  <c r="F671" i="9" s="1"/>
  <c r="H671" i="9" s="1"/>
  <c r="C672" i="9"/>
  <c r="S139" i="4"/>
  <c r="S105" i="4"/>
  <c r="R147" i="4"/>
  <c r="W147" i="4"/>
  <c r="S148" i="4"/>
  <c r="D817" i="9"/>
  <c r="F817" i="9" s="1"/>
  <c r="H817" i="9" s="1"/>
  <c r="C818" i="9"/>
  <c r="Q167" i="4"/>
  <c r="R167" i="4"/>
  <c r="W167" i="4"/>
  <c r="S168" i="4"/>
  <c r="R149" i="4"/>
  <c r="W183" i="5"/>
  <c r="R3" i="4"/>
  <c r="S69" i="4"/>
  <c r="W8" i="4"/>
  <c r="Q8" i="4"/>
  <c r="S8" i="4"/>
  <c r="Q173" i="4"/>
  <c r="Q18" i="4"/>
  <c r="D420" i="9"/>
  <c r="F420" i="9" s="1"/>
  <c r="H420" i="9" s="1"/>
  <c r="C421" i="9"/>
  <c r="Q30" i="4"/>
  <c r="R76" i="4"/>
  <c r="S41" i="4"/>
  <c r="S19" i="4"/>
  <c r="W164" i="4"/>
  <c r="Q164" i="4"/>
  <c r="S174" i="4"/>
  <c r="D58" i="9"/>
  <c r="D656" i="9"/>
  <c r="S171" i="4"/>
  <c r="R92" i="4"/>
  <c r="W98" i="4"/>
  <c r="Q98" i="4"/>
  <c r="S177" i="4"/>
  <c r="M3" i="4"/>
  <c r="S192" i="4"/>
  <c r="R66" i="4"/>
  <c r="R145" i="4"/>
  <c r="R50" i="4"/>
  <c r="AA13" i="3"/>
  <c r="X13" i="3"/>
  <c r="Q58" i="4"/>
  <c r="S85" i="4"/>
  <c r="B8" i="5"/>
  <c r="U5" i="4"/>
  <c r="T5" i="4"/>
  <c r="Q100" i="4"/>
  <c r="S100" i="4"/>
  <c r="W100" i="4"/>
  <c r="W56" i="4"/>
  <c r="S56" i="4"/>
  <c r="Q56" i="4"/>
  <c r="Q143" i="4"/>
  <c r="C983" i="9"/>
  <c r="D982" i="9"/>
  <c r="F982" i="9" s="1"/>
  <c r="H982" i="9" s="1"/>
  <c r="W15" i="4"/>
  <c r="R15" i="4"/>
  <c r="S16" i="4"/>
  <c r="C477" i="9"/>
  <c r="D476" i="9"/>
  <c r="F476" i="9" s="1"/>
  <c r="H476" i="9" s="1"/>
  <c r="W131" i="5"/>
  <c r="S48" i="3"/>
  <c r="P48" i="3"/>
  <c r="M48" i="3"/>
  <c r="Q66" i="4"/>
  <c r="D860" i="9"/>
  <c r="W39" i="4"/>
  <c r="W162" i="4"/>
  <c r="S163" i="4"/>
  <c r="R162" i="4"/>
  <c r="W132" i="4"/>
  <c r="S72" i="4"/>
  <c r="W72" i="4"/>
  <c r="Q40" i="4"/>
  <c r="W12" i="4"/>
  <c r="Q12" i="4"/>
  <c r="W74" i="4"/>
  <c r="S165" i="4"/>
  <c r="Q132" i="4"/>
  <c r="W194" i="4"/>
  <c r="Q150" i="4"/>
  <c r="U101" i="5"/>
  <c r="S4" i="4"/>
  <c r="R117" i="4"/>
  <c r="W82" i="4"/>
  <c r="W189" i="4"/>
  <c r="Q15" i="4"/>
  <c r="R74" i="4"/>
  <c r="S144" i="4"/>
  <c r="R68" i="4"/>
  <c r="S193" i="4"/>
  <c r="W192" i="4"/>
  <c r="E392" i="9"/>
  <c r="W37" i="4"/>
  <c r="Q54" i="4"/>
  <c r="W54" i="4"/>
  <c r="S6" i="4"/>
  <c r="Q90" i="4"/>
  <c r="Q162" i="4"/>
  <c r="C304" i="9"/>
  <c r="D303" i="9"/>
  <c r="F303" i="9" s="1"/>
  <c r="H303" i="9" s="1"/>
  <c r="T198" i="5"/>
  <c r="E116" i="9"/>
  <c r="W151" i="5"/>
  <c r="S10" i="4"/>
  <c r="W41" i="4"/>
  <c r="Q136" i="4"/>
  <c r="S126" i="4"/>
  <c r="R40" i="4"/>
  <c r="R168" i="4"/>
  <c r="R18" i="4"/>
  <c r="U182" i="5"/>
  <c r="W60" i="5"/>
  <c r="C129" i="9"/>
  <c r="D128" i="9"/>
  <c r="F128" i="9" s="1"/>
  <c r="H128" i="9" s="1"/>
  <c r="Q32" i="4"/>
  <c r="W32" i="4"/>
  <c r="R21" i="4"/>
  <c r="Q14" i="4"/>
  <c r="W14" i="4"/>
  <c r="S82" i="4"/>
  <c r="W79" i="4"/>
  <c r="S179" i="4"/>
  <c r="R176" i="4"/>
  <c r="W160" i="4"/>
  <c r="Q160" i="4"/>
  <c r="Q154" i="4"/>
  <c r="R191" i="4"/>
  <c r="S23" i="4"/>
  <c r="Q83" i="4"/>
  <c r="R165" i="4"/>
  <c r="Q146" i="4"/>
  <c r="Q114" i="4"/>
  <c r="W114" i="4"/>
  <c r="W172" i="4"/>
  <c r="Q130" i="4"/>
  <c r="S181" i="4"/>
  <c r="Q71" i="4"/>
  <c r="W163" i="4"/>
  <c r="R163" i="4"/>
  <c r="Q163" i="4"/>
  <c r="S164" i="4"/>
  <c r="R140" i="4"/>
  <c r="T148" i="5"/>
  <c r="W85" i="4"/>
  <c r="R84" i="4"/>
  <c r="A8" i="4"/>
  <c r="B7" i="4"/>
  <c r="C726" i="9"/>
  <c r="D725" i="9"/>
  <c r="F725" i="9" s="1"/>
  <c r="H725" i="9" s="1"/>
  <c r="S127" i="4"/>
  <c r="Q104" i="4"/>
  <c r="W104" i="4"/>
  <c r="S46" i="4"/>
  <c r="S15" i="4"/>
  <c r="R143" i="4"/>
  <c r="Q193" i="4"/>
  <c r="J50" i="3"/>
  <c r="R50" i="3"/>
  <c r="S50" i="3" s="1"/>
  <c r="D290" i="9"/>
  <c r="R5" i="4"/>
  <c r="S162" i="4"/>
  <c r="W41" i="3"/>
  <c r="Q41" i="3"/>
  <c r="T191" i="5"/>
  <c r="U142" i="5"/>
  <c r="W142" i="5" s="1"/>
  <c r="S34" i="4"/>
  <c r="Q10" i="4"/>
  <c r="Q13" i="4"/>
  <c r="S136" i="4"/>
  <c r="S169" i="4"/>
  <c r="W61" i="5"/>
  <c r="AA9" i="3"/>
  <c r="X9" i="3"/>
  <c r="S22" i="4"/>
  <c r="R81" i="4"/>
  <c r="Q134" i="4"/>
  <c r="W134" i="4"/>
  <c r="Q171" i="4"/>
  <c r="R178" i="4"/>
  <c r="Q177" i="4"/>
  <c r="S154" i="4"/>
  <c r="R136" i="4"/>
  <c r="R22" i="4"/>
  <c r="S83" i="4"/>
  <c r="Q166" i="4"/>
  <c r="S146" i="4"/>
  <c r="S175" i="4"/>
  <c r="Q181" i="4"/>
  <c r="S71" i="4"/>
  <c r="Q119" i="4"/>
  <c r="S141" i="4"/>
  <c r="Q39" i="3"/>
  <c r="W39" i="3"/>
  <c r="D464" i="9"/>
  <c r="W28" i="4"/>
  <c r="Q28" i="4"/>
  <c r="S48" i="4"/>
  <c r="Q48" i="4"/>
  <c r="W48" i="4"/>
  <c r="S64" i="4"/>
  <c r="S42" i="4"/>
  <c r="H33" i="16" l="1"/>
  <c r="I33" i="16" s="1"/>
  <c r="I7" i="16"/>
  <c r="C176" i="9"/>
  <c r="C177" i="9" s="1"/>
  <c r="C178" i="9" s="1"/>
  <c r="L7" i="11" s="1"/>
  <c r="E176" i="9"/>
  <c r="E177" i="9" s="1"/>
  <c r="E178" i="9" s="1"/>
  <c r="E179" i="9" s="1"/>
  <c r="E180" i="9" s="1"/>
  <c r="D176" i="9"/>
  <c r="D177" i="9" s="1"/>
  <c r="D178" i="9" s="1"/>
  <c r="X41" i="5" s="1"/>
  <c r="AC41" i="5" s="1"/>
  <c r="Q46" i="3"/>
  <c r="W46" i="3"/>
  <c r="D818" i="9"/>
  <c r="F818" i="9" s="1"/>
  <c r="H818" i="9" s="1"/>
  <c r="C819" i="9"/>
  <c r="E464" i="9"/>
  <c r="C478" i="9"/>
  <c r="D477" i="9"/>
  <c r="F477" i="9" s="1"/>
  <c r="H477" i="9" s="1"/>
  <c r="C874" i="9"/>
  <c r="D873" i="9"/>
  <c r="F873" i="9" s="1"/>
  <c r="H873" i="9" s="1"/>
  <c r="D348" i="9"/>
  <c r="C350" i="9"/>
  <c r="C351" i="9" s="1"/>
  <c r="C352" i="9" s="1"/>
  <c r="E522" i="9"/>
  <c r="E860" i="9"/>
  <c r="H6" i="5"/>
  <c r="M4" i="4"/>
  <c r="L3" i="4"/>
  <c r="E656" i="9"/>
  <c r="C673" i="9"/>
  <c r="D672" i="9"/>
  <c r="F672" i="9" s="1"/>
  <c r="H672" i="9" s="1"/>
  <c r="E805" i="9"/>
  <c r="D534" i="9"/>
  <c r="F534" i="9" s="1"/>
  <c r="H534" i="9" s="1"/>
  <c r="C535" i="9"/>
  <c r="C727" i="9"/>
  <c r="D726" i="9"/>
  <c r="F726" i="9" s="1"/>
  <c r="H726" i="9" s="1"/>
  <c r="E406" i="9"/>
  <c r="B10" i="5"/>
  <c r="U7" i="4"/>
  <c r="T7" i="4"/>
  <c r="E58" i="9"/>
  <c r="C422" i="9"/>
  <c r="D421" i="9"/>
  <c r="F421" i="9" s="1"/>
  <c r="H421" i="9" s="1"/>
  <c r="B8" i="4"/>
  <c r="A9" i="4"/>
  <c r="D304" i="9"/>
  <c r="F304" i="9" s="1"/>
  <c r="H304" i="9" s="1"/>
  <c r="C305" i="9"/>
  <c r="Q48" i="3"/>
  <c r="W48" i="3"/>
  <c r="D580" i="9"/>
  <c r="C72" i="9"/>
  <c r="D71" i="9"/>
  <c r="F71" i="9" s="1"/>
  <c r="H71" i="9" s="1"/>
  <c r="D129" i="9"/>
  <c r="F129" i="9" s="1"/>
  <c r="H129" i="9" s="1"/>
  <c r="C130" i="9"/>
  <c r="D983" i="9"/>
  <c r="F983" i="9" s="1"/>
  <c r="H983" i="9" s="1"/>
  <c r="C984" i="9"/>
  <c r="D593" i="9"/>
  <c r="F593" i="9" s="1"/>
  <c r="H593" i="9" s="1"/>
  <c r="C594" i="9"/>
  <c r="E290" i="9"/>
  <c r="C928" i="9"/>
  <c r="D927" i="9"/>
  <c r="F927" i="9" s="1"/>
  <c r="H927" i="9" s="1"/>
  <c r="Q50" i="3"/>
  <c r="W50" i="3"/>
  <c r="D232" i="9"/>
  <c r="C234" i="9"/>
  <c r="C235" i="9" s="1"/>
  <c r="C236" i="9" s="1"/>
  <c r="K7" i="16" l="1"/>
  <c r="J7" i="16"/>
  <c r="D179" i="9"/>
  <c r="D180" i="9" s="1"/>
  <c r="M7" i="11"/>
  <c r="K7" i="11" s="1"/>
  <c r="C179" i="9"/>
  <c r="C180" i="9" s="1"/>
  <c r="B11" i="5"/>
  <c r="U8" i="4"/>
  <c r="T8" i="4"/>
  <c r="C353" i="9"/>
  <c r="C354" i="9" s="1"/>
  <c r="L10" i="11"/>
  <c r="C820" i="9"/>
  <c r="D819" i="9"/>
  <c r="F819" i="9" s="1"/>
  <c r="H819" i="9" s="1"/>
  <c r="C131" i="9"/>
  <c r="D130" i="9"/>
  <c r="F130" i="9" s="1"/>
  <c r="H130" i="9" s="1"/>
  <c r="C674" i="9"/>
  <c r="D673" i="9"/>
  <c r="F673" i="9" s="1"/>
  <c r="H673" i="9" s="1"/>
  <c r="E348" i="9"/>
  <c r="E350" i="9" s="1"/>
  <c r="E351" i="9" s="1"/>
  <c r="E352" i="9" s="1"/>
  <c r="E353" i="9" s="1"/>
  <c r="E354" i="9" s="1"/>
  <c r="D350" i="9"/>
  <c r="D351" i="9" s="1"/>
  <c r="D352" i="9" s="1"/>
  <c r="D928" i="9"/>
  <c r="F928" i="9" s="1"/>
  <c r="H928" i="9" s="1"/>
  <c r="C929" i="9"/>
  <c r="D72" i="9"/>
  <c r="F72" i="9" s="1"/>
  <c r="H72" i="9" s="1"/>
  <c r="C73" i="9"/>
  <c r="D73" i="9" s="1"/>
  <c r="F73" i="9" s="1"/>
  <c r="H73" i="9" s="1"/>
  <c r="E580" i="9"/>
  <c r="C237" i="9"/>
  <c r="C238" i="9" s="1"/>
  <c r="L8" i="11"/>
  <c r="C728" i="9"/>
  <c r="D727" i="9"/>
  <c r="F727" i="9" s="1"/>
  <c r="H727" i="9" s="1"/>
  <c r="C875" i="9"/>
  <c r="D875" i="9" s="1"/>
  <c r="F875" i="9" s="1"/>
  <c r="H875" i="9" s="1"/>
  <c r="D874" i="9"/>
  <c r="F874" i="9" s="1"/>
  <c r="H874" i="9" s="1"/>
  <c r="E232" i="9"/>
  <c r="E234" i="9" s="1"/>
  <c r="E235" i="9" s="1"/>
  <c r="E236" i="9" s="1"/>
  <c r="E237" i="9" s="1"/>
  <c r="E238" i="9" s="1"/>
  <c r="D234" i="9"/>
  <c r="D235" i="9" s="1"/>
  <c r="D236" i="9" s="1"/>
  <c r="C595" i="9"/>
  <c r="D594" i="9"/>
  <c r="F594" i="9" s="1"/>
  <c r="H594" i="9" s="1"/>
  <c r="D535" i="9"/>
  <c r="F535" i="9" s="1"/>
  <c r="H535" i="9" s="1"/>
  <c r="C536" i="9"/>
  <c r="G6" i="5"/>
  <c r="N3" i="4"/>
  <c r="I6" i="5" s="1"/>
  <c r="C306" i="9"/>
  <c r="D306" i="9" s="1"/>
  <c r="F306" i="9" s="1"/>
  <c r="H306" i="9" s="1"/>
  <c r="D305" i="9"/>
  <c r="F305" i="9" s="1"/>
  <c r="H305" i="9" s="1"/>
  <c r="H7" i="5"/>
  <c r="L4" i="4"/>
  <c r="M5" i="4"/>
  <c r="C479" i="9"/>
  <c r="D478" i="9"/>
  <c r="F478" i="9" s="1"/>
  <c r="H478" i="9" s="1"/>
  <c r="D422" i="9"/>
  <c r="F422" i="9" s="1"/>
  <c r="H422" i="9" s="1"/>
  <c r="C423" i="9"/>
  <c r="D423" i="9" s="1"/>
  <c r="F423" i="9" s="1"/>
  <c r="H423" i="9" s="1"/>
  <c r="AZ6" i="5"/>
  <c r="AW6" i="5"/>
  <c r="X6" i="5"/>
  <c r="K6" i="5"/>
  <c r="C985" i="9"/>
  <c r="D984" i="9"/>
  <c r="F984" i="9" s="1"/>
  <c r="H984" i="9" s="1"/>
  <c r="A10" i="4"/>
  <c r="B9" i="4"/>
  <c r="J26" i="16" l="1"/>
  <c r="M7" i="16"/>
  <c r="M26" i="16" s="1"/>
  <c r="L7" i="16"/>
  <c r="L26" i="16" s="1"/>
  <c r="H437" i="9"/>
  <c r="C405" i="9" s="1"/>
  <c r="D405" i="9" s="1"/>
  <c r="H89" i="9"/>
  <c r="C57" i="9" s="1"/>
  <c r="D57" i="9" s="1"/>
  <c r="C986" i="9"/>
  <c r="D985" i="9"/>
  <c r="F985" i="9" s="1"/>
  <c r="H985" i="9" s="1"/>
  <c r="K7" i="5"/>
  <c r="AZ7" i="5"/>
  <c r="X7" i="5"/>
  <c r="AW7" i="5"/>
  <c r="D536" i="9"/>
  <c r="F536" i="9" s="1"/>
  <c r="H536" i="9" s="1"/>
  <c r="C537" i="9"/>
  <c r="H888" i="9"/>
  <c r="C859" i="9" s="1"/>
  <c r="D674" i="9"/>
  <c r="F674" i="9" s="1"/>
  <c r="H674" i="9" s="1"/>
  <c r="C675" i="9"/>
  <c r="D675" i="9" s="1"/>
  <c r="F675" i="9" s="1"/>
  <c r="H675" i="9" s="1"/>
  <c r="G7" i="5"/>
  <c r="N4" i="4"/>
  <c r="I7" i="5" s="1"/>
  <c r="H321" i="9"/>
  <c r="C289" i="9" s="1"/>
  <c r="D929" i="9"/>
  <c r="F929" i="9" s="1"/>
  <c r="H929" i="9" s="1"/>
  <c r="C930" i="9"/>
  <c r="D131" i="9"/>
  <c r="F131" i="9" s="1"/>
  <c r="H131" i="9" s="1"/>
  <c r="C132" i="9"/>
  <c r="D132" i="9" s="1"/>
  <c r="F132" i="9" s="1"/>
  <c r="H132" i="9" s="1"/>
  <c r="B10" i="4"/>
  <c r="A11" i="4"/>
  <c r="A12" i="4" s="1"/>
  <c r="V6" i="5"/>
  <c r="AC6" i="5" s="1"/>
  <c r="AD6" i="5" s="1"/>
  <c r="J6" i="5"/>
  <c r="C596" i="9"/>
  <c r="D595" i="9"/>
  <c r="F595" i="9" s="1"/>
  <c r="H595" i="9" s="1"/>
  <c r="C729" i="9"/>
  <c r="D728" i="9"/>
  <c r="F728" i="9" s="1"/>
  <c r="H728" i="9" s="1"/>
  <c r="H8" i="5"/>
  <c r="M6" i="4"/>
  <c r="L5" i="4"/>
  <c r="B12" i="5"/>
  <c r="T9" i="4"/>
  <c r="U9" i="4"/>
  <c r="D479" i="9"/>
  <c r="F479" i="9" s="1"/>
  <c r="H479" i="9" s="1"/>
  <c r="C480" i="9"/>
  <c r="X45" i="5"/>
  <c r="AC45" i="5" s="1"/>
  <c r="D237" i="9"/>
  <c r="D238" i="9" s="1"/>
  <c r="M8" i="11"/>
  <c r="K8" i="11" s="1"/>
  <c r="X79" i="5"/>
  <c r="AC79" i="5" s="1"/>
  <c r="D353" i="9"/>
  <c r="D354" i="9" s="1"/>
  <c r="M10" i="11"/>
  <c r="K10" i="11" s="1"/>
  <c r="C821" i="9"/>
  <c r="D821" i="9" s="1"/>
  <c r="F821" i="9" s="1"/>
  <c r="H821" i="9" s="1"/>
  <c r="D820" i="9"/>
  <c r="F820" i="9" s="1"/>
  <c r="H820" i="9" s="1"/>
  <c r="C408" i="9" l="1"/>
  <c r="C409" i="9" s="1"/>
  <c r="C410" i="9" s="1"/>
  <c r="C411" i="9" s="1"/>
  <c r="C412" i="9" s="1"/>
  <c r="H833" i="9"/>
  <c r="C804" i="9" s="1"/>
  <c r="D804" i="9" s="1"/>
  <c r="C60" i="9"/>
  <c r="C61" i="9" s="1"/>
  <c r="C62" i="9" s="1"/>
  <c r="L5" i="11" s="1"/>
  <c r="H686" i="9"/>
  <c r="C655" i="9" s="1"/>
  <c r="C658" i="9" s="1"/>
  <c r="C659" i="9" s="1"/>
  <c r="C660" i="9" s="1"/>
  <c r="D596" i="9"/>
  <c r="F596" i="9" s="1"/>
  <c r="H596" i="9" s="1"/>
  <c r="C597" i="9"/>
  <c r="E405" i="9"/>
  <c r="E408" i="9" s="1"/>
  <c r="E409" i="9" s="1"/>
  <c r="E410" i="9" s="1"/>
  <c r="E411" i="9" s="1"/>
  <c r="E412" i="9" s="1"/>
  <c r="D408" i="9"/>
  <c r="D409" i="9" s="1"/>
  <c r="D410" i="9" s="1"/>
  <c r="AJ6" i="5"/>
  <c r="AK6" i="5" s="1"/>
  <c r="AH6" i="5"/>
  <c r="AI6" i="5" s="1"/>
  <c r="D289" i="9"/>
  <c r="C292" i="9"/>
  <c r="C293" i="9" s="1"/>
  <c r="C294" i="9" s="1"/>
  <c r="D859" i="9"/>
  <c r="C862" i="9"/>
  <c r="C863" i="9" s="1"/>
  <c r="C864" i="9" s="1"/>
  <c r="D729" i="9"/>
  <c r="F729" i="9" s="1"/>
  <c r="H729" i="9" s="1"/>
  <c r="C730" i="9"/>
  <c r="D930" i="9"/>
  <c r="F930" i="9" s="1"/>
  <c r="H930" i="9" s="1"/>
  <c r="C931" i="9"/>
  <c r="D931" i="9" s="1"/>
  <c r="F931" i="9" s="1"/>
  <c r="H931" i="9" s="1"/>
  <c r="G8" i="5"/>
  <c r="N5" i="4"/>
  <c r="I8" i="5" s="1"/>
  <c r="AM6" i="5"/>
  <c r="C538" i="9"/>
  <c r="D537" i="9"/>
  <c r="F537" i="9" s="1"/>
  <c r="H537" i="9" s="1"/>
  <c r="D480" i="9"/>
  <c r="F480" i="9" s="1"/>
  <c r="H480" i="9" s="1"/>
  <c r="C481" i="9"/>
  <c r="H9" i="5"/>
  <c r="L6" i="4"/>
  <c r="M7" i="4"/>
  <c r="B12" i="4"/>
  <c r="A13" i="4"/>
  <c r="A14" i="4" s="1"/>
  <c r="E57" i="9"/>
  <c r="E60" i="9" s="1"/>
  <c r="E61" i="9" s="1"/>
  <c r="E62" i="9" s="1"/>
  <c r="E63" i="9" s="1"/>
  <c r="E64" i="9" s="1"/>
  <c r="D60" i="9"/>
  <c r="D61" i="9" s="1"/>
  <c r="D62" i="9" s="1"/>
  <c r="K8" i="5"/>
  <c r="AZ8" i="5"/>
  <c r="AW8" i="5"/>
  <c r="X8" i="5"/>
  <c r="B13" i="5"/>
  <c r="T10" i="4"/>
  <c r="U10" i="4"/>
  <c r="J7" i="5"/>
  <c r="V7" i="5"/>
  <c r="AC7" i="5" s="1"/>
  <c r="AD7" i="5" s="1"/>
  <c r="H147" i="9"/>
  <c r="C115" i="9" s="1"/>
  <c r="C987" i="9"/>
  <c r="D986" i="9"/>
  <c r="F986" i="9" s="1"/>
  <c r="H986" i="9" s="1"/>
  <c r="L11" i="11" l="1"/>
  <c r="C807" i="9"/>
  <c r="C808" i="9" s="1"/>
  <c r="C809" i="9" s="1"/>
  <c r="L17" i="11" s="1"/>
  <c r="D655" i="9"/>
  <c r="E655" i="9" s="1"/>
  <c r="E658" i="9" s="1"/>
  <c r="E659" i="9" s="1"/>
  <c r="E660" i="9" s="1"/>
  <c r="C63" i="9"/>
  <c r="C64" i="9" s="1"/>
  <c r="H943" i="9"/>
  <c r="C914" i="9" s="1"/>
  <c r="D914" i="9" s="1"/>
  <c r="AD8" i="5"/>
  <c r="AM7" i="5"/>
  <c r="AL6" i="5"/>
  <c r="AX6" i="5"/>
  <c r="AU6" i="5"/>
  <c r="D987" i="9"/>
  <c r="F987" i="9" s="1"/>
  <c r="H987" i="9" s="1"/>
  <c r="C988" i="9"/>
  <c r="D988" i="9" s="1"/>
  <c r="F988" i="9" s="1"/>
  <c r="H988" i="9" s="1"/>
  <c r="D115" i="9"/>
  <c r="C118" i="9"/>
  <c r="C119" i="9" s="1"/>
  <c r="C120" i="9" s="1"/>
  <c r="B14" i="4"/>
  <c r="A15" i="4"/>
  <c r="J8" i="5"/>
  <c r="V8" i="5"/>
  <c r="AC8" i="5" s="1"/>
  <c r="C865" i="9"/>
  <c r="C866" i="9" s="1"/>
  <c r="L18" i="11"/>
  <c r="X89" i="5"/>
  <c r="AC89" i="5" s="1"/>
  <c r="M11" i="11"/>
  <c r="K11" i="11" s="1"/>
  <c r="D411" i="9"/>
  <c r="D412" i="9" s="1"/>
  <c r="X16" i="5"/>
  <c r="D63" i="9"/>
  <c r="D64" i="9" s="1"/>
  <c r="M5" i="11"/>
  <c r="D730" i="9"/>
  <c r="F730" i="9" s="1"/>
  <c r="H730" i="9" s="1"/>
  <c r="C731" i="9"/>
  <c r="L15" i="11"/>
  <c r="E859" i="9"/>
  <c r="E862" i="9" s="1"/>
  <c r="E863" i="9" s="1"/>
  <c r="E864" i="9" s="1"/>
  <c r="E865" i="9" s="1"/>
  <c r="E866" i="9" s="1"/>
  <c r="D862" i="9"/>
  <c r="D863" i="9" s="1"/>
  <c r="D864" i="9" s="1"/>
  <c r="B15" i="5"/>
  <c r="U12" i="4"/>
  <c r="T12" i="4"/>
  <c r="AJ7" i="5"/>
  <c r="AK7" i="5" s="1"/>
  <c r="AH7" i="5"/>
  <c r="AI7" i="5" s="1"/>
  <c r="H10" i="5"/>
  <c r="M8" i="4"/>
  <c r="L7" i="4"/>
  <c r="C539" i="9"/>
  <c r="D538" i="9"/>
  <c r="F538" i="9" s="1"/>
  <c r="H538" i="9" s="1"/>
  <c r="C295" i="9"/>
  <c r="C296" i="9" s="1"/>
  <c r="L9" i="11"/>
  <c r="C598" i="9"/>
  <c r="D597" i="9"/>
  <c r="F597" i="9" s="1"/>
  <c r="H597" i="9" s="1"/>
  <c r="G9" i="5"/>
  <c r="N6" i="4"/>
  <c r="I9" i="5" s="1"/>
  <c r="J9" i="5" s="1"/>
  <c r="E289" i="9"/>
  <c r="E292" i="9" s="1"/>
  <c r="E293" i="9" s="1"/>
  <c r="E294" i="9" s="1"/>
  <c r="E295" i="9" s="1"/>
  <c r="E296" i="9" s="1"/>
  <c r="D292" i="9"/>
  <c r="D293" i="9" s="1"/>
  <c r="D294" i="9" s="1"/>
  <c r="AZ9" i="5"/>
  <c r="AW9" i="5"/>
  <c r="K9" i="5"/>
  <c r="X9" i="5"/>
  <c r="AC9" i="5" s="1"/>
  <c r="D481" i="9"/>
  <c r="F481" i="9" s="1"/>
  <c r="H481" i="9" s="1"/>
  <c r="C482" i="9"/>
  <c r="E804" i="9"/>
  <c r="E807" i="9" s="1"/>
  <c r="E808" i="9" s="1"/>
  <c r="E809" i="9" s="1"/>
  <c r="D807" i="9"/>
  <c r="D808" i="9" s="1"/>
  <c r="D809" i="9" s="1"/>
  <c r="D658" i="9" l="1"/>
  <c r="D659" i="9" s="1"/>
  <c r="D660" i="9" s="1"/>
  <c r="X147" i="5" s="1"/>
  <c r="AC147" i="5" s="1"/>
  <c r="C917" i="9"/>
  <c r="C918" i="9" s="1"/>
  <c r="C919" i="9" s="1"/>
  <c r="L19" i="11" s="1"/>
  <c r="H998" i="9"/>
  <c r="C969" i="9" s="1"/>
  <c r="D969" i="9" s="1"/>
  <c r="H11" i="5"/>
  <c r="L8" i="4"/>
  <c r="M9" i="4"/>
  <c r="K5" i="11"/>
  <c r="AW10" i="5"/>
  <c r="X10" i="5"/>
  <c r="AZ10" i="5"/>
  <c r="K10" i="5"/>
  <c r="X180" i="5"/>
  <c r="AC180" i="5" s="1"/>
  <c r="D865" i="9"/>
  <c r="D866" i="9" s="1"/>
  <c r="M18" i="11"/>
  <c r="K18" i="11" s="1"/>
  <c r="AI8" i="5"/>
  <c r="AH8" i="5"/>
  <c r="AJ8" i="5"/>
  <c r="AK8" i="5" s="1"/>
  <c r="D731" i="9"/>
  <c r="F731" i="9" s="1"/>
  <c r="H731" i="9" s="1"/>
  <c r="C732" i="9"/>
  <c r="D482" i="9"/>
  <c r="F482" i="9" s="1"/>
  <c r="H482" i="9" s="1"/>
  <c r="C483" i="9"/>
  <c r="C540" i="9"/>
  <c r="D539" i="9"/>
  <c r="F539" i="9" s="1"/>
  <c r="H539" i="9" s="1"/>
  <c r="L6" i="11"/>
  <c r="C121" i="9"/>
  <c r="C122" i="9" s="1"/>
  <c r="AK9" i="5"/>
  <c r="AJ9" i="5"/>
  <c r="AI9" i="5"/>
  <c r="AH9" i="5"/>
  <c r="G10" i="5"/>
  <c r="N7" i="4"/>
  <c r="I10" i="5" s="1"/>
  <c r="D598" i="9"/>
  <c r="F598" i="9" s="1"/>
  <c r="H598" i="9" s="1"/>
  <c r="C599" i="9"/>
  <c r="AC16" i="5"/>
  <c r="E115" i="9"/>
  <c r="E118" i="9" s="1"/>
  <c r="E119" i="9" s="1"/>
  <c r="E120" i="9" s="1"/>
  <c r="E121" i="9" s="1"/>
  <c r="E122" i="9" s="1"/>
  <c r="D118" i="9"/>
  <c r="D119" i="9" s="1"/>
  <c r="D120" i="9" s="1"/>
  <c r="E914" i="9"/>
  <c r="E917" i="9" s="1"/>
  <c r="E918" i="9" s="1"/>
  <c r="E919" i="9" s="1"/>
  <c r="E920" i="9" s="1"/>
  <c r="E921" i="9" s="1"/>
  <c r="D917" i="9"/>
  <c r="D918" i="9" s="1"/>
  <c r="D919" i="9" s="1"/>
  <c r="X177" i="5"/>
  <c r="AC177" i="5" s="1"/>
  <c r="M17" i="11"/>
  <c r="K17" i="11" s="1"/>
  <c r="X67" i="5"/>
  <c r="AC67" i="5" s="1"/>
  <c r="D295" i="9"/>
  <c r="D296" i="9" s="1"/>
  <c r="M9" i="11"/>
  <c r="K9" i="11" s="1"/>
  <c r="A16" i="4"/>
  <c r="B15" i="4"/>
  <c r="AY6" i="5"/>
  <c r="AV6" i="5"/>
  <c r="B17" i="5"/>
  <c r="T14" i="4"/>
  <c r="U14" i="4"/>
  <c r="AL7" i="5"/>
  <c r="AU7" i="5"/>
  <c r="AX7" i="5"/>
  <c r="AM8" i="5"/>
  <c r="AD9" i="5"/>
  <c r="M15" i="11" l="1"/>
  <c r="K15" i="11" s="1"/>
  <c r="C920" i="9"/>
  <c r="C921" i="9" s="1"/>
  <c r="C972" i="9"/>
  <c r="C973" i="9" s="1"/>
  <c r="C974" i="9" s="1"/>
  <c r="C975" i="9" s="1"/>
  <c r="C976" i="9" s="1"/>
  <c r="AW11" i="5"/>
  <c r="X11" i="5"/>
  <c r="K11" i="5"/>
  <c r="AZ11" i="5"/>
  <c r="E969" i="9"/>
  <c r="E972" i="9" s="1"/>
  <c r="E973" i="9" s="1"/>
  <c r="E974" i="9" s="1"/>
  <c r="E975" i="9" s="1"/>
  <c r="E976" i="9" s="1"/>
  <c r="D972" i="9"/>
  <c r="D973" i="9" s="1"/>
  <c r="D974" i="9" s="1"/>
  <c r="V10" i="5"/>
  <c r="AC10" i="5" s="1"/>
  <c r="J10" i="5"/>
  <c r="AL8" i="5"/>
  <c r="AX8" i="5"/>
  <c r="AU8" i="5"/>
  <c r="D732" i="9"/>
  <c r="F732" i="9" s="1"/>
  <c r="H732" i="9" s="1"/>
  <c r="C733" i="9"/>
  <c r="B18" i="5"/>
  <c r="U15" i="4"/>
  <c r="T15" i="4"/>
  <c r="C541" i="9"/>
  <c r="D540" i="9"/>
  <c r="F540" i="9" s="1"/>
  <c r="H540" i="9" s="1"/>
  <c r="AV7" i="5"/>
  <c r="AY7" i="5"/>
  <c r="AM9" i="5"/>
  <c r="AD10" i="5"/>
  <c r="B16" i="4"/>
  <c r="A17" i="4"/>
  <c r="X187" i="5"/>
  <c r="AC187" i="5" s="1"/>
  <c r="D920" i="9"/>
  <c r="D921" i="9" s="1"/>
  <c r="M19" i="11"/>
  <c r="K19" i="11" s="1"/>
  <c r="C484" i="9"/>
  <c r="D483" i="9"/>
  <c r="F483" i="9" s="1"/>
  <c r="H483" i="9" s="1"/>
  <c r="M10" i="4"/>
  <c r="H12" i="5"/>
  <c r="L9" i="4"/>
  <c r="D599" i="9"/>
  <c r="F599" i="9" s="1"/>
  <c r="H599" i="9" s="1"/>
  <c r="C600" i="9"/>
  <c r="G11" i="5"/>
  <c r="N8" i="4"/>
  <c r="I11" i="5" s="1"/>
  <c r="X37" i="5"/>
  <c r="M6" i="11"/>
  <c r="D121" i="9"/>
  <c r="D122" i="9" s="1"/>
  <c r="L20" i="11" l="1"/>
  <c r="AW12" i="5"/>
  <c r="X12" i="5"/>
  <c r="K12" i="5"/>
  <c r="AZ12" i="5"/>
  <c r="B19" i="5"/>
  <c r="T16" i="4"/>
  <c r="U16" i="4"/>
  <c r="AV8" i="5"/>
  <c r="AY8" i="5"/>
  <c r="K6" i="11"/>
  <c r="H13" i="5"/>
  <c r="M11" i="4"/>
  <c r="L10" i="4"/>
  <c r="AJ10" i="5"/>
  <c r="AH10" i="5"/>
  <c r="AI10" i="5" s="1"/>
  <c r="AK10" i="5"/>
  <c r="G12" i="5"/>
  <c r="N9" i="4"/>
  <c r="I12" i="5" s="1"/>
  <c r="D541" i="9"/>
  <c r="F541" i="9" s="1"/>
  <c r="H541" i="9" s="1"/>
  <c r="C542" i="9"/>
  <c r="AM10" i="5"/>
  <c r="A18" i="4"/>
  <c r="B17" i="4"/>
  <c r="AC37" i="5"/>
  <c r="V11" i="5"/>
  <c r="AC11" i="5" s="1"/>
  <c r="AD11" i="5" s="1"/>
  <c r="J11" i="5"/>
  <c r="C485" i="9"/>
  <c r="D484" i="9"/>
  <c r="F484" i="9" s="1"/>
  <c r="H484" i="9" s="1"/>
  <c r="AL9" i="5"/>
  <c r="AU9" i="5"/>
  <c r="AX9" i="5"/>
  <c r="C734" i="9"/>
  <c r="D733" i="9"/>
  <c r="F733" i="9" s="1"/>
  <c r="H733" i="9" s="1"/>
  <c r="X193" i="5"/>
  <c r="AC193" i="5" s="1"/>
  <c r="D975" i="9"/>
  <c r="D976" i="9" s="1"/>
  <c r="M20" i="11"/>
  <c r="K20" i="11" s="1"/>
  <c r="C601" i="9"/>
  <c r="D600" i="9"/>
  <c r="F600" i="9" s="1"/>
  <c r="H600" i="9" s="1"/>
  <c r="AM11" i="5" l="1"/>
  <c r="H14" i="5"/>
  <c r="M12" i="4"/>
  <c r="L11" i="4"/>
  <c r="V12" i="5"/>
  <c r="AC12" i="5" s="1"/>
  <c r="AD12" i="5" s="1"/>
  <c r="J12" i="5"/>
  <c r="K13" i="5"/>
  <c r="AZ13" i="5"/>
  <c r="AW13" i="5"/>
  <c r="X13" i="5"/>
  <c r="AI11" i="5"/>
  <c r="AH11" i="5"/>
  <c r="AJ11" i="5"/>
  <c r="AK11" i="5" s="1"/>
  <c r="C543" i="9"/>
  <c r="D542" i="9"/>
  <c r="F542" i="9" s="1"/>
  <c r="H542" i="9" s="1"/>
  <c r="G13" i="5"/>
  <c r="N10" i="4"/>
  <c r="I13" i="5" s="1"/>
  <c r="B20" i="5"/>
  <c r="U17" i="4"/>
  <c r="T17" i="4"/>
  <c r="C602" i="9"/>
  <c r="D601" i="9"/>
  <c r="F601" i="9" s="1"/>
  <c r="H601" i="9" s="1"/>
  <c r="AY9" i="5"/>
  <c r="AV9" i="5"/>
  <c r="B18" i="4"/>
  <c r="A19" i="4"/>
  <c r="AL10" i="5"/>
  <c r="AX10" i="5"/>
  <c r="AU10" i="5"/>
  <c r="C735" i="9"/>
  <c r="D734" i="9"/>
  <c r="F734" i="9" s="1"/>
  <c r="H734" i="9" s="1"/>
  <c r="C486" i="9"/>
  <c r="D485" i="9"/>
  <c r="F485" i="9" s="1"/>
  <c r="H485" i="9" s="1"/>
  <c r="AM12" i="5" l="1"/>
  <c r="C603" i="9"/>
  <c r="D602" i="9"/>
  <c r="F602" i="9" s="1"/>
  <c r="H602" i="9" s="1"/>
  <c r="AV10" i="5"/>
  <c r="AY10" i="5"/>
  <c r="A20" i="4"/>
  <c r="B19" i="4"/>
  <c r="C487" i="9"/>
  <c r="D486" i="9"/>
  <c r="F486" i="9" s="1"/>
  <c r="H486" i="9" s="1"/>
  <c r="B21" i="5"/>
  <c r="U18" i="4"/>
  <c r="T18" i="4"/>
  <c r="V13" i="5"/>
  <c r="AC13" i="5" s="1"/>
  <c r="AD13" i="5" s="1"/>
  <c r="J13" i="5"/>
  <c r="AH12" i="5"/>
  <c r="AI12" i="5" s="1"/>
  <c r="AJ12" i="5"/>
  <c r="AK12" i="5" s="1"/>
  <c r="G14" i="5"/>
  <c r="N11" i="4"/>
  <c r="I14" i="5" s="1"/>
  <c r="J14" i="5" s="1"/>
  <c r="D543" i="9"/>
  <c r="F543" i="9" s="1"/>
  <c r="H543" i="9" s="1"/>
  <c r="C544" i="9"/>
  <c r="H15" i="5"/>
  <c r="L12" i="4"/>
  <c r="M13" i="4"/>
  <c r="AW14" i="5"/>
  <c r="K14" i="5"/>
  <c r="AZ14" i="5"/>
  <c r="AL11" i="5"/>
  <c r="AX11" i="5"/>
  <c r="AU11" i="5"/>
  <c r="C736" i="9"/>
  <c r="D735" i="9"/>
  <c r="F735" i="9" s="1"/>
  <c r="H735" i="9" s="1"/>
  <c r="AM13" i="5" l="1"/>
  <c r="AD14" i="5"/>
  <c r="D544" i="9"/>
  <c r="F544" i="9" s="1"/>
  <c r="H544" i="9" s="1"/>
  <c r="C545" i="9"/>
  <c r="AK13" i="5"/>
  <c r="AJ13" i="5"/>
  <c r="AH13" i="5"/>
  <c r="AI13" i="5" s="1"/>
  <c r="B20" i="4"/>
  <c r="A21" i="4"/>
  <c r="AH14" i="5"/>
  <c r="AK14" i="5"/>
  <c r="AJ14" i="5"/>
  <c r="AI14" i="5"/>
  <c r="B22" i="5"/>
  <c r="U19" i="4"/>
  <c r="T19" i="4"/>
  <c r="C604" i="9"/>
  <c r="D603" i="9"/>
  <c r="F603" i="9" s="1"/>
  <c r="H603" i="9" s="1"/>
  <c r="C737" i="9"/>
  <c r="D736" i="9"/>
  <c r="F736" i="9" s="1"/>
  <c r="H736" i="9" s="1"/>
  <c r="AL12" i="5"/>
  <c r="AU12" i="5"/>
  <c r="AX12" i="5"/>
  <c r="AW15" i="5"/>
  <c r="K15" i="5"/>
  <c r="AZ15" i="5"/>
  <c r="AV11" i="5"/>
  <c r="AY11" i="5"/>
  <c r="M14" i="4"/>
  <c r="H16" i="5"/>
  <c r="L13" i="4"/>
  <c r="G15" i="5"/>
  <c r="N12" i="4"/>
  <c r="I15" i="5" s="1"/>
  <c r="J15" i="5" s="1"/>
  <c r="D487" i="9"/>
  <c r="F487" i="9" s="1"/>
  <c r="H487" i="9" s="1"/>
  <c r="C488" i="9"/>
  <c r="AV12" i="5" l="1"/>
  <c r="AY12" i="5"/>
  <c r="G16" i="5"/>
  <c r="N13" i="4"/>
  <c r="I16" i="5" s="1"/>
  <c r="J16" i="5" s="1"/>
  <c r="D737" i="9"/>
  <c r="F737" i="9" s="1"/>
  <c r="H737" i="9" s="1"/>
  <c r="C738" i="9"/>
  <c r="C546" i="9"/>
  <c r="D545" i="9"/>
  <c r="F545" i="9" s="1"/>
  <c r="H545" i="9" s="1"/>
  <c r="C489" i="9"/>
  <c r="D488" i="9"/>
  <c r="F488" i="9" s="1"/>
  <c r="H488" i="9" s="1"/>
  <c r="AW16" i="5"/>
  <c r="K16" i="5"/>
  <c r="AZ16" i="5"/>
  <c r="H17" i="5"/>
  <c r="L14" i="4"/>
  <c r="M15" i="4"/>
  <c r="D604" i="9"/>
  <c r="F604" i="9" s="1"/>
  <c r="H604" i="9" s="1"/>
  <c r="C605" i="9"/>
  <c r="A22" i="4"/>
  <c r="B21" i="4"/>
  <c r="AM14" i="5"/>
  <c r="AD15" i="5"/>
  <c r="AJ15" i="5" s="1"/>
  <c r="AK15" i="5" s="1"/>
  <c r="B23" i="5"/>
  <c r="T20" i="4"/>
  <c r="U20" i="4"/>
  <c r="AL13" i="5"/>
  <c r="AU13" i="5"/>
  <c r="AX13" i="5"/>
  <c r="H18" i="5" l="1"/>
  <c r="M16" i="4"/>
  <c r="L15" i="4"/>
  <c r="AI16" i="5"/>
  <c r="AH16" i="5"/>
  <c r="AK16" i="5"/>
  <c r="AJ16" i="5"/>
  <c r="G17" i="5"/>
  <c r="N14" i="4"/>
  <c r="I17" i="5" s="1"/>
  <c r="AM15" i="5"/>
  <c r="AD16" i="5"/>
  <c r="AW17" i="5"/>
  <c r="X17" i="5"/>
  <c r="K17" i="5"/>
  <c r="AZ17" i="5"/>
  <c r="AL14" i="5"/>
  <c r="AX14" i="5"/>
  <c r="AU14" i="5"/>
  <c r="D489" i="9"/>
  <c r="F489" i="9" s="1"/>
  <c r="H489" i="9" s="1"/>
  <c r="C490" i="9"/>
  <c r="AH15" i="5"/>
  <c r="AI15" i="5" s="1"/>
  <c r="B22" i="4"/>
  <c r="A23" i="4"/>
  <c r="D546" i="9"/>
  <c r="F546" i="9" s="1"/>
  <c r="H546" i="9" s="1"/>
  <c r="C547" i="9"/>
  <c r="B24" i="5"/>
  <c r="U21" i="4"/>
  <c r="T21" i="4"/>
  <c r="AY13" i="5"/>
  <c r="AV13" i="5"/>
  <c r="C606" i="9"/>
  <c r="D605" i="9"/>
  <c r="F605" i="9" s="1"/>
  <c r="H605" i="9" s="1"/>
  <c r="D738" i="9"/>
  <c r="F738" i="9" s="1"/>
  <c r="H738" i="9" s="1"/>
  <c r="C739" i="9"/>
  <c r="D490" i="9" l="1"/>
  <c r="F490" i="9" s="1"/>
  <c r="H490" i="9" s="1"/>
  <c r="C491" i="9"/>
  <c r="D739" i="9"/>
  <c r="F739" i="9" s="1"/>
  <c r="H739" i="9" s="1"/>
  <c r="C740" i="9"/>
  <c r="C548" i="9"/>
  <c r="D547" i="9"/>
  <c r="F547" i="9" s="1"/>
  <c r="H547" i="9" s="1"/>
  <c r="AV14" i="5"/>
  <c r="AY14" i="5"/>
  <c r="D606" i="9"/>
  <c r="F606" i="9" s="1"/>
  <c r="H606" i="9" s="1"/>
  <c r="C607" i="9"/>
  <c r="A24" i="4"/>
  <c r="B23" i="4"/>
  <c r="AM16" i="5"/>
  <c r="G18" i="5"/>
  <c r="N15" i="4"/>
  <c r="I18" i="5" s="1"/>
  <c r="B25" i="5"/>
  <c r="T22" i="4"/>
  <c r="U22" i="4"/>
  <c r="AL15" i="5"/>
  <c r="AX15" i="5"/>
  <c r="AU15" i="5"/>
  <c r="H19" i="5"/>
  <c r="L16" i="4"/>
  <c r="M17" i="4"/>
  <c r="V17" i="5"/>
  <c r="AC17" i="5" s="1"/>
  <c r="AD17" i="5" s="1"/>
  <c r="J17" i="5"/>
  <c r="AZ18" i="5"/>
  <c r="K18" i="5"/>
  <c r="AW18" i="5"/>
  <c r="X18" i="5"/>
  <c r="AM17" i="5" l="1"/>
  <c r="H20" i="5"/>
  <c r="M18" i="4"/>
  <c r="L17" i="4"/>
  <c r="V18" i="5"/>
  <c r="AC18" i="5" s="1"/>
  <c r="AD18" i="5" s="1"/>
  <c r="J18" i="5"/>
  <c r="K19" i="5"/>
  <c r="AZ19" i="5"/>
  <c r="AW19" i="5"/>
  <c r="X19" i="5"/>
  <c r="G19" i="5"/>
  <c r="N16" i="4"/>
  <c r="I19" i="5" s="1"/>
  <c r="C549" i="9"/>
  <c r="D548" i="9"/>
  <c r="F548" i="9" s="1"/>
  <c r="H548" i="9" s="1"/>
  <c r="AV15" i="5"/>
  <c r="AY15" i="5"/>
  <c r="B26" i="5"/>
  <c r="U23" i="4"/>
  <c r="T23" i="4"/>
  <c r="D740" i="9"/>
  <c r="F740" i="9" s="1"/>
  <c r="H740" i="9" s="1"/>
  <c r="C741" i="9"/>
  <c r="B24" i="4"/>
  <c r="A25" i="4"/>
  <c r="AL16" i="5"/>
  <c r="AU16" i="5"/>
  <c r="AX16" i="5"/>
  <c r="AH17" i="5"/>
  <c r="AI17" i="5" s="1"/>
  <c r="AJ17" i="5"/>
  <c r="AK17" i="5" s="1"/>
  <c r="D607" i="9"/>
  <c r="F607" i="9" s="1"/>
  <c r="H607" i="9" s="1"/>
  <c r="C608" i="9"/>
  <c r="C492" i="9"/>
  <c r="D491" i="9"/>
  <c r="F491" i="9" s="1"/>
  <c r="H491" i="9" s="1"/>
  <c r="AM18" i="5" l="1"/>
  <c r="AJ18" i="5"/>
  <c r="AK18" i="5" s="1"/>
  <c r="AH18" i="5"/>
  <c r="AI18" i="5" s="1"/>
  <c r="C493" i="9"/>
  <c r="D492" i="9"/>
  <c r="F492" i="9" s="1"/>
  <c r="H492" i="9" s="1"/>
  <c r="J19" i="5"/>
  <c r="V19" i="5"/>
  <c r="AC19" i="5" s="1"/>
  <c r="AD19" i="5" s="1"/>
  <c r="C609" i="9"/>
  <c r="D608" i="9"/>
  <c r="F608" i="9" s="1"/>
  <c r="H608" i="9" s="1"/>
  <c r="AY16" i="5"/>
  <c r="AV16" i="5"/>
  <c r="H21" i="5"/>
  <c r="L18" i="4"/>
  <c r="M19" i="4"/>
  <c r="G20" i="5"/>
  <c r="N17" i="4"/>
  <c r="I20" i="5" s="1"/>
  <c r="A26" i="4"/>
  <c r="B25" i="4"/>
  <c r="K20" i="5"/>
  <c r="AZ20" i="5"/>
  <c r="AW20" i="5"/>
  <c r="X20" i="5"/>
  <c r="B27" i="5"/>
  <c r="U24" i="4"/>
  <c r="T24" i="4"/>
  <c r="C742" i="9"/>
  <c r="D741" i="9"/>
  <c r="F741" i="9" s="1"/>
  <c r="H741" i="9" s="1"/>
  <c r="D549" i="9"/>
  <c r="F549" i="9" s="1"/>
  <c r="H549" i="9" s="1"/>
  <c r="C550" i="9"/>
  <c r="AL17" i="5"/>
  <c r="AX17" i="5"/>
  <c r="AU17" i="5"/>
  <c r="AM19" i="5" l="1"/>
  <c r="G21" i="5"/>
  <c r="N18" i="4"/>
  <c r="I21" i="5" s="1"/>
  <c r="AZ21" i="5"/>
  <c r="AW21" i="5"/>
  <c r="X21" i="5"/>
  <c r="K21" i="5"/>
  <c r="C494" i="9"/>
  <c r="D494" i="9" s="1"/>
  <c r="F494" i="9" s="1"/>
  <c r="H494" i="9" s="1"/>
  <c r="D493" i="9"/>
  <c r="F493" i="9" s="1"/>
  <c r="H493" i="9" s="1"/>
  <c r="J20" i="5"/>
  <c r="V20" i="5"/>
  <c r="AC20" i="5" s="1"/>
  <c r="AD20" i="5" s="1"/>
  <c r="C610" i="9"/>
  <c r="D609" i="9"/>
  <c r="F609" i="9" s="1"/>
  <c r="H609" i="9" s="1"/>
  <c r="AL18" i="5"/>
  <c r="AU18" i="5"/>
  <c r="AX18" i="5"/>
  <c r="AY17" i="5"/>
  <c r="AV17" i="5"/>
  <c r="B28" i="5"/>
  <c r="U25" i="4"/>
  <c r="T25" i="4"/>
  <c r="D550" i="9"/>
  <c r="F550" i="9" s="1"/>
  <c r="H550" i="9" s="1"/>
  <c r="C551" i="9"/>
  <c r="D551" i="9" s="1"/>
  <c r="F551" i="9" s="1"/>
  <c r="H551" i="9" s="1"/>
  <c r="B26" i="4"/>
  <c r="A27" i="4"/>
  <c r="C743" i="9"/>
  <c r="D742" i="9"/>
  <c r="F742" i="9" s="1"/>
  <c r="H742" i="9" s="1"/>
  <c r="H22" i="5"/>
  <c r="M20" i="4"/>
  <c r="L19" i="4"/>
  <c r="AJ19" i="5"/>
  <c r="AK19" i="5" s="1"/>
  <c r="AH19" i="5"/>
  <c r="AI19" i="5" s="1"/>
  <c r="H553" i="9" l="1"/>
  <c r="C521" i="9" s="1"/>
  <c r="D521" i="9" s="1"/>
  <c r="AM20" i="5"/>
  <c r="A28" i="4"/>
  <c r="B27" i="4"/>
  <c r="AW22" i="5"/>
  <c r="X22" i="5"/>
  <c r="K22" i="5"/>
  <c r="AZ22" i="5"/>
  <c r="C744" i="9"/>
  <c r="D743" i="9"/>
  <c r="F743" i="9" s="1"/>
  <c r="H743" i="9" s="1"/>
  <c r="AJ20" i="5"/>
  <c r="AK20" i="5" s="1"/>
  <c r="AH20" i="5"/>
  <c r="AI20" i="5" s="1"/>
  <c r="J21" i="5"/>
  <c r="V21" i="5"/>
  <c r="AC21" i="5" s="1"/>
  <c r="AD21" i="5" s="1"/>
  <c r="B29" i="5"/>
  <c r="U26" i="4"/>
  <c r="T26" i="4"/>
  <c r="H495" i="9"/>
  <c r="C463" i="9" s="1"/>
  <c r="G22" i="5"/>
  <c r="N19" i="4"/>
  <c r="I22" i="5" s="1"/>
  <c r="AQ18" i="5"/>
  <c r="AV18" i="5"/>
  <c r="AY18" i="5"/>
  <c r="H23" i="5"/>
  <c r="L20" i="4"/>
  <c r="M21" i="4"/>
  <c r="AL19" i="5"/>
  <c r="AX19" i="5"/>
  <c r="AU19" i="5"/>
  <c r="C611" i="9"/>
  <c r="D610" i="9"/>
  <c r="F610" i="9" s="1"/>
  <c r="H610" i="9" s="1"/>
  <c r="C524" i="9" l="1"/>
  <c r="C525" i="9" s="1"/>
  <c r="C526" i="9" s="1"/>
  <c r="L13" i="11" s="1"/>
  <c r="AM21" i="5"/>
  <c r="C745" i="9"/>
  <c r="D744" i="9"/>
  <c r="F744" i="9" s="1"/>
  <c r="H744" i="9" s="1"/>
  <c r="AW23" i="5"/>
  <c r="X23" i="5"/>
  <c r="K23" i="5"/>
  <c r="AZ23" i="5"/>
  <c r="B30" i="5"/>
  <c r="U27" i="4"/>
  <c r="T27" i="4"/>
  <c r="AY19" i="5"/>
  <c r="AV19" i="5"/>
  <c r="E521" i="9"/>
  <c r="E524" i="9" s="1"/>
  <c r="E525" i="9" s="1"/>
  <c r="E526" i="9" s="1"/>
  <c r="E527" i="9" s="1"/>
  <c r="E528" i="9" s="1"/>
  <c r="D524" i="9"/>
  <c r="D525" i="9" s="1"/>
  <c r="D526" i="9" s="1"/>
  <c r="B28" i="4"/>
  <c r="A29" i="4"/>
  <c r="C612" i="9"/>
  <c r="D611" i="9"/>
  <c r="F611" i="9" s="1"/>
  <c r="H611" i="9" s="1"/>
  <c r="AJ21" i="5"/>
  <c r="AK21" i="5" s="1"/>
  <c r="AH21" i="5"/>
  <c r="AI21" i="5" s="1"/>
  <c r="V22" i="5"/>
  <c r="AC22" i="5" s="1"/>
  <c r="AD22" i="5" s="1"/>
  <c r="J22" i="5"/>
  <c r="M22" i="4"/>
  <c r="H24" i="5"/>
  <c r="L21" i="4"/>
  <c r="D463" i="9"/>
  <c r="C466" i="9"/>
  <c r="C467" i="9" s="1"/>
  <c r="C468" i="9" s="1"/>
  <c r="AL20" i="5"/>
  <c r="AX20" i="5"/>
  <c r="AU20" i="5"/>
  <c r="G23" i="5"/>
  <c r="N20" i="4"/>
  <c r="I23" i="5" s="1"/>
  <c r="C527" i="9" l="1"/>
  <c r="C528" i="9" s="1"/>
  <c r="AM22" i="5"/>
  <c r="AJ22" i="5"/>
  <c r="AK22" i="5" s="1"/>
  <c r="AH22" i="5"/>
  <c r="AI22" i="5" s="1"/>
  <c r="A30" i="4"/>
  <c r="B29" i="4"/>
  <c r="B31" i="5"/>
  <c r="U28" i="4"/>
  <c r="T28" i="4"/>
  <c r="AV20" i="5"/>
  <c r="AY20" i="5"/>
  <c r="X130" i="5"/>
  <c r="AC130" i="5" s="1"/>
  <c r="D527" i="9"/>
  <c r="D528" i="9" s="1"/>
  <c r="M13" i="11"/>
  <c r="K13" i="11" s="1"/>
  <c r="D745" i="9"/>
  <c r="F745" i="9" s="1"/>
  <c r="H745" i="9" s="1"/>
  <c r="C746" i="9"/>
  <c r="L12" i="11"/>
  <c r="C469" i="9"/>
  <c r="C470" i="9" s="1"/>
  <c r="E463" i="9"/>
  <c r="E466" i="9" s="1"/>
  <c r="E467" i="9" s="1"/>
  <c r="E468" i="9" s="1"/>
  <c r="E469" i="9" s="1"/>
  <c r="E470" i="9" s="1"/>
  <c r="D466" i="9"/>
  <c r="D467" i="9" s="1"/>
  <c r="D468" i="9" s="1"/>
  <c r="G24" i="5"/>
  <c r="N21" i="4"/>
  <c r="I24" i="5" s="1"/>
  <c r="AL21" i="5"/>
  <c r="AU21" i="5"/>
  <c r="AX21" i="5"/>
  <c r="H25" i="5"/>
  <c r="L22" i="4"/>
  <c r="M23" i="4"/>
  <c r="D612" i="9"/>
  <c r="F612" i="9" s="1"/>
  <c r="H612" i="9" s="1"/>
  <c r="C613" i="9"/>
  <c r="V23" i="5"/>
  <c r="AC23" i="5" s="1"/>
  <c r="AD23" i="5" s="1"/>
  <c r="J23" i="5"/>
  <c r="AW24" i="5"/>
  <c r="X24" i="5"/>
  <c r="K24" i="5"/>
  <c r="AZ24" i="5"/>
  <c r="AM23" i="5" l="1"/>
  <c r="B32" i="5"/>
  <c r="T29" i="4"/>
  <c r="U29" i="4"/>
  <c r="H26" i="5"/>
  <c r="M24" i="4"/>
  <c r="L23" i="4"/>
  <c r="X97" i="5"/>
  <c r="D469" i="9"/>
  <c r="D470" i="9" s="1"/>
  <c r="M12" i="11"/>
  <c r="B30" i="4"/>
  <c r="A31" i="4"/>
  <c r="A32" i="4" s="1"/>
  <c r="AH23" i="5"/>
  <c r="AI23" i="5" s="1"/>
  <c r="AJ23" i="5"/>
  <c r="AK23" i="5" s="1"/>
  <c r="G25" i="5"/>
  <c r="N22" i="4"/>
  <c r="I25" i="5" s="1"/>
  <c r="K25" i="5"/>
  <c r="AZ25" i="5"/>
  <c r="X25" i="5"/>
  <c r="AW25" i="5"/>
  <c r="AV21" i="5"/>
  <c r="AY21" i="5"/>
  <c r="D746" i="9"/>
  <c r="F746" i="9" s="1"/>
  <c r="H746" i="9" s="1"/>
  <c r="C747" i="9"/>
  <c r="AL22" i="5"/>
  <c r="AU22" i="5"/>
  <c r="AX22" i="5"/>
  <c r="C614" i="9"/>
  <c r="D613" i="9"/>
  <c r="F613" i="9" s="1"/>
  <c r="H613" i="9" s="1"/>
  <c r="V24" i="5"/>
  <c r="AC24" i="5" s="1"/>
  <c r="AD24" i="5" s="1"/>
  <c r="J24" i="5"/>
  <c r="AM24" i="5" l="1"/>
  <c r="H27" i="5"/>
  <c r="L24" i="4"/>
  <c r="M25" i="4"/>
  <c r="B32" i="4"/>
  <c r="A33" i="4"/>
  <c r="K26" i="5"/>
  <c r="AZ26" i="5"/>
  <c r="AW26" i="5"/>
  <c r="X26" i="5"/>
  <c r="D614" i="9"/>
  <c r="F614" i="9" s="1"/>
  <c r="H614" i="9" s="1"/>
  <c r="C615" i="9"/>
  <c r="D747" i="9"/>
  <c r="F747" i="9" s="1"/>
  <c r="H747" i="9" s="1"/>
  <c r="C748" i="9"/>
  <c r="B33" i="5"/>
  <c r="T30" i="4"/>
  <c r="U30" i="4"/>
  <c r="K12" i="11"/>
  <c r="AH24" i="5"/>
  <c r="AI24" i="5" s="1"/>
  <c r="AJ24" i="5"/>
  <c r="AK24" i="5" s="1"/>
  <c r="G26" i="5"/>
  <c r="N23" i="4"/>
  <c r="I26" i="5" s="1"/>
  <c r="V25" i="5"/>
  <c r="AC25" i="5" s="1"/>
  <c r="AD25" i="5" s="1"/>
  <c r="J25" i="5"/>
  <c r="AV22" i="5"/>
  <c r="AY22" i="5"/>
  <c r="AL23" i="5"/>
  <c r="AU23" i="5"/>
  <c r="AX23" i="5"/>
  <c r="AC97" i="5"/>
  <c r="AM25" i="5" l="1"/>
  <c r="H28" i="5"/>
  <c r="M26" i="4"/>
  <c r="L25" i="4"/>
  <c r="A34" i="4"/>
  <c r="A35" i="4" s="1"/>
  <c r="B33" i="4"/>
  <c r="J26" i="5"/>
  <c r="V26" i="5"/>
  <c r="AC26" i="5" s="1"/>
  <c r="AD26" i="5" s="1"/>
  <c r="G27" i="5"/>
  <c r="N24" i="4"/>
  <c r="I27" i="5" s="1"/>
  <c r="AJ25" i="5"/>
  <c r="AK25" i="5" s="1"/>
  <c r="AH25" i="5"/>
  <c r="AI25" i="5" s="1"/>
  <c r="B35" i="5"/>
  <c r="T32" i="4"/>
  <c r="U32" i="4"/>
  <c r="AY23" i="5"/>
  <c r="AV23" i="5"/>
  <c r="D748" i="9"/>
  <c r="F748" i="9" s="1"/>
  <c r="H748" i="9" s="1"/>
  <c r="C749" i="9"/>
  <c r="K27" i="5"/>
  <c r="AZ27" i="5"/>
  <c r="AW27" i="5"/>
  <c r="X27" i="5"/>
  <c r="AL24" i="5"/>
  <c r="AX24" i="5"/>
  <c r="AU24" i="5"/>
  <c r="D615" i="9"/>
  <c r="C616" i="9"/>
  <c r="AM26" i="5" l="1"/>
  <c r="AV24" i="5"/>
  <c r="AY24" i="5"/>
  <c r="B36" i="5"/>
  <c r="T33" i="4"/>
  <c r="U33" i="4"/>
  <c r="C750" i="9"/>
  <c r="D749" i="9"/>
  <c r="F749" i="9" s="1"/>
  <c r="H749" i="9" s="1"/>
  <c r="A36" i="4"/>
  <c r="A37" i="4" s="1"/>
  <c r="B35" i="4"/>
  <c r="H29" i="5"/>
  <c r="L26" i="4"/>
  <c r="M27" i="4"/>
  <c r="C617" i="9"/>
  <c r="D616" i="9"/>
  <c r="J27" i="5"/>
  <c r="V27" i="5"/>
  <c r="AC27" i="5" s="1"/>
  <c r="AD27" i="5" s="1"/>
  <c r="K28" i="5"/>
  <c r="AZ28" i="5"/>
  <c r="AW28" i="5"/>
  <c r="X28" i="5"/>
  <c r="G28" i="5"/>
  <c r="N25" i="4"/>
  <c r="I28" i="5" s="1"/>
  <c r="F615" i="9"/>
  <c r="H615" i="9" s="1"/>
  <c r="D661" i="9"/>
  <c r="AL25" i="5"/>
  <c r="AX25" i="5"/>
  <c r="AU25" i="5"/>
  <c r="AJ26" i="5"/>
  <c r="AK26" i="5" s="1"/>
  <c r="AH26" i="5"/>
  <c r="AI26" i="5" s="1"/>
  <c r="AM27" i="5" l="1"/>
  <c r="F616" i="9"/>
  <c r="H616" i="9" s="1"/>
  <c r="C661" i="9"/>
  <c r="AY25" i="5"/>
  <c r="AV25" i="5"/>
  <c r="C618" i="9"/>
  <c r="D617" i="9"/>
  <c r="H30" i="5"/>
  <c r="M28" i="4"/>
  <c r="L27" i="4"/>
  <c r="G29" i="5"/>
  <c r="N26" i="4"/>
  <c r="I29" i="5" s="1"/>
  <c r="AZ29" i="5"/>
  <c r="AW29" i="5"/>
  <c r="X29" i="5"/>
  <c r="K29" i="5"/>
  <c r="B38" i="5"/>
  <c r="U35" i="4"/>
  <c r="T35" i="4"/>
  <c r="A38" i="4"/>
  <c r="A39" i="4" s="1"/>
  <c r="B37" i="4"/>
  <c r="AL26" i="5"/>
  <c r="AX26" i="5"/>
  <c r="AU26" i="5"/>
  <c r="C751" i="9"/>
  <c r="D750" i="9"/>
  <c r="F750" i="9" s="1"/>
  <c r="H750" i="9" s="1"/>
  <c r="J28" i="5"/>
  <c r="V28" i="5"/>
  <c r="AC28" i="5" s="1"/>
  <c r="AD28" i="5" s="1"/>
  <c r="AJ27" i="5"/>
  <c r="AK27" i="5" s="1"/>
  <c r="AH27" i="5"/>
  <c r="AI27" i="5" s="1"/>
  <c r="AM28" i="5" l="1"/>
  <c r="C619" i="9"/>
  <c r="D618" i="9"/>
  <c r="F618" i="9" s="1"/>
  <c r="H618" i="9" s="1"/>
  <c r="J29" i="5"/>
  <c r="V29" i="5"/>
  <c r="AC29" i="5" s="1"/>
  <c r="AD29" i="5" s="1"/>
  <c r="F617" i="9"/>
  <c r="H617" i="9" s="1"/>
  <c r="E661" i="9"/>
  <c r="B40" i="5"/>
  <c r="U37" i="4"/>
  <c r="T37" i="4"/>
  <c r="AY26" i="5"/>
  <c r="AV26" i="5"/>
  <c r="G30" i="5"/>
  <c r="N27" i="4"/>
  <c r="I30" i="5" s="1"/>
  <c r="H31" i="5"/>
  <c r="L28" i="4"/>
  <c r="M29" i="4"/>
  <c r="AW30" i="5"/>
  <c r="X30" i="5"/>
  <c r="AZ30" i="5"/>
  <c r="K30" i="5"/>
  <c r="AL27" i="5"/>
  <c r="AX27" i="5"/>
  <c r="AU27" i="5"/>
  <c r="C752" i="9"/>
  <c r="D751" i="9"/>
  <c r="F751" i="9" s="1"/>
  <c r="H751" i="9" s="1"/>
  <c r="A40" i="4"/>
  <c r="A41" i="4" s="1"/>
  <c r="B39" i="4"/>
  <c r="AJ28" i="5"/>
  <c r="AK28" i="5" s="1"/>
  <c r="AH28" i="5"/>
  <c r="AI28" i="5" s="1"/>
  <c r="AM29" i="5" l="1"/>
  <c r="B41" i="4"/>
  <c r="A42" i="4"/>
  <c r="A43" i="4" s="1"/>
  <c r="AW31" i="5"/>
  <c r="X31" i="5"/>
  <c r="K31" i="5"/>
  <c r="AZ31" i="5"/>
  <c r="C753" i="9"/>
  <c r="D752" i="9"/>
  <c r="F752" i="9" s="1"/>
  <c r="H752" i="9" s="1"/>
  <c r="V30" i="5"/>
  <c r="AC30" i="5" s="1"/>
  <c r="AD30" i="5" s="1"/>
  <c r="J30" i="5"/>
  <c r="AJ29" i="5"/>
  <c r="AK29" i="5" s="1"/>
  <c r="AH29" i="5"/>
  <c r="AI29" i="5" s="1"/>
  <c r="AY27" i="5"/>
  <c r="AV27" i="5"/>
  <c r="C620" i="9"/>
  <c r="D619" i="9"/>
  <c r="F619" i="9" s="1"/>
  <c r="H619" i="9" s="1"/>
  <c r="B42" i="5"/>
  <c r="U39" i="4"/>
  <c r="T39" i="4"/>
  <c r="H32" i="5"/>
  <c r="M30" i="4"/>
  <c r="L29" i="4"/>
  <c r="AL28" i="5"/>
  <c r="AU28" i="5"/>
  <c r="AX28" i="5"/>
  <c r="G31" i="5"/>
  <c r="N28" i="4"/>
  <c r="I31" i="5" s="1"/>
  <c r="AM30" i="5" l="1"/>
  <c r="D620" i="9"/>
  <c r="F620" i="9" s="1"/>
  <c r="H620" i="9" s="1"/>
  <c r="C621" i="9"/>
  <c r="H33" i="5"/>
  <c r="L30" i="4"/>
  <c r="M31" i="4"/>
  <c r="D753" i="9"/>
  <c r="F753" i="9" s="1"/>
  <c r="H753" i="9" s="1"/>
  <c r="C754" i="9"/>
  <c r="AW32" i="5"/>
  <c r="X32" i="5"/>
  <c r="K32" i="5"/>
  <c r="AZ32" i="5"/>
  <c r="AV28" i="5"/>
  <c r="AY28" i="5"/>
  <c r="G32" i="5"/>
  <c r="N29" i="4"/>
  <c r="I32" i="5" s="1"/>
  <c r="V31" i="5"/>
  <c r="AC31" i="5" s="1"/>
  <c r="AD31" i="5" s="1"/>
  <c r="J31" i="5"/>
  <c r="B44" i="5"/>
  <c r="T41" i="4"/>
  <c r="U41" i="4"/>
  <c r="AL29" i="5"/>
  <c r="AX29" i="5"/>
  <c r="AU29" i="5"/>
  <c r="A44" i="4"/>
  <c r="B43" i="4"/>
  <c r="AJ30" i="5"/>
  <c r="AK30" i="5" s="1"/>
  <c r="AH30" i="5"/>
  <c r="AI30" i="5" s="1"/>
  <c r="AM31" i="5" l="1"/>
  <c r="B46" i="5"/>
  <c r="U43" i="4"/>
  <c r="T43" i="4"/>
  <c r="H34" i="5"/>
  <c r="M32" i="4"/>
  <c r="L31" i="4"/>
  <c r="B44" i="4"/>
  <c r="A45" i="4"/>
  <c r="A46" i="4" s="1"/>
  <c r="A47" i="4" s="1"/>
  <c r="G33" i="5"/>
  <c r="N30" i="4"/>
  <c r="I33" i="5" s="1"/>
  <c r="V32" i="5"/>
  <c r="AC32" i="5" s="1"/>
  <c r="AD32" i="5" s="1"/>
  <c r="J32" i="5"/>
  <c r="K33" i="5"/>
  <c r="AZ33" i="5"/>
  <c r="X33" i="5"/>
  <c r="AW33" i="5"/>
  <c r="C622" i="9"/>
  <c r="D621" i="9"/>
  <c r="F621" i="9" s="1"/>
  <c r="H621" i="9" s="1"/>
  <c r="AV29" i="5"/>
  <c r="AY29" i="5"/>
  <c r="AH31" i="5"/>
  <c r="AI31" i="5" s="1"/>
  <c r="AJ31" i="5"/>
  <c r="AK31" i="5" s="1"/>
  <c r="AL30" i="5"/>
  <c r="AX30" i="5"/>
  <c r="AU30" i="5"/>
  <c r="D754" i="9"/>
  <c r="F754" i="9" s="1"/>
  <c r="H754" i="9" s="1"/>
  <c r="C755" i="9"/>
  <c r="AM32" i="5" l="1"/>
  <c r="N31" i="4"/>
  <c r="I34" i="5" s="1"/>
  <c r="J34" i="5" s="1"/>
  <c r="G34" i="5"/>
  <c r="AY30" i="5"/>
  <c r="AV30" i="5"/>
  <c r="D622" i="9"/>
  <c r="F622" i="9" s="1"/>
  <c r="H622" i="9" s="1"/>
  <c r="C623" i="9"/>
  <c r="H35" i="5"/>
  <c r="L32" i="4"/>
  <c r="M33" i="4"/>
  <c r="AH32" i="5"/>
  <c r="AJ32" i="5"/>
  <c r="AK32" i="5" s="1"/>
  <c r="AI32" i="5"/>
  <c r="AW34" i="5"/>
  <c r="K34" i="5"/>
  <c r="AZ34" i="5"/>
  <c r="V33" i="5"/>
  <c r="AC33" i="5" s="1"/>
  <c r="AD33" i="5" s="1"/>
  <c r="J33" i="5"/>
  <c r="D755" i="9"/>
  <c r="F755" i="9" s="1"/>
  <c r="H755" i="9" s="1"/>
  <c r="C756" i="9"/>
  <c r="A48" i="4"/>
  <c r="B47" i="4"/>
  <c r="AL31" i="5"/>
  <c r="AU31" i="5"/>
  <c r="AX31" i="5"/>
  <c r="B47" i="5"/>
  <c r="T44" i="4"/>
  <c r="U44" i="4"/>
  <c r="AM33" i="5" l="1"/>
  <c r="AD34" i="5"/>
  <c r="B48" i="4"/>
  <c r="A49" i="4"/>
  <c r="A50" i="4" s="1"/>
  <c r="H36" i="5"/>
  <c r="M34" i="4"/>
  <c r="L33" i="4"/>
  <c r="B50" i="5"/>
  <c r="U47" i="4"/>
  <c r="T47" i="4"/>
  <c r="D756" i="9"/>
  <c r="F756" i="9" s="1"/>
  <c r="H756" i="9" s="1"/>
  <c r="C757" i="9"/>
  <c r="G35" i="5"/>
  <c r="N32" i="4"/>
  <c r="I35" i="5" s="1"/>
  <c r="J35" i="5" s="1"/>
  <c r="AH34" i="5"/>
  <c r="AK34" i="5"/>
  <c r="AJ34" i="5"/>
  <c r="AI34" i="5"/>
  <c r="AY31" i="5"/>
  <c r="AV31" i="5"/>
  <c r="AW35" i="5"/>
  <c r="K35" i="5"/>
  <c r="AZ35" i="5"/>
  <c r="AL32" i="5"/>
  <c r="AX32" i="5"/>
  <c r="AU32" i="5"/>
  <c r="D623" i="9"/>
  <c r="F623" i="9" s="1"/>
  <c r="H623" i="9" s="1"/>
  <c r="C624" i="9"/>
  <c r="AJ33" i="5"/>
  <c r="AK33" i="5" s="1"/>
  <c r="AH33" i="5"/>
  <c r="AI33" i="5" s="1"/>
  <c r="D662" i="9"/>
  <c r="AY32" i="5" l="1"/>
  <c r="AV32" i="5"/>
  <c r="C625" i="9"/>
  <c r="D624" i="9"/>
  <c r="F624" i="9" s="1"/>
  <c r="H624" i="9" s="1"/>
  <c r="C662" i="9"/>
  <c r="G36" i="5"/>
  <c r="N33" i="4"/>
  <c r="I36" i="5" s="1"/>
  <c r="H37" i="5"/>
  <c r="L34" i="4"/>
  <c r="M35" i="4"/>
  <c r="AW36" i="5"/>
  <c r="K36" i="5"/>
  <c r="AZ36" i="5"/>
  <c r="B50" i="4"/>
  <c r="A51" i="4"/>
  <c r="C758" i="9"/>
  <c r="D757" i="9"/>
  <c r="F757" i="9" s="1"/>
  <c r="H757" i="9" s="1"/>
  <c r="B51" i="5"/>
  <c r="U48" i="4"/>
  <c r="T48" i="4"/>
  <c r="AM34" i="5"/>
  <c r="AD35" i="5"/>
  <c r="AL33" i="5"/>
  <c r="AX33" i="5"/>
  <c r="AU33" i="5"/>
  <c r="C759" i="9" l="1"/>
  <c r="D758" i="9"/>
  <c r="F758" i="9" s="1"/>
  <c r="H758" i="9" s="1"/>
  <c r="AY33" i="5"/>
  <c r="AV33" i="5"/>
  <c r="A52" i="4"/>
  <c r="A53" i="4" s="1"/>
  <c r="A54" i="4" s="1"/>
  <c r="B51" i="4"/>
  <c r="J36" i="5"/>
  <c r="AM35" i="5"/>
  <c r="AD36" i="5"/>
  <c r="H38" i="5"/>
  <c r="M36" i="4"/>
  <c r="L35" i="4"/>
  <c r="AL34" i="5"/>
  <c r="AU34" i="5"/>
  <c r="AX34" i="5"/>
  <c r="G37" i="5"/>
  <c r="N34" i="4"/>
  <c r="I37" i="5" s="1"/>
  <c r="AJ35" i="5"/>
  <c r="AK35" i="5" s="1"/>
  <c r="C626" i="9"/>
  <c r="D625" i="9"/>
  <c r="F625" i="9" s="1"/>
  <c r="H625" i="9" s="1"/>
  <c r="AW37" i="5"/>
  <c r="K37" i="5"/>
  <c r="AZ37" i="5"/>
  <c r="B53" i="5"/>
  <c r="T50" i="4"/>
  <c r="U50" i="4"/>
  <c r="AH35" i="5"/>
  <c r="AI35" i="5" s="1"/>
  <c r="AL35" i="5" l="1"/>
  <c r="AX35" i="5"/>
  <c r="AU35" i="5"/>
  <c r="B54" i="5"/>
  <c r="U51" i="4"/>
  <c r="T51" i="4"/>
  <c r="AJ36" i="5"/>
  <c r="AK36" i="5" s="1"/>
  <c r="AH36" i="5"/>
  <c r="AI36" i="5" s="1"/>
  <c r="AV34" i="5"/>
  <c r="AY34" i="5"/>
  <c r="B54" i="4"/>
  <c r="A55" i="4"/>
  <c r="C627" i="9"/>
  <c r="D626" i="9"/>
  <c r="F626" i="9" s="1"/>
  <c r="H626" i="9" s="1"/>
  <c r="H39" i="5"/>
  <c r="L36" i="4"/>
  <c r="M37" i="4"/>
  <c r="G38" i="5"/>
  <c r="N35" i="4"/>
  <c r="I38" i="5" s="1"/>
  <c r="AZ38" i="5"/>
  <c r="AW38" i="5"/>
  <c r="X38" i="5"/>
  <c r="K38" i="5"/>
  <c r="J37" i="5"/>
  <c r="AM36" i="5"/>
  <c r="AD37" i="5"/>
  <c r="C760" i="9"/>
  <c r="D759" i="9"/>
  <c r="F759" i="9" s="1"/>
  <c r="H759" i="9" s="1"/>
  <c r="C628" i="9" l="1"/>
  <c r="D628" i="9" s="1"/>
  <c r="F628" i="9" s="1"/>
  <c r="H628" i="9" s="1"/>
  <c r="D627" i="9"/>
  <c r="F627" i="9" s="1"/>
  <c r="H627" i="9" s="1"/>
  <c r="J38" i="5"/>
  <c r="V38" i="5"/>
  <c r="AC38" i="5" s="1"/>
  <c r="A56" i="4"/>
  <c r="B55" i="4"/>
  <c r="B57" i="5"/>
  <c r="U54" i="4"/>
  <c r="T54" i="4"/>
  <c r="G39" i="5"/>
  <c r="N36" i="4"/>
  <c r="I39" i="5" s="1"/>
  <c r="AJ37" i="5"/>
  <c r="AI37" i="5"/>
  <c r="AH37" i="5"/>
  <c r="AK37" i="5"/>
  <c r="H40" i="5"/>
  <c r="M38" i="4"/>
  <c r="L37" i="4"/>
  <c r="AL36" i="5"/>
  <c r="AU36" i="5"/>
  <c r="AX36" i="5"/>
  <c r="C761" i="9"/>
  <c r="D760" i="9"/>
  <c r="F760" i="9" s="1"/>
  <c r="H760" i="9" s="1"/>
  <c r="AZ39" i="5"/>
  <c r="AW39" i="5"/>
  <c r="K39" i="5"/>
  <c r="AM37" i="5"/>
  <c r="AD38" i="5"/>
  <c r="E662" i="9"/>
  <c r="AY35" i="5"/>
  <c r="AV35" i="5"/>
  <c r="H629" i="9" l="1"/>
  <c r="C579" i="9" s="1"/>
  <c r="D579" i="9" s="1"/>
  <c r="AL37" i="5"/>
  <c r="AU37" i="5"/>
  <c r="AX37" i="5"/>
  <c r="B56" i="4"/>
  <c r="A57" i="4"/>
  <c r="A58" i="4" s="1"/>
  <c r="A59" i="4" s="1"/>
  <c r="AD39" i="5"/>
  <c r="AM38" i="5"/>
  <c r="AZ40" i="5"/>
  <c r="AW40" i="5"/>
  <c r="K40" i="5"/>
  <c r="D761" i="9"/>
  <c r="F761" i="9" s="1"/>
  <c r="H761" i="9" s="1"/>
  <c r="C762" i="9"/>
  <c r="AV36" i="5"/>
  <c r="AY36" i="5"/>
  <c r="J39" i="5"/>
  <c r="AJ38" i="5"/>
  <c r="AK38" i="5" s="1"/>
  <c r="AH38" i="5"/>
  <c r="AI38" i="5" s="1"/>
  <c r="B58" i="5"/>
  <c r="U55" i="4"/>
  <c r="T55" i="4"/>
  <c r="G40" i="5"/>
  <c r="N37" i="4"/>
  <c r="I40" i="5" s="1"/>
  <c r="H41" i="5"/>
  <c r="L38" i="4"/>
  <c r="M39" i="4"/>
  <c r="C582" i="9" l="1"/>
  <c r="C583" i="9" s="1"/>
  <c r="C584" i="9" s="1"/>
  <c r="L14" i="11" s="1"/>
  <c r="D762" i="9"/>
  <c r="F762" i="9" s="1"/>
  <c r="H762" i="9" s="1"/>
  <c r="C763" i="9"/>
  <c r="AD40" i="5"/>
  <c r="AM39" i="5"/>
  <c r="E579" i="9"/>
  <c r="E582" i="9" s="1"/>
  <c r="E583" i="9" s="1"/>
  <c r="E584" i="9" s="1"/>
  <c r="E585" i="9" s="1"/>
  <c r="E586" i="9" s="1"/>
  <c r="D582" i="9"/>
  <c r="D583" i="9" s="1"/>
  <c r="D584" i="9" s="1"/>
  <c r="G41" i="5"/>
  <c r="N38" i="4"/>
  <c r="I41" i="5" s="1"/>
  <c r="J41" i="5" s="1"/>
  <c r="A60" i="4"/>
  <c r="B59" i="4"/>
  <c r="H42" i="5"/>
  <c r="M40" i="4"/>
  <c r="L39" i="4"/>
  <c r="AL38" i="5"/>
  <c r="AX38" i="5"/>
  <c r="AU38" i="5"/>
  <c r="K41" i="5"/>
  <c r="AZ41" i="5"/>
  <c r="AW41" i="5"/>
  <c r="J40" i="5"/>
  <c r="B59" i="5"/>
  <c r="U56" i="4"/>
  <c r="T56" i="4"/>
  <c r="AK39" i="5"/>
  <c r="AJ39" i="5"/>
  <c r="AI39" i="5"/>
  <c r="AH39" i="5"/>
  <c r="AY37" i="5"/>
  <c r="AV37" i="5"/>
  <c r="C585" i="9" l="1"/>
  <c r="C586" i="9" s="1"/>
  <c r="AJ40" i="5"/>
  <c r="AK40" i="5" s="1"/>
  <c r="AH40" i="5"/>
  <c r="AI40" i="5" s="1"/>
  <c r="AK41" i="5"/>
  <c r="AJ41" i="5"/>
  <c r="AI41" i="5"/>
  <c r="AH41" i="5"/>
  <c r="AV38" i="5"/>
  <c r="AY38" i="5"/>
  <c r="X141" i="5"/>
  <c r="D585" i="9"/>
  <c r="D586" i="9" s="1"/>
  <c r="M14" i="11"/>
  <c r="G42" i="5"/>
  <c r="N39" i="4"/>
  <c r="I42" i="5" s="1"/>
  <c r="H43" i="5"/>
  <c r="L40" i="4"/>
  <c r="M41" i="4"/>
  <c r="AL39" i="5"/>
  <c r="AX39" i="5"/>
  <c r="AU39" i="5"/>
  <c r="K42" i="5"/>
  <c r="AZ42" i="5"/>
  <c r="AW42" i="5"/>
  <c r="X42" i="5"/>
  <c r="AM40" i="5"/>
  <c r="AD41" i="5"/>
  <c r="B62" i="5"/>
  <c r="U59" i="4"/>
  <c r="T59" i="4"/>
  <c r="D763" i="9"/>
  <c r="F763" i="9" s="1"/>
  <c r="H763" i="9" s="1"/>
  <c r="C764" i="9"/>
  <c r="B60" i="4"/>
  <c r="A61" i="4"/>
  <c r="AM41" i="5" l="1"/>
  <c r="AY39" i="5"/>
  <c r="AV39" i="5"/>
  <c r="K14" i="11"/>
  <c r="H44" i="5"/>
  <c r="M42" i="4"/>
  <c r="L41" i="4"/>
  <c r="AC141" i="5"/>
  <c r="J42" i="5"/>
  <c r="V42" i="5"/>
  <c r="AC42" i="5" s="1"/>
  <c r="AD42" i="5" s="1"/>
  <c r="AL40" i="5"/>
  <c r="AX40" i="5"/>
  <c r="AU40" i="5"/>
  <c r="B63" i="5"/>
  <c r="T60" i="4"/>
  <c r="U60" i="4"/>
  <c r="A62" i="4"/>
  <c r="A63" i="4" s="1"/>
  <c r="B61" i="4"/>
  <c r="D764" i="9"/>
  <c r="C765" i="9"/>
  <c r="G43" i="5"/>
  <c r="N40" i="4"/>
  <c r="I43" i="5" s="1"/>
  <c r="AZ43" i="5"/>
  <c r="AW43" i="5"/>
  <c r="K43" i="5"/>
  <c r="AD43" i="5" l="1"/>
  <c r="AM42" i="5"/>
  <c r="H45" i="5"/>
  <c r="L42" i="4"/>
  <c r="M43" i="4"/>
  <c r="K44" i="5"/>
  <c r="AZ44" i="5"/>
  <c r="AW44" i="5"/>
  <c r="A64" i="4"/>
  <c r="A65" i="4" s="1"/>
  <c r="B63" i="4"/>
  <c r="AJ42" i="5"/>
  <c r="AK42" i="5" s="1"/>
  <c r="AH42" i="5"/>
  <c r="AI42" i="5" s="1"/>
  <c r="AY40" i="5"/>
  <c r="AV40" i="5"/>
  <c r="B64" i="5"/>
  <c r="T61" i="4"/>
  <c r="U61" i="4"/>
  <c r="AL41" i="5"/>
  <c r="AX41" i="5"/>
  <c r="AU41" i="5"/>
  <c r="C766" i="9"/>
  <c r="D765" i="9"/>
  <c r="F764" i="9"/>
  <c r="H764" i="9" s="1"/>
  <c r="D810" i="9"/>
  <c r="J43" i="5"/>
  <c r="G44" i="5"/>
  <c r="N41" i="4"/>
  <c r="I44" i="5" s="1"/>
  <c r="J44" i="5" s="1"/>
  <c r="AY41" i="5" l="1"/>
  <c r="AV41" i="5"/>
  <c r="AK43" i="5"/>
  <c r="AJ43" i="5"/>
  <c r="AI43" i="5"/>
  <c r="AH43" i="5"/>
  <c r="B66" i="5"/>
  <c r="U63" i="4"/>
  <c r="T63" i="4"/>
  <c r="A66" i="4"/>
  <c r="B65" i="4"/>
  <c r="F765" i="9"/>
  <c r="H765" i="9" s="1"/>
  <c r="C810" i="9"/>
  <c r="C811" i="9" s="1"/>
  <c r="G45" i="5"/>
  <c r="N42" i="4"/>
  <c r="I45" i="5" s="1"/>
  <c r="J45" i="5" s="1"/>
  <c r="AL42" i="5"/>
  <c r="AX42" i="5"/>
  <c r="AU42" i="5"/>
  <c r="AM43" i="5"/>
  <c r="AD44" i="5"/>
  <c r="AH44" i="5" s="1"/>
  <c r="AI44" i="5" s="1"/>
  <c r="H46" i="5"/>
  <c r="M44" i="4"/>
  <c r="L43" i="4"/>
  <c r="C767" i="9"/>
  <c r="D766" i="9"/>
  <c r="K45" i="5"/>
  <c r="AZ45" i="5"/>
  <c r="AW45" i="5"/>
  <c r="K46" i="5" l="1"/>
  <c r="AZ46" i="5"/>
  <c r="AW46" i="5"/>
  <c r="X46" i="5"/>
  <c r="AM44" i="5"/>
  <c r="AD45" i="5"/>
  <c r="AY42" i="5"/>
  <c r="AV42" i="5"/>
  <c r="AL43" i="5"/>
  <c r="AU43" i="5"/>
  <c r="AX43" i="5"/>
  <c r="AK45" i="5"/>
  <c r="AJ45" i="5"/>
  <c r="AI45" i="5"/>
  <c r="AH45" i="5"/>
  <c r="F766" i="9"/>
  <c r="H766" i="9" s="1"/>
  <c r="E810" i="9"/>
  <c r="E811" i="9" s="1"/>
  <c r="C768" i="9"/>
  <c r="D767" i="9"/>
  <c r="F767" i="9" s="1"/>
  <c r="H767" i="9" s="1"/>
  <c r="AJ44" i="5"/>
  <c r="AK44" i="5" s="1"/>
  <c r="G46" i="5"/>
  <c r="N43" i="4"/>
  <c r="I46" i="5" s="1"/>
  <c r="B68" i="5"/>
  <c r="U65" i="4"/>
  <c r="T65" i="4"/>
  <c r="H47" i="5"/>
  <c r="L44" i="4"/>
  <c r="M45" i="4"/>
  <c r="B66" i="4"/>
  <c r="A67" i="4"/>
  <c r="J46" i="5" l="1"/>
  <c r="V46" i="5"/>
  <c r="AC46" i="5" s="1"/>
  <c r="AD46" i="5" s="1"/>
  <c r="B69" i="5"/>
  <c r="T66" i="4"/>
  <c r="U66" i="4"/>
  <c r="AL44" i="5"/>
  <c r="AX44" i="5"/>
  <c r="AU44" i="5"/>
  <c r="H48" i="5"/>
  <c r="M46" i="4"/>
  <c r="L45" i="4"/>
  <c r="G47" i="5"/>
  <c r="N44" i="4"/>
  <c r="I47" i="5" s="1"/>
  <c r="A68" i="4"/>
  <c r="B67" i="4"/>
  <c r="AM45" i="5"/>
  <c r="K47" i="5"/>
  <c r="AZ47" i="5"/>
  <c r="X47" i="5"/>
  <c r="AW47" i="5"/>
  <c r="D768" i="9"/>
  <c r="F768" i="9" s="1"/>
  <c r="H768" i="9" s="1"/>
  <c r="C769" i="9"/>
  <c r="AV43" i="5"/>
  <c r="AY43" i="5"/>
  <c r="AD47" i="5" l="1"/>
  <c r="AM46" i="5"/>
  <c r="H49" i="5"/>
  <c r="M47" i="4"/>
  <c r="L46" i="4"/>
  <c r="AL45" i="5"/>
  <c r="AX45" i="5"/>
  <c r="AU45" i="5"/>
  <c r="K48" i="5"/>
  <c r="AZ48" i="5"/>
  <c r="X48" i="5"/>
  <c r="AC48" i="5" s="1"/>
  <c r="AW48" i="5"/>
  <c r="AJ46" i="5"/>
  <c r="AK46" i="5" s="1"/>
  <c r="AH46" i="5"/>
  <c r="AI46" i="5" s="1"/>
  <c r="D769" i="9"/>
  <c r="F769" i="9" s="1"/>
  <c r="H769" i="9" s="1"/>
  <c r="C770" i="9"/>
  <c r="B70" i="5"/>
  <c r="U67" i="4"/>
  <c r="T67" i="4"/>
  <c r="B68" i="4"/>
  <c r="A69" i="4"/>
  <c r="AY44" i="5"/>
  <c r="AV44" i="5"/>
  <c r="J47" i="5"/>
  <c r="V47" i="5"/>
  <c r="AC47" i="5" s="1"/>
  <c r="G48" i="5"/>
  <c r="N45" i="4"/>
  <c r="I48" i="5" s="1"/>
  <c r="J48" i="5" s="1"/>
  <c r="AL46" i="5" l="1"/>
  <c r="AX46" i="5"/>
  <c r="AU46" i="5"/>
  <c r="AD48" i="5"/>
  <c r="AM47" i="5"/>
  <c r="AJ47" i="5"/>
  <c r="AK47" i="5" s="1"/>
  <c r="AH47" i="5"/>
  <c r="AI47" i="5" s="1"/>
  <c r="D770" i="9"/>
  <c r="F770" i="9" s="1"/>
  <c r="H770" i="9" s="1"/>
  <c r="C771" i="9"/>
  <c r="AY45" i="5"/>
  <c r="AV45" i="5"/>
  <c r="AK48" i="5"/>
  <c r="AJ48" i="5"/>
  <c r="AI48" i="5"/>
  <c r="AH48" i="5"/>
  <c r="G49" i="5"/>
  <c r="N46" i="4"/>
  <c r="I49" i="5" s="1"/>
  <c r="H50" i="5"/>
  <c r="M48" i="4"/>
  <c r="L47" i="4"/>
  <c r="B71" i="5"/>
  <c r="U68" i="4"/>
  <c r="T68" i="4"/>
  <c r="A70" i="4"/>
  <c r="B69" i="4"/>
  <c r="K49" i="5"/>
  <c r="AZ49" i="5"/>
  <c r="X49" i="5"/>
  <c r="AC49" i="5" s="1"/>
  <c r="AW49" i="5"/>
  <c r="B70" i="4" l="1"/>
  <c r="A71" i="4"/>
  <c r="A72" i="4" s="1"/>
  <c r="G50" i="5"/>
  <c r="N47" i="4"/>
  <c r="I50" i="5" s="1"/>
  <c r="AY46" i="5"/>
  <c r="AV46" i="5"/>
  <c r="AD49" i="5"/>
  <c r="AM48" i="5"/>
  <c r="AF48" i="5"/>
  <c r="AG48" i="5" s="1"/>
  <c r="H51" i="5"/>
  <c r="L48" i="4"/>
  <c r="M49" i="4"/>
  <c r="AL47" i="5"/>
  <c r="AX47" i="5"/>
  <c r="AU47" i="5"/>
  <c r="K50" i="5"/>
  <c r="AZ50" i="5"/>
  <c r="AW50" i="5"/>
  <c r="X50" i="5"/>
  <c r="B72" i="5"/>
  <c r="U69" i="4"/>
  <c r="T69" i="4"/>
  <c r="J49" i="5"/>
  <c r="D771" i="9"/>
  <c r="F771" i="9" s="1"/>
  <c r="H771" i="9" s="1"/>
  <c r="H778" i="9" s="1"/>
  <c r="C712" i="9" s="1"/>
  <c r="D811" i="9"/>
  <c r="B72" i="4" l="1"/>
  <c r="A73" i="4"/>
  <c r="B73" i="5"/>
  <c r="U70" i="4"/>
  <c r="T70" i="4"/>
  <c r="AL48" i="5"/>
  <c r="AU48" i="5"/>
  <c r="AX48" i="5"/>
  <c r="AM49" i="5"/>
  <c r="AF49" i="5"/>
  <c r="AG49" i="5" s="1"/>
  <c r="AZ51" i="5"/>
  <c r="AW51" i="5"/>
  <c r="X51" i="5"/>
  <c r="K51" i="5"/>
  <c r="D712" i="9"/>
  <c r="C715" i="9"/>
  <c r="C716" i="9" s="1"/>
  <c r="C717" i="9" s="1"/>
  <c r="H52" i="5"/>
  <c r="M50" i="4"/>
  <c r="L49" i="4"/>
  <c r="J50" i="5"/>
  <c r="V50" i="5"/>
  <c r="AC50" i="5" s="1"/>
  <c r="AD50" i="5" s="1"/>
  <c r="AY47" i="5"/>
  <c r="AV47" i="5"/>
  <c r="AK49" i="5"/>
  <c r="AJ49" i="5"/>
  <c r="AI49" i="5"/>
  <c r="AH49" i="5"/>
  <c r="G51" i="5"/>
  <c r="N48" i="4"/>
  <c r="I51" i="5" s="1"/>
  <c r="AM50" i="5" l="1"/>
  <c r="AL49" i="5"/>
  <c r="AU49" i="5"/>
  <c r="AX49" i="5"/>
  <c r="AJ50" i="5"/>
  <c r="AK50" i="5" s="1"/>
  <c r="AH50" i="5"/>
  <c r="AI50" i="5" s="1"/>
  <c r="B75" i="5"/>
  <c r="T72" i="4"/>
  <c r="U72" i="4"/>
  <c r="G52" i="5"/>
  <c r="N49" i="4"/>
  <c r="I52" i="5" s="1"/>
  <c r="J52" i="5" s="1"/>
  <c r="J51" i="5"/>
  <c r="V51" i="5"/>
  <c r="AC51" i="5" s="1"/>
  <c r="AD51" i="5" s="1"/>
  <c r="A74" i="4"/>
  <c r="B73" i="4"/>
  <c r="H53" i="5"/>
  <c r="M51" i="4"/>
  <c r="L50" i="4"/>
  <c r="AZ52" i="5"/>
  <c r="AW52" i="5"/>
  <c r="X52" i="5"/>
  <c r="AC52" i="5" s="1"/>
  <c r="K52" i="5"/>
  <c r="AY48" i="5"/>
  <c r="AV48" i="5"/>
  <c r="C718" i="9"/>
  <c r="C719" i="9" s="1"/>
  <c r="L16" i="11"/>
  <c r="L21" i="11" s="1"/>
  <c r="I33" i="9"/>
  <c r="E712" i="9"/>
  <c r="E715" i="9" s="1"/>
  <c r="E716" i="9" s="1"/>
  <c r="E717" i="9" s="1"/>
  <c r="E718" i="9" s="1"/>
  <c r="E719" i="9" s="1"/>
  <c r="D715" i="9"/>
  <c r="D716" i="9" s="1"/>
  <c r="D717" i="9" s="1"/>
  <c r="AD52" i="5" l="1"/>
  <c r="AM51" i="5"/>
  <c r="AJ51" i="5"/>
  <c r="AK51" i="5" s="1"/>
  <c r="AH51" i="5"/>
  <c r="AI51" i="5" s="1"/>
  <c r="X157" i="5"/>
  <c r="D718" i="9"/>
  <c r="D719" i="9" s="1"/>
  <c r="M16" i="11"/>
  <c r="I34" i="9"/>
  <c r="H54" i="5"/>
  <c r="M52" i="4"/>
  <c r="L51" i="4"/>
  <c r="AK52" i="5"/>
  <c r="AJ52" i="5"/>
  <c r="AI52" i="5"/>
  <c r="AH52" i="5"/>
  <c r="G53" i="5"/>
  <c r="N50" i="4"/>
  <c r="I53" i="5" s="1"/>
  <c r="AW53" i="5"/>
  <c r="X53" i="5"/>
  <c r="AZ53" i="5"/>
  <c r="K53" i="5"/>
  <c r="AV49" i="5"/>
  <c r="AY49" i="5"/>
  <c r="B76" i="5"/>
  <c r="U73" i="4"/>
  <c r="T73" i="4"/>
  <c r="B74" i="4"/>
  <c r="A75" i="4"/>
  <c r="A76" i="4" s="1"/>
  <c r="A77" i="4" s="1"/>
  <c r="AL50" i="5"/>
  <c r="AX50" i="5"/>
  <c r="AU50" i="5"/>
  <c r="B77" i="4" l="1"/>
  <c r="A78" i="4"/>
  <c r="AC157" i="5"/>
  <c r="X201" i="5"/>
  <c r="H55" i="5"/>
  <c r="L52" i="4"/>
  <c r="M53" i="4"/>
  <c r="G54" i="5"/>
  <c r="N51" i="4"/>
  <c r="I54" i="5" s="1"/>
  <c r="AV50" i="5"/>
  <c r="AY50" i="5"/>
  <c r="V53" i="5"/>
  <c r="AC53" i="5" s="1"/>
  <c r="J53" i="5"/>
  <c r="AW54" i="5"/>
  <c r="X54" i="5"/>
  <c r="AZ54" i="5"/>
  <c r="K54" i="5"/>
  <c r="AL51" i="5"/>
  <c r="AX51" i="5"/>
  <c r="AU51" i="5"/>
  <c r="B77" i="5"/>
  <c r="T74" i="4"/>
  <c r="U74" i="4"/>
  <c r="K16" i="11"/>
  <c r="K21" i="11" s="1"/>
  <c r="M21" i="11"/>
  <c r="AD53" i="5"/>
  <c r="AM52" i="5"/>
  <c r="AL52" i="5" l="1"/>
  <c r="AU52" i="5"/>
  <c r="AX52" i="5"/>
  <c r="H56" i="5"/>
  <c r="M54" i="4"/>
  <c r="L53" i="4"/>
  <c r="AD54" i="5"/>
  <c r="AM53" i="5"/>
  <c r="AJ53" i="5"/>
  <c r="AK53" i="5" s="1"/>
  <c r="AH53" i="5"/>
  <c r="AI53" i="5" s="1"/>
  <c r="X55" i="5"/>
  <c r="AC55" i="5" s="1"/>
  <c r="AW55" i="5"/>
  <c r="K55" i="5"/>
  <c r="AZ55" i="5"/>
  <c r="B78" i="4"/>
  <c r="A79" i="4"/>
  <c r="AY51" i="5"/>
  <c r="AV51" i="5"/>
  <c r="G55" i="5"/>
  <c r="N52" i="4"/>
  <c r="I55" i="5" s="1"/>
  <c r="V54" i="5"/>
  <c r="AC54" i="5" s="1"/>
  <c r="J54" i="5"/>
  <c r="B80" i="5"/>
  <c r="U77" i="4"/>
  <c r="T77" i="4"/>
  <c r="AD55" i="5" l="1"/>
  <c r="AM54" i="5"/>
  <c r="A80" i="4"/>
  <c r="B79" i="4"/>
  <c r="G56" i="5"/>
  <c r="N53" i="4"/>
  <c r="I56" i="5" s="1"/>
  <c r="J56" i="5" s="1"/>
  <c r="B81" i="5"/>
  <c r="U78" i="4"/>
  <c r="T78" i="4"/>
  <c r="H57" i="5"/>
  <c r="M55" i="4"/>
  <c r="L54" i="4"/>
  <c r="AH54" i="5"/>
  <c r="AI54" i="5" s="1"/>
  <c r="AJ54" i="5"/>
  <c r="AK54" i="5" s="1"/>
  <c r="X56" i="5"/>
  <c r="AC56" i="5" s="1"/>
  <c r="AW56" i="5"/>
  <c r="K56" i="5"/>
  <c r="AZ56" i="5"/>
  <c r="AL53" i="5"/>
  <c r="AU53" i="5"/>
  <c r="AX53" i="5"/>
  <c r="J55" i="5"/>
  <c r="AV52" i="5"/>
  <c r="AY52" i="5"/>
  <c r="AI55" i="5" l="1"/>
  <c r="AH55" i="5"/>
  <c r="AK55" i="5"/>
  <c r="AJ55" i="5"/>
  <c r="G57" i="5"/>
  <c r="N54" i="4"/>
  <c r="I57" i="5" s="1"/>
  <c r="B82" i="5"/>
  <c r="U79" i="4"/>
  <c r="T79" i="4"/>
  <c r="AW57" i="5"/>
  <c r="X57" i="5"/>
  <c r="K57" i="5"/>
  <c r="AZ57" i="5"/>
  <c r="AL54" i="5"/>
  <c r="AU54" i="5"/>
  <c r="AX54" i="5"/>
  <c r="AI56" i="5"/>
  <c r="AH56" i="5"/>
  <c r="AJ56" i="5"/>
  <c r="AK56" i="5"/>
  <c r="H58" i="5"/>
  <c r="M56" i="4"/>
  <c r="L55" i="4"/>
  <c r="B80" i="4"/>
  <c r="A81" i="4"/>
  <c r="AY53" i="5"/>
  <c r="AV53" i="5"/>
  <c r="AF55" i="5"/>
  <c r="AG55" i="5" s="1"/>
  <c r="AD56" i="5"/>
  <c r="AM55" i="5"/>
  <c r="H59" i="5" l="1"/>
  <c r="L56" i="4"/>
  <c r="M57" i="4"/>
  <c r="AV54" i="5"/>
  <c r="AY54" i="5"/>
  <c r="K58" i="5"/>
  <c r="AZ58" i="5"/>
  <c r="X58" i="5"/>
  <c r="AW58" i="5"/>
  <c r="V57" i="5"/>
  <c r="AC57" i="5" s="1"/>
  <c r="AD57" i="5" s="1"/>
  <c r="J57" i="5"/>
  <c r="AL55" i="5"/>
  <c r="AU55" i="5"/>
  <c r="AX55" i="5"/>
  <c r="AF56" i="5"/>
  <c r="AG56" i="5" s="1"/>
  <c r="AM56" i="5"/>
  <c r="B81" i="4"/>
  <c r="A82" i="4"/>
  <c r="B83" i="5"/>
  <c r="T80" i="4"/>
  <c r="U80" i="4"/>
  <c r="G58" i="5"/>
  <c r="N55" i="4"/>
  <c r="I58" i="5" s="1"/>
  <c r="AM57" i="5" l="1"/>
  <c r="G59" i="5"/>
  <c r="N56" i="4"/>
  <c r="I59" i="5" s="1"/>
  <c r="AV55" i="5"/>
  <c r="AY55" i="5"/>
  <c r="B82" i="4"/>
  <c r="A83" i="4"/>
  <c r="AL56" i="5"/>
  <c r="AX56" i="5"/>
  <c r="AU56" i="5"/>
  <c r="V58" i="5"/>
  <c r="AC58" i="5" s="1"/>
  <c r="AD58" i="5" s="1"/>
  <c r="J58" i="5"/>
  <c r="AH57" i="5"/>
  <c r="AI57" i="5" s="1"/>
  <c r="AJ57" i="5"/>
  <c r="AK57" i="5" s="1"/>
  <c r="B84" i="5"/>
  <c r="T81" i="4"/>
  <c r="U81" i="4"/>
  <c r="H60" i="5"/>
  <c r="M58" i="4"/>
  <c r="L57" i="4"/>
  <c r="K59" i="5"/>
  <c r="AZ59" i="5"/>
  <c r="X59" i="5"/>
  <c r="AW59" i="5"/>
  <c r="AM58" i="5" l="1"/>
  <c r="K60" i="5"/>
  <c r="AZ60" i="5"/>
  <c r="X60" i="5"/>
  <c r="AC60" i="5" s="1"/>
  <c r="AW60" i="5"/>
  <c r="AJ58" i="5"/>
  <c r="AK58" i="5" s="1"/>
  <c r="AH58" i="5"/>
  <c r="AI58" i="5" s="1"/>
  <c r="A84" i="4"/>
  <c r="B83" i="4"/>
  <c r="G60" i="5"/>
  <c r="N57" i="4"/>
  <c r="I60" i="5" s="1"/>
  <c r="J60" i="5" s="1"/>
  <c r="B85" i="5"/>
  <c r="T82" i="4"/>
  <c r="U82" i="4"/>
  <c r="H61" i="5"/>
  <c r="M59" i="4"/>
  <c r="L58" i="4"/>
  <c r="J59" i="5"/>
  <c r="V59" i="5"/>
  <c r="AC59" i="5" s="1"/>
  <c r="AD59" i="5" s="1"/>
  <c r="AL57" i="5"/>
  <c r="AU57" i="5"/>
  <c r="AX57" i="5"/>
  <c r="AY56" i="5"/>
  <c r="AV56" i="5"/>
  <c r="AD60" i="5" l="1"/>
  <c r="AM59" i="5"/>
  <c r="G61" i="5"/>
  <c r="N58" i="4"/>
  <c r="I61" i="5" s="1"/>
  <c r="J61" i="5" s="1"/>
  <c r="B84" i="4"/>
  <c r="A85" i="4"/>
  <c r="A86" i="4" s="1"/>
  <c r="A87" i="4" s="1"/>
  <c r="A88" i="4" s="1"/>
  <c r="AZ61" i="5"/>
  <c r="K61" i="5"/>
  <c r="AW61" i="5"/>
  <c r="X61" i="5"/>
  <c r="AC61" i="5" s="1"/>
  <c r="H62" i="5"/>
  <c r="M60" i="4"/>
  <c r="L59" i="4"/>
  <c r="AV57" i="5"/>
  <c r="AY57" i="5"/>
  <c r="B86" i="5"/>
  <c r="U83" i="4"/>
  <c r="T83" i="4"/>
  <c r="AK60" i="5"/>
  <c r="AJ60" i="5"/>
  <c r="AI60" i="5"/>
  <c r="AH60" i="5"/>
  <c r="AL58" i="5"/>
  <c r="AX58" i="5"/>
  <c r="AU58" i="5"/>
  <c r="AJ59" i="5"/>
  <c r="AK59" i="5" s="1"/>
  <c r="AH59" i="5"/>
  <c r="AI59" i="5" s="1"/>
  <c r="G62" i="5" l="1"/>
  <c r="N59" i="4"/>
  <c r="I62" i="5" s="1"/>
  <c r="AK61" i="5"/>
  <c r="AJ61" i="5"/>
  <c r="AI61" i="5"/>
  <c r="AH61" i="5"/>
  <c r="AZ62" i="5"/>
  <c r="AW62" i="5"/>
  <c r="K62" i="5"/>
  <c r="X62" i="5"/>
  <c r="B88" i="4"/>
  <c r="A89" i="4"/>
  <c r="A90" i="4" s="1"/>
  <c r="H63" i="5"/>
  <c r="L60" i="4"/>
  <c r="M61" i="4"/>
  <c r="B87" i="5"/>
  <c r="T84" i="4"/>
  <c r="U84" i="4"/>
  <c r="AV58" i="5"/>
  <c r="AY58" i="5"/>
  <c r="AL59" i="5"/>
  <c r="AX59" i="5"/>
  <c r="AU59" i="5"/>
  <c r="AF60" i="5"/>
  <c r="AG60" i="5" s="1"/>
  <c r="AM60" i="5"/>
  <c r="AD61" i="5"/>
  <c r="G63" i="5" l="1"/>
  <c r="N60" i="4"/>
  <c r="I63" i="5" s="1"/>
  <c r="J62" i="5"/>
  <c r="V62" i="5"/>
  <c r="AC62" i="5" s="1"/>
  <c r="AY59" i="5"/>
  <c r="AV59" i="5"/>
  <c r="K63" i="5"/>
  <c r="AZ63" i="5"/>
  <c r="AW63" i="5"/>
  <c r="X63" i="5"/>
  <c r="B90" i="4"/>
  <c r="A91" i="4"/>
  <c r="B91" i="5"/>
  <c r="U88" i="4"/>
  <c r="T88" i="4"/>
  <c r="AF61" i="5"/>
  <c r="AG61" i="5" s="1"/>
  <c r="AM61" i="5"/>
  <c r="AD62" i="5"/>
  <c r="AL60" i="5"/>
  <c r="AU60" i="5"/>
  <c r="AX60" i="5"/>
  <c r="H64" i="5"/>
  <c r="M62" i="4"/>
  <c r="L61" i="4"/>
  <c r="A92" i="4" l="1"/>
  <c r="B91" i="4"/>
  <c r="AV60" i="5"/>
  <c r="AY60" i="5"/>
  <c r="B93" i="5"/>
  <c r="T90" i="4"/>
  <c r="U90" i="4"/>
  <c r="AM62" i="5"/>
  <c r="G64" i="5"/>
  <c r="N61" i="4"/>
  <c r="I64" i="5" s="1"/>
  <c r="K64" i="5"/>
  <c r="AZ64" i="5"/>
  <c r="AW64" i="5"/>
  <c r="X64" i="5"/>
  <c r="AL61" i="5"/>
  <c r="AU61" i="5"/>
  <c r="AX61" i="5"/>
  <c r="H65" i="5"/>
  <c r="L62" i="4"/>
  <c r="M63" i="4"/>
  <c r="AJ62" i="5"/>
  <c r="AK62" i="5" s="1"/>
  <c r="AH62" i="5"/>
  <c r="AI62" i="5" s="1"/>
  <c r="J63" i="5"/>
  <c r="V63" i="5"/>
  <c r="AC63" i="5" s="1"/>
  <c r="AD63" i="5" s="1"/>
  <c r="AM63" i="5" l="1"/>
  <c r="G65" i="5"/>
  <c r="N62" i="4"/>
  <c r="I65" i="5" s="1"/>
  <c r="J65" i="5" s="1"/>
  <c r="AJ63" i="5"/>
  <c r="AK63" i="5" s="1"/>
  <c r="AH63" i="5"/>
  <c r="AI63" i="5" s="1"/>
  <c r="J64" i="5"/>
  <c r="V64" i="5"/>
  <c r="AC64" i="5" s="1"/>
  <c r="AD64" i="5" s="1"/>
  <c r="K65" i="5"/>
  <c r="AZ65" i="5"/>
  <c r="AW65" i="5"/>
  <c r="AV61" i="5"/>
  <c r="AY61" i="5"/>
  <c r="B94" i="5"/>
  <c r="U91" i="4"/>
  <c r="T91" i="4"/>
  <c r="H66" i="5"/>
  <c r="M64" i="4"/>
  <c r="L63" i="4"/>
  <c r="AL62" i="5"/>
  <c r="AU62" i="5"/>
  <c r="AX62" i="5"/>
  <c r="B92" i="4"/>
  <c r="A93" i="4"/>
  <c r="AD65" i="5" l="1"/>
  <c r="AM64" i="5"/>
  <c r="AJ65" i="5"/>
  <c r="AI65" i="5"/>
  <c r="AK65" i="5"/>
  <c r="AH65" i="5"/>
  <c r="H67" i="5"/>
  <c r="L64" i="4"/>
  <c r="M65" i="4"/>
  <c r="K66" i="5"/>
  <c r="AZ66" i="5"/>
  <c r="AW66" i="5"/>
  <c r="B95" i="5"/>
  <c r="U92" i="4"/>
  <c r="T92" i="4"/>
  <c r="AV62" i="5"/>
  <c r="AY62" i="5"/>
  <c r="B93" i="4"/>
  <c r="A94" i="4"/>
  <c r="A95" i="4" s="1"/>
  <c r="A96" i="4" s="1"/>
  <c r="AL63" i="5"/>
  <c r="AU63" i="5"/>
  <c r="AX63" i="5"/>
  <c r="G66" i="5"/>
  <c r="N63" i="4"/>
  <c r="I66" i="5" s="1"/>
  <c r="J66" i="5" s="1"/>
  <c r="AH64" i="5"/>
  <c r="AI64" i="5" s="1"/>
  <c r="AJ64" i="5"/>
  <c r="AK64" i="5" s="1"/>
  <c r="B96" i="4" l="1"/>
  <c r="A97" i="4"/>
  <c r="A98" i="4" s="1"/>
  <c r="AV63" i="5"/>
  <c r="AY63" i="5"/>
  <c r="G67" i="5"/>
  <c r="N64" i="4"/>
  <c r="I67" i="5" s="1"/>
  <c r="J67" i="5" s="1"/>
  <c r="B96" i="5"/>
  <c r="U93" i="4"/>
  <c r="T93" i="4"/>
  <c r="AL64" i="5"/>
  <c r="AU64" i="5"/>
  <c r="AX64" i="5"/>
  <c r="K67" i="5"/>
  <c r="AZ67" i="5"/>
  <c r="AW67" i="5"/>
  <c r="H68" i="5"/>
  <c r="M66" i="4"/>
  <c r="L65" i="4"/>
  <c r="AM65" i="5"/>
  <c r="AD66" i="5"/>
  <c r="AJ66" i="5" s="1"/>
  <c r="AK66" i="5" s="1"/>
  <c r="AH66" i="5" l="1"/>
  <c r="AI66" i="5" s="1"/>
  <c r="AV64" i="5"/>
  <c r="AY64" i="5"/>
  <c r="AL65" i="5"/>
  <c r="AX65" i="5"/>
  <c r="AU65" i="5"/>
  <c r="AK67" i="5"/>
  <c r="AJ67" i="5"/>
  <c r="AH67" i="5"/>
  <c r="AI67" i="5"/>
  <c r="B98" i="4"/>
  <c r="A99" i="4"/>
  <c r="K68" i="5"/>
  <c r="AW68" i="5"/>
  <c r="X68" i="5"/>
  <c r="AZ68" i="5"/>
  <c r="AM66" i="5"/>
  <c r="AD67" i="5"/>
  <c r="G68" i="5"/>
  <c r="N65" i="4"/>
  <c r="I68" i="5" s="1"/>
  <c r="H69" i="5"/>
  <c r="L66" i="4"/>
  <c r="M67" i="4"/>
  <c r="B99" i="5"/>
  <c r="T96" i="4"/>
  <c r="U96" i="4"/>
  <c r="K69" i="5" l="1"/>
  <c r="AZ69" i="5"/>
  <c r="AW69" i="5"/>
  <c r="X69" i="5"/>
  <c r="A100" i="4"/>
  <c r="A101" i="4" s="1"/>
  <c r="B99" i="4"/>
  <c r="AV65" i="5"/>
  <c r="AY65" i="5"/>
  <c r="H70" i="5"/>
  <c r="M68" i="4"/>
  <c r="L67" i="4"/>
  <c r="B101" i="5"/>
  <c r="T98" i="4"/>
  <c r="U98" i="4"/>
  <c r="V68" i="5"/>
  <c r="AC68" i="5" s="1"/>
  <c r="J68" i="5"/>
  <c r="AD68" i="5"/>
  <c r="AM67" i="5"/>
  <c r="AL66" i="5"/>
  <c r="AU66" i="5"/>
  <c r="AX66" i="5"/>
  <c r="G69" i="5"/>
  <c r="N66" i="4"/>
  <c r="I69" i="5" s="1"/>
  <c r="AV66" i="5" l="1"/>
  <c r="AY66" i="5"/>
  <c r="G70" i="5"/>
  <c r="N67" i="4"/>
  <c r="I70" i="5" s="1"/>
  <c r="AL67" i="5"/>
  <c r="AU67" i="5"/>
  <c r="AX67" i="5"/>
  <c r="H71" i="5"/>
  <c r="L68" i="4"/>
  <c r="M69" i="4"/>
  <c r="B102" i="5"/>
  <c r="U99" i="4"/>
  <c r="T99" i="4"/>
  <c r="B101" i="4"/>
  <c r="A102" i="4"/>
  <c r="AM68" i="5"/>
  <c r="K70" i="5"/>
  <c r="AZ70" i="5"/>
  <c r="AW70" i="5"/>
  <c r="X70" i="5"/>
  <c r="AJ68" i="5"/>
  <c r="AK68" i="5" s="1"/>
  <c r="AH68" i="5"/>
  <c r="AI68" i="5" s="1"/>
  <c r="J69" i="5"/>
  <c r="V69" i="5"/>
  <c r="AC69" i="5" s="1"/>
  <c r="AD69" i="5" s="1"/>
  <c r="AM69" i="5" l="1"/>
  <c r="H72" i="5"/>
  <c r="M70" i="4"/>
  <c r="L69" i="4"/>
  <c r="AZ71" i="5"/>
  <c r="X71" i="5"/>
  <c r="K71" i="5"/>
  <c r="AW71" i="5"/>
  <c r="AH69" i="5"/>
  <c r="AI69" i="5" s="1"/>
  <c r="AJ69" i="5"/>
  <c r="AK69" i="5" s="1"/>
  <c r="B104" i="5"/>
  <c r="U101" i="4"/>
  <c r="T101" i="4"/>
  <c r="AL68" i="5"/>
  <c r="AU68" i="5"/>
  <c r="AX68" i="5"/>
  <c r="G71" i="5"/>
  <c r="N68" i="4"/>
  <c r="I71" i="5" s="1"/>
  <c r="B102" i="4"/>
  <c r="A103" i="4"/>
  <c r="AV67" i="5"/>
  <c r="AY67" i="5"/>
  <c r="J70" i="5"/>
  <c r="V70" i="5"/>
  <c r="AC70" i="5" s="1"/>
  <c r="AD70" i="5" s="1"/>
  <c r="AD71" i="5" l="1"/>
  <c r="AM70" i="5"/>
  <c r="H73" i="5"/>
  <c r="L70" i="4"/>
  <c r="M71" i="4"/>
  <c r="AJ70" i="5"/>
  <c r="AK70" i="5" s="1"/>
  <c r="AH70" i="5"/>
  <c r="AI70" i="5" s="1"/>
  <c r="AY68" i="5"/>
  <c r="AV68" i="5"/>
  <c r="G72" i="5"/>
  <c r="N69" i="4"/>
  <c r="I72" i="5" s="1"/>
  <c r="A104" i="4"/>
  <c r="B103" i="4"/>
  <c r="AW72" i="5"/>
  <c r="X72" i="5"/>
  <c r="AZ72" i="5"/>
  <c r="K72" i="5"/>
  <c r="B105" i="5"/>
  <c r="T102" i="4"/>
  <c r="U102" i="4"/>
  <c r="AL69" i="5"/>
  <c r="AX69" i="5"/>
  <c r="AU69" i="5"/>
  <c r="J71" i="5"/>
  <c r="V71" i="5"/>
  <c r="AC71" i="5" s="1"/>
  <c r="AL70" i="5" l="1"/>
  <c r="AX70" i="5"/>
  <c r="AU70" i="5"/>
  <c r="AM71" i="5"/>
  <c r="AD72" i="5"/>
  <c r="B106" i="5"/>
  <c r="U103" i="4"/>
  <c r="T103" i="4"/>
  <c r="AJ71" i="5"/>
  <c r="AK71" i="5" s="1"/>
  <c r="AH71" i="5"/>
  <c r="AI71" i="5" s="1"/>
  <c r="B104" i="4"/>
  <c r="A105" i="4"/>
  <c r="G73" i="5"/>
  <c r="N70" i="4"/>
  <c r="I73" i="5" s="1"/>
  <c r="V72" i="5"/>
  <c r="AC72" i="5" s="1"/>
  <c r="J72" i="5"/>
  <c r="H74" i="5"/>
  <c r="M72" i="4"/>
  <c r="L71" i="4"/>
  <c r="AY69" i="5"/>
  <c r="AV69" i="5"/>
  <c r="AW73" i="5"/>
  <c r="X73" i="5"/>
  <c r="K73" i="5"/>
  <c r="AZ73" i="5"/>
  <c r="B105" i="4" l="1"/>
  <c r="A106" i="4"/>
  <c r="B107" i="5"/>
  <c r="T104" i="4"/>
  <c r="U104" i="4"/>
  <c r="AM72" i="5"/>
  <c r="H75" i="5"/>
  <c r="L72" i="4"/>
  <c r="M73" i="4"/>
  <c r="AL71" i="5"/>
  <c r="AU71" i="5"/>
  <c r="AX71" i="5"/>
  <c r="G74" i="5"/>
  <c r="N71" i="4"/>
  <c r="I74" i="5" s="1"/>
  <c r="J74" i="5" s="1"/>
  <c r="AW74" i="5"/>
  <c r="X74" i="5"/>
  <c r="AC74" i="5" s="1"/>
  <c r="K74" i="5"/>
  <c r="AZ74" i="5"/>
  <c r="V73" i="5"/>
  <c r="AC73" i="5" s="1"/>
  <c r="AD73" i="5" s="1"/>
  <c r="J73" i="5"/>
  <c r="AJ72" i="5"/>
  <c r="AK72" i="5" s="1"/>
  <c r="AH72" i="5"/>
  <c r="AI72" i="5" s="1"/>
  <c r="AY70" i="5"/>
  <c r="AV70" i="5"/>
  <c r="AM73" i="5" l="1"/>
  <c r="AD74" i="5"/>
  <c r="AL72" i="5"/>
  <c r="AU72" i="5"/>
  <c r="AX72" i="5"/>
  <c r="AV71" i="5"/>
  <c r="AY71" i="5"/>
  <c r="H76" i="5"/>
  <c r="M74" i="4"/>
  <c r="L73" i="4"/>
  <c r="B106" i="4"/>
  <c r="A107" i="4"/>
  <c r="AW75" i="5"/>
  <c r="X75" i="5"/>
  <c r="K75" i="5"/>
  <c r="AZ75" i="5"/>
  <c r="AI74" i="5"/>
  <c r="AH74" i="5"/>
  <c r="AK74" i="5"/>
  <c r="AJ74" i="5"/>
  <c r="AH73" i="5"/>
  <c r="AI73" i="5" s="1"/>
  <c r="AJ73" i="5"/>
  <c r="AK73" i="5" s="1"/>
  <c r="G75" i="5"/>
  <c r="N72" i="4"/>
  <c r="I75" i="5" s="1"/>
  <c r="B108" i="5"/>
  <c r="U105" i="4"/>
  <c r="T105" i="4"/>
  <c r="AZ76" i="5" l="1"/>
  <c r="X76" i="5"/>
  <c r="K76" i="5"/>
  <c r="AW76" i="5"/>
  <c r="V75" i="5"/>
  <c r="AC75" i="5" s="1"/>
  <c r="J75" i="5"/>
  <c r="A108" i="4"/>
  <c r="A109" i="4" s="1"/>
  <c r="B107" i="4"/>
  <c r="B109" i="5"/>
  <c r="T106" i="4"/>
  <c r="U106" i="4"/>
  <c r="AV72" i="5"/>
  <c r="AY72" i="5"/>
  <c r="G76" i="5"/>
  <c r="N73" i="4"/>
  <c r="I76" i="5" s="1"/>
  <c r="AD75" i="5"/>
  <c r="AM74" i="5"/>
  <c r="H77" i="5"/>
  <c r="L74" i="4"/>
  <c r="M75" i="4"/>
  <c r="AL73" i="5"/>
  <c r="AU73" i="5"/>
  <c r="AX73" i="5"/>
  <c r="H78" i="5" l="1"/>
  <c r="M76" i="4"/>
  <c r="L75" i="4"/>
  <c r="K77" i="5"/>
  <c r="AZ77" i="5"/>
  <c r="X77" i="5"/>
  <c r="AW77" i="5"/>
  <c r="AL74" i="5"/>
  <c r="AX74" i="5"/>
  <c r="AU74" i="5"/>
  <c r="AM75" i="5"/>
  <c r="AD76" i="5"/>
  <c r="B110" i="5"/>
  <c r="U107" i="4"/>
  <c r="T107" i="4"/>
  <c r="V76" i="5"/>
  <c r="AC76" i="5" s="1"/>
  <c r="J76" i="5"/>
  <c r="A110" i="4"/>
  <c r="B109" i="4"/>
  <c r="AH75" i="5"/>
  <c r="AI75" i="5" s="1"/>
  <c r="AJ75" i="5"/>
  <c r="AK75" i="5" s="1"/>
  <c r="G77" i="5"/>
  <c r="N74" i="4"/>
  <c r="I77" i="5" s="1"/>
  <c r="AY73" i="5"/>
  <c r="AV73" i="5"/>
  <c r="AL75" i="5" l="1"/>
  <c r="AX75" i="5"/>
  <c r="AU75" i="5"/>
  <c r="J77" i="5"/>
  <c r="V77" i="5"/>
  <c r="AC77" i="5" s="1"/>
  <c r="AD77" i="5" s="1"/>
  <c r="AJ76" i="5"/>
  <c r="AK76" i="5" s="1"/>
  <c r="AH76" i="5"/>
  <c r="AI76" i="5" s="1"/>
  <c r="G78" i="5"/>
  <c r="N75" i="4"/>
  <c r="I78" i="5" s="1"/>
  <c r="J78" i="5" s="1"/>
  <c r="B112" i="5"/>
  <c r="T109" i="4"/>
  <c r="U109" i="4"/>
  <c r="AY74" i="5"/>
  <c r="AV74" i="5"/>
  <c r="H79" i="5"/>
  <c r="L76" i="4"/>
  <c r="M77" i="4"/>
  <c r="AM76" i="5"/>
  <c r="B110" i="4"/>
  <c r="A111" i="4"/>
  <c r="K78" i="5"/>
  <c r="AZ78" i="5"/>
  <c r="AW78" i="5"/>
  <c r="AM77" i="5" l="1"/>
  <c r="AD78" i="5"/>
  <c r="A112" i="4"/>
  <c r="B111" i="4"/>
  <c r="B113" i="5"/>
  <c r="T110" i="4"/>
  <c r="U110" i="4"/>
  <c r="AL76" i="5"/>
  <c r="AU76" i="5"/>
  <c r="AX76" i="5"/>
  <c r="AJ77" i="5"/>
  <c r="AK77" i="5" s="1"/>
  <c r="AH77" i="5"/>
  <c r="AI77" i="5" s="1"/>
  <c r="H80" i="5"/>
  <c r="M78" i="4"/>
  <c r="L77" i="4"/>
  <c r="AK78" i="5"/>
  <c r="AJ78" i="5"/>
  <c r="AI78" i="5"/>
  <c r="AH78" i="5"/>
  <c r="G79" i="5"/>
  <c r="N76" i="4"/>
  <c r="I79" i="5" s="1"/>
  <c r="J79" i="5" s="1"/>
  <c r="K79" i="5"/>
  <c r="AZ79" i="5"/>
  <c r="AW79" i="5"/>
  <c r="AY75" i="5"/>
  <c r="AV75" i="5"/>
  <c r="AK79" i="5" l="1"/>
  <c r="AJ79" i="5"/>
  <c r="AI79" i="5"/>
  <c r="AH79" i="5"/>
  <c r="K80" i="5"/>
  <c r="AZ80" i="5"/>
  <c r="X80" i="5"/>
  <c r="AW80" i="5"/>
  <c r="B114" i="5"/>
  <c r="U111" i="4"/>
  <c r="T111" i="4"/>
  <c r="B112" i="4"/>
  <c r="A113" i="4"/>
  <c r="H81" i="5"/>
  <c r="L78" i="4"/>
  <c r="M79" i="4"/>
  <c r="AV76" i="5"/>
  <c r="AY76" i="5"/>
  <c r="AM78" i="5"/>
  <c r="AD79" i="5"/>
  <c r="G80" i="5"/>
  <c r="N77" i="4"/>
  <c r="I80" i="5" s="1"/>
  <c r="AL77" i="5"/>
  <c r="AU77" i="5"/>
  <c r="AX77" i="5"/>
  <c r="A114" i="4" l="1"/>
  <c r="B113" i="4"/>
  <c r="AM79" i="5"/>
  <c r="B115" i="5"/>
  <c r="U112" i="4"/>
  <c r="T112" i="4"/>
  <c r="AL78" i="5"/>
  <c r="AU78" i="5"/>
  <c r="AX78" i="5"/>
  <c r="H82" i="5"/>
  <c r="M80" i="4"/>
  <c r="L79" i="4"/>
  <c r="AV77" i="5"/>
  <c r="AY77" i="5"/>
  <c r="G81" i="5"/>
  <c r="N78" i="4"/>
  <c r="I81" i="5" s="1"/>
  <c r="J80" i="5"/>
  <c r="V80" i="5"/>
  <c r="AC80" i="5" s="1"/>
  <c r="AD80" i="5" s="1"/>
  <c r="K81" i="5"/>
  <c r="AZ81" i="5"/>
  <c r="AW81" i="5"/>
  <c r="X81" i="5"/>
  <c r="AM80" i="5" l="1"/>
  <c r="AY78" i="5"/>
  <c r="AV78" i="5"/>
  <c r="B116" i="5"/>
  <c r="U113" i="4"/>
  <c r="T113" i="4"/>
  <c r="G82" i="5"/>
  <c r="N79" i="4"/>
  <c r="I82" i="5" s="1"/>
  <c r="H83" i="5"/>
  <c r="L80" i="4"/>
  <c r="M81" i="4"/>
  <c r="AL79" i="5"/>
  <c r="AU79" i="5"/>
  <c r="AX79" i="5"/>
  <c r="K82" i="5"/>
  <c r="AZ82" i="5"/>
  <c r="AW82" i="5"/>
  <c r="X82" i="5"/>
  <c r="AJ80" i="5"/>
  <c r="AK80" i="5" s="1"/>
  <c r="AH80" i="5"/>
  <c r="AI80" i="5" s="1"/>
  <c r="J81" i="5"/>
  <c r="V81" i="5"/>
  <c r="AC81" i="5" s="1"/>
  <c r="AD81" i="5" s="1"/>
  <c r="B114" i="4"/>
  <c r="A115" i="4"/>
  <c r="AM81" i="5" l="1"/>
  <c r="A116" i="4"/>
  <c r="A117" i="4" s="1"/>
  <c r="A118" i="4" s="1"/>
  <c r="A119" i="4" s="1"/>
  <c r="A120" i="4" s="1"/>
  <c r="A121" i="4" s="1"/>
  <c r="A122" i="4" s="1"/>
  <c r="A123" i="4" s="1"/>
  <c r="B115" i="4"/>
  <c r="B117" i="5"/>
  <c r="U114" i="4"/>
  <c r="T114" i="4"/>
  <c r="AV79" i="5"/>
  <c r="AY79" i="5"/>
  <c r="AH81" i="5"/>
  <c r="AI81" i="5" s="1"/>
  <c r="AJ81" i="5"/>
  <c r="AK81" i="5" s="1"/>
  <c r="H84" i="5"/>
  <c r="M82" i="4"/>
  <c r="L81" i="4"/>
  <c r="G83" i="5"/>
  <c r="N80" i="4"/>
  <c r="I83" i="5" s="1"/>
  <c r="AZ83" i="5"/>
  <c r="X83" i="5"/>
  <c r="K83" i="5"/>
  <c r="AW83" i="5"/>
  <c r="AL80" i="5"/>
  <c r="AU80" i="5"/>
  <c r="AX80" i="5"/>
  <c r="J82" i="5"/>
  <c r="V82" i="5"/>
  <c r="AC82" i="5" s="1"/>
  <c r="AD82" i="5" s="1"/>
  <c r="AM82" i="5" l="1"/>
  <c r="H85" i="5"/>
  <c r="L82" i="4"/>
  <c r="M83" i="4"/>
  <c r="AJ82" i="5"/>
  <c r="AK82" i="5" s="1"/>
  <c r="AH82" i="5"/>
  <c r="AI82" i="5" s="1"/>
  <c r="AW84" i="5"/>
  <c r="X84" i="5"/>
  <c r="AZ84" i="5"/>
  <c r="K84" i="5"/>
  <c r="A124" i="4"/>
  <c r="A125" i="4" s="1"/>
  <c r="A126" i="4" s="1"/>
  <c r="B123" i="4"/>
  <c r="G84" i="5"/>
  <c r="N81" i="4"/>
  <c r="I84" i="5" s="1"/>
  <c r="J83" i="5"/>
  <c r="V83" i="5"/>
  <c r="AC83" i="5" s="1"/>
  <c r="AD83" i="5" s="1"/>
  <c r="AL81" i="5"/>
  <c r="AU81" i="5"/>
  <c r="AX81" i="5"/>
  <c r="B118" i="5"/>
  <c r="U115" i="4"/>
  <c r="T115" i="4"/>
  <c r="AV80" i="5"/>
  <c r="AY80" i="5"/>
  <c r="AM83" i="5" l="1"/>
  <c r="AY81" i="5"/>
  <c r="AV81" i="5"/>
  <c r="V84" i="5"/>
  <c r="AC84" i="5" s="1"/>
  <c r="AD84" i="5" s="1"/>
  <c r="J84" i="5"/>
  <c r="H86" i="5"/>
  <c r="M84" i="4"/>
  <c r="L83" i="4"/>
  <c r="G85" i="5"/>
  <c r="N82" i="4"/>
  <c r="I85" i="5" s="1"/>
  <c r="B126" i="5"/>
  <c r="U123" i="4"/>
  <c r="T123" i="4"/>
  <c r="AW85" i="5"/>
  <c r="X85" i="5"/>
  <c r="K85" i="5"/>
  <c r="AZ85" i="5"/>
  <c r="AJ83" i="5"/>
  <c r="AK83" i="5" s="1"/>
  <c r="AH83" i="5"/>
  <c r="AI83" i="5" s="1"/>
  <c r="B126" i="4"/>
  <c r="A127" i="4"/>
  <c r="A128" i="4" s="1"/>
  <c r="A129" i="4" s="1"/>
  <c r="AL82" i="5"/>
  <c r="AX82" i="5"/>
  <c r="AU82" i="5"/>
  <c r="AM84" i="5" l="1"/>
  <c r="B129" i="5"/>
  <c r="T126" i="4"/>
  <c r="U126" i="4"/>
  <c r="AL83" i="5"/>
  <c r="AX83" i="5"/>
  <c r="AU83" i="5"/>
  <c r="H87" i="5"/>
  <c r="L84" i="4"/>
  <c r="M85" i="4"/>
  <c r="AW86" i="5"/>
  <c r="X86" i="5"/>
  <c r="K86" i="5"/>
  <c r="AZ86" i="5"/>
  <c r="AJ84" i="5"/>
  <c r="AK84" i="5" s="1"/>
  <c r="AH84" i="5"/>
  <c r="AI84" i="5" s="1"/>
  <c r="AY82" i="5"/>
  <c r="AV82" i="5"/>
  <c r="B129" i="4"/>
  <c r="A130" i="4"/>
  <c r="A131" i="4" s="1"/>
  <c r="A132" i="4" s="1"/>
  <c r="A133" i="4" s="1"/>
  <c r="A134" i="4" s="1"/>
  <c r="V85" i="5"/>
  <c r="AC85" i="5" s="1"/>
  <c r="AD85" i="5" s="1"/>
  <c r="J85" i="5"/>
  <c r="G86" i="5"/>
  <c r="N83" i="4"/>
  <c r="I86" i="5" s="1"/>
  <c r="AM85" i="5" l="1"/>
  <c r="AY83" i="5"/>
  <c r="AV83" i="5"/>
  <c r="V86" i="5"/>
  <c r="AC86" i="5" s="1"/>
  <c r="AD86" i="5" s="1"/>
  <c r="J86" i="5"/>
  <c r="AH85" i="5"/>
  <c r="AI85" i="5" s="1"/>
  <c r="AJ85" i="5"/>
  <c r="AK85" i="5" s="1"/>
  <c r="B134" i="4"/>
  <c r="A135" i="4"/>
  <c r="H88" i="5"/>
  <c r="M86" i="4"/>
  <c r="L85" i="4"/>
  <c r="B132" i="5"/>
  <c r="U129" i="4"/>
  <c r="T129" i="4"/>
  <c r="G87" i="5"/>
  <c r="N84" i="4"/>
  <c r="I87" i="5" s="1"/>
  <c r="AL84" i="5"/>
  <c r="AU84" i="5"/>
  <c r="AX84" i="5"/>
  <c r="AZ87" i="5"/>
  <c r="X87" i="5"/>
  <c r="K87" i="5"/>
  <c r="AW87" i="5"/>
  <c r="AM86" i="5" l="1"/>
  <c r="G88" i="5"/>
  <c r="N85" i="4"/>
  <c r="I88" i="5" s="1"/>
  <c r="J88" i="5" s="1"/>
  <c r="H89" i="5"/>
  <c r="L86" i="4"/>
  <c r="M87" i="4"/>
  <c r="AH86" i="5"/>
  <c r="AI86" i="5" s="1"/>
  <c r="AJ86" i="5"/>
  <c r="AK86" i="5" s="1"/>
  <c r="AV84" i="5"/>
  <c r="AY84" i="5"/>
  <c r="AW88" i="5"/>
  <c r="K88" i="5"/>
  <c r="AZ88" i="5"/>
  <c r="A136" i="4"/>
  <c r="B135" i="4"/>
  <c r="AL85" i="5"/>
  <c r="AX85" i="5"/>
  <c r="AU85" i="5"/>
  <c r="V87" i="5"/>
  <c r="AC87" i="5" s="1"/>
  <c r="AD87" i="5" s="1"/>
  <c r="J87" i="5"/>
  <c r="B137" i="5"/>
  <c r="U134" i="4"/>
  <c r="T134" i="4"/>
  <c r="AM87" i="5" l="1"/>
  <c r="AD88" i="5"/>
  <c r="H90" i="5"/>
  <c r="M88" i="4"/>
  <c r="L87" i="4"/>
  <c r="G89" i="5"/>
  <c r="N86" i="4"/>
  <c r="I89" i="5" s="1"/>
  <c r="J89" i="5" s="1"/>
  <c r="AW89" i="5"/>
  <c r="AZ89" i="5"/>
  <c r="K89" i="5"/>
  <c r="AY85" i="5"/>
  <c r="AV85" i="5"/>
  <c r="B138" i="5"/>
  <c r="U135" i="4"/>
  <c r="T135" i="4"/>
  <c r="A137" i="4"/>
  <c r="B136" i="4"/>
  <c r="AH88" i="5"/>
  <c r="AK88" i="5"/>
  <c r="AJ88" i="5"/>
  <c r="AI88" i="5"/>
  <c r="AJ87" i="5"/>
  <c r="AK87" i="5" s="1"/>
  <c r="AH87" i="5"/>
  <c r="AI87" i="5" s="1"/>
  <c r="AL86" i="5"/>
  <c r="AX86" i="5"/>
  <c r="AU86" i="5"/>
  <c r="AH89" i="5" l="1"/>
  <c r="AK89" i="5"/>
  <c r="AJ89" i="5"/>
  <c r="AI89" i="5"/>
  <c r="B139" i="5"/>
  <c r="U136" i="4"/>
  <c r="T136" i="4"/>
  <c r="G90" i="5"/>
  <c r="N87" i="4"/>
  <c r="I90" i="5" s="1"/>
  <c r="AY86" i="5"/>
  <c r="AV86" i="5"/>
  <c r="B137" i="4"/>
  <c r="A138" i="4"/>
  <c r="A139" i="4" s="1"/>
  <c r="A140" i="4" s="1"/>
  <c r="H91" i="5"/>
  <c r="L88" i="4"/>
  <c r="M89" i="4"/>
  <c r="AW90" i="5"/>
  <c r="X90" i="5"/>
  <c r="AC90" i="5" s="1"/>
  <c r="AZ90" i="5"/>
  <c r="K90" i="5"/>
  <c r="AD89" i="5"/>
  <c r="AM88" i="5"/>
  <c r="AL87" i="5"/>
  <c r="AU87" i="5"/>
  <c r="AX87" i="5"/>
  <c r="G91" i="5" l="1"/>
  <c r="N88" i="4"/>
  <c r="I91" i="5" s="1"/>
  <c r="AZ91" i="5"/>
  <c r="X91" i="5"/>
  <c r="K91" i="5"/>
  <c r="AW91" i="5"/>
  <c r="A141" i="4"/>
  <c r="A142" i="4" s="1"/>
  <c r="A143" i="4" s="1"/>
  <c r="B140" i="4"/>
  <c r="H92" i="5"/>
  <c r="M90" i="4"/>
  <c r="L89" i="4"/>
  <c r="B140" i="5"/>
  <c r="U137" i="4"/>
  <c r="T137" i="4"/>
  <c r="AY87" i="5"/>
  <c r="AV87" i="5"/>
  <c r="AL88" i="5"/>
  <c r="AX88" i="5"/>
  <c r="AU88" i="5"/>
  <c r="AD90" i="5"/>
  <c r="AM89" i="5"/>
  <c r="J90" i="5"/>
  <c r="G92" i="5" l="1"/>
  <c r="N89" i="4"/>
  <c r="I92" i="5" s="1"/>
  <c r="B143" i="5"/>
  <c r="U140" i="4"/>
  <c r="T140" i="4"/>
  <c r="B143" i="4"/>
  <c r="A144" i="4"/>
  <c r="A145" i="4" s="1"/>
  <c r="A146" i="4" s="1"/>
  <c r="AY88" i="5"/>
  <c r="AV88" i="5"/>
  <c r="AW92" i="5"/>
  <c r="K92" i="5"/>
  <c r="AZ92" i="5"/>
  <c r="AH90" i="5"/>
  <c r="AK90" i="5"/>
  <c r="AJ90" i="5"/>
  <c r="AI90" i="5"/>
  <c r="V91" i="5"/>
  <c r="AC91" i="5" s="1"/>
  <c r="AD91" i="5" s="1"/>
  <c r="J91" i="5"/>
  <c r="AM90" i="5"/>
  <c r="H93" i="5"/>
  <c r="L90" i="4"/>
  <c r="M91" i="4"/>
  <c r="AL89" i="5"/>
  <c r="AU89" i="5"/>
  <c r="AX89" i="5"/>
  <c r="AM91" i="5" l="1"/>
  <c r="AD92" i="5"/>
  <c r="B146" i="5"/>
  <c r="T143" i="4"/>
  <c r="U143" i="4"/>
  <c r="AL90" i="5"/>
  <c r="AU90" i="5"/>
  <c r="AX90" i="5"/>
  <c r="AV89" i="5"/>
  <c r="AY89" i="5"/>
  <c r="H94" i="5"/>
  <c r="M92" i="4"/>
  <c r="L91" i="4"/>
  <c r="G93" i="5"/>
  <c r="N90" i="4"/>
  <c r="I93" i="5" s="1"/>
  <c r="J93" i="5" s="1"/>
  <c r="J92" i="5"/>
  <c r="A147" i="4"/>
  <c r="B146" i="4"/>
  <c r="AJ91" i="5"/>
  <c r="AK91" i="5" s="1"/>
  <c r="AH91" i="5"/>
  <c r="AI91" i="5" s="1"/>
  <c r="AW93" i="5"/>
  <c r="AZ93" i="5"/>
  <c r="K93" i="5"/>
  <c r="AH92" i="5" l="1"/>
  <c r="AK92" i="5"/>
  <c r="AJ92" i="5"/>
  <c r="AI92" i="5"/>
  <c r="H95" i="5"/>
  <c r="L92" i="4"/>
  <c r="M93" i="4"/>
  <c r="AW94" i="5"/>
  <c r="K94" i="5"/>
  <c r="AZ94" i="5"/>
  <c r="AD93" i="5"/>
  <c r="AH93" i="5" s="1"/>
  <c r="AI93" i="5" s="1"/>
  <c r="AM92" i="5"/>
  <c r="AV90" i="5"/>
  <c r="AY90" i="5"/>
  <c r="G94" i="5"/>
  <c r="N91" i="4"/>
  <c r="I94" i="5" s="1"/>
  <c r="J94" i="5" s="1"/>
  <c r="B149" i="5"/>
  <c r="T146" i="4"/>
  <c r="U146" i="4"/>
  <c r="A148" i="4"/>
  <c r="A149" i="4" s="1"/>
  <c r="B147" i="4"/>
  <c r="AL91" i="5"/>
  <c r="AU91" i="5"/>
  <c r="AX91" i="5"/>
  <c r="AJ93" i="5" l="1"/>
  <c r="AK93" i="5" s="1"/>
  <c r="B150" i="5"/>
  <c r="T147" i="4"/>
  <c r="U147" i="4"/>
  <c r="B149" i="4"/>
  <c r="A150" i="4"/>
  <c r="A151" i="4" s="1"/>
  <c r="A152" i="4" s="1"/>
  <c r="AL92" i="5"/>
  <c r="AX92" i="5"/>
  <c r="AU92" i="5"/>
  <c r="AY91" i="5"/>
  <c r="AV91" i="5"/>
  <c r="AM93" i="5"/>
  <c r="AD94" i="5"/>
  <c r="H96" i="5"/>
  <c r="M94" i="4"/>
  <c r="L93" i="4"/>
  <c r="G95" i="5"/>
  <c r="N92" i="4"/>
  <c r="I95" i="5" s="1"/>
  <c r="J95" i="5" s="1"/>
  <c r="AZ95" i="5"/>
  <c r="AW95" i="5"/>
  <c r="K95" i="5"/>
  <c r="AL93" i="5" l="1"/>
  <c r="AU93" i="5"/>
  <c r="AX93" i="5"/>
  <c r="AM94" i="5"/>
  <c r="AD95" i="5"/>
  <c r="AH95" i="5" s="1"/>
  <c r="AI95" i="5" s="1"/>
  <c r="B152" i="5"/>
  <c r="T149" i="4"/>
  <c r="U149" i="4"/>
  <c r="AH94" i="5"/>
  <c r="AI94" i="5" s="1"/>
  <c r="G96" i="5"/>
  <c r="N93" i="4"/>
  <c r="I96" i="5" s="1"/>
  <c r="J96" i="5" s="1"/>
  <c r="H97" i="5"/>
  <c r="L94" i="4"/>
  <c r="M95" i="4"/>
  <c r="AV92" i="5"/>
  <c r="AY92" i="5"/>
  <c r="AZ96" i="5"/>
  <c r="AW96" i="5"/>
  <c r="K96" i="5"/>
  <c r="A153" i="4"/>
  <c r="B152" i="4"/>
  <c r="AJ94" i="5"/>
  <c r="AK94" i="5" s="1"/>
  <c r="AD96" i="5" l="1"/>
  <c r="AJ96" i="5" s="1"/>
  <c r="AK96" i="5" s="1"/>
  <c r="AM95" i="5"/>
  <c r="AZ97" i="5"/>
  <c r="AW97" i="5"/>
  <c r="K97" i="5"/>
  <c r="B155" i="5"/>
  <c r="T152" i="4"/>
  <c r="U152" i="4"/>
  <c r="B153" i="4"/>
  <c r="A154" i="4"/>
  <c r="A155" i="4" s="1"/>
  <c r="AL94" i="5"/>
  <c r="AX94" i="5"/>
  <c r="AU94" i="5"/>
  <c r="H98" i="5"/>
  <c r="M96" i="4"/>
  <c r="L95" i="4"/>
  <c r="AJ95" i="5"/>
  <c r="AK95" i="5" s="1"/>
  <c r="G97" i="5"/>
  <c r="N94" i="4"/>
  <c r="I97" i="5" s="1"/>
  <c r="J97" i="5" s="1"/>
  <c r="AV93" i="5"/>
  <c r="AY93" i="5"/>
  <c r="AH96" i="5" l="1"/>
  <c r="AI96" i="5" s="1"/>
  <c r="G98" i="5"/>
  <c r="N95" i="4"/>
  <c r="I98" i="5" s="1"/>
  <c r="H99" i="5"/>
  <c r="L96" i="4"/>
  <c r="M97" i="4"/>
  <c r="AZ98" i="5"/>
  <c r="AW98" i="5"/>
  <c r="X98" i="5"/>
  <c r="AC98" i="5" s="1"/>
  <c r="K98" i="5"/>
  <c r="AK97" i="5"/>
  <c r="AJ97" i="5"/>
  <c r="AI97" i="5"/>
  <c r="AH97" i="5"/>
  <c r="B155" i="4"/>
  <c r="A156" i="4"/>
  <c r="AL95" i="5"/>
  <c r="AU95" i="5"/>
  <c r="AX95" i="5"/>
  <c r="AV94" i="5"/>
  <c r="AY94" i="5"/>
  <c r="B156" i="5"/>
  <c r="U153" i="4"/>
  <c r="T153" i="4"/>
  <c r="AD97" i="5"/>
  <c r="AM96" i="5"/>
  <c r="AL96" i="5" l="1"/>
  <c r="AU96" i="5"/>
  <c r="AX96" i="5"/>
  <c r="H100" i="5"/>
  <c r="M98" i="4"/>
  <c r="L97" i="4"/>
  <c r="AD98" i="5"/>
  <c r="AM97" i="5"/>
  <c r="AV95" i="5"/>
  <c r="AY95" i="5"/>
  <c r="G99" i="5"/>
  <c r="N96" i="4"/>
  <c r="I99" i="5" s="1"/>
  <c r="A157" i="4"/>
  <c r="B156" i="4"/>
  <c r="AZ99" i="5"/>
  <c r="AW99" i="5"/>
  <c r="X99" i="5"/>
  <c r="K99" i="5"/>
  <c r="B158" i="5"/>
  <c r="T155" i="4"/>
  <c r="U155" i="4"/>
  <c r="J98" i="5"/>
  <c r="AM98" i="5" l="1"/>
  <c r="H101" i="5"/>
  <c r="L98" i="4"/>
  <c r="M99" i="4"/>
  <c r="AK98" i="5"/>
  <c r="AJ98" i="5"/>
  <c r="AI98" i="5"/>
  <c r="AH98" i="5"/>
  <c r="AL97" i="5"/>
  <c r="AX97" i="5"/>
  <c r="AU97" i="5"/>
  <c r="B159" i="5"/>
  <c r="T156" i="4"/>
  <c r="U156" i="4"/>
  <c r="G100" i="5"/>
  <c r="N97" i="4"/>
  <c r="I100" i="5" s="1"/>
  <c r="B157" i="4"/>
  <c r="A158" i="4"/>
  <c r="J99" i="5"/>
  <c r="V99" i="5"/>
  <c r="AC99" i="5" s="1"/>
  <c r="AD99" i="5" s="1"/>
  <c r="X100" i="5"/>
  <c r="AC100" i="5" s="1"/>
  <c r="AZ100" i="5"/>
  <c r="K100" i="5"/>
  <c r="AW100" i="5"/>
  <c r="AV96" i="5"/>
  <c r="AY96" i="5"/>
  <c r="AM99" i="5" l="1"/>
  <c r="AD100" i="5"/>
  <c r="H102" i="5"/>
  <c r="M100" i="4"/>
  <c r="L99" i="4"/>
  <c r="AJ99" i="5"/>
  <c r="AK99" i="5" s="1"/>
  <c r="AH99" i="5"/>
  <c r="AI99" i="5" s="1"/>
  <c r="G101" i="5"/>
  <c r="N98" i="4"/>
  <c r="I101" i="5" s="1"/>
  <c r="K101" i="5"/>
  <c r="AW101" i="5"/>
  <c r="X101" i="5"/>
  <c r="AZ101" i="5"/>
  <c r="A159" i="4"/>
  <c r="B158" i="4"/>
  <c r="B160" i="5"/>
  <c r="T157" i="4"/>
  <c r="U157" i="4"/>
  <c r="AV97" i="5"/>
  <c r="AY97" i="5"/>
  <c r="J100" i="5"/>
  <c r="AL98" i="5"/>
  <c r="AX98" i="5"/>
  <c r="AU98" i="5"/>
  <c r="B161" i="5" l="1"/>
  <c r="U158" i="4"/>
  <c r="T158" i="4"/>
  <c r="G102" i="5"/>
  <c r="N99" i="4"/>
  <c r="I102" i="5" s="1"/>
  <c r="AY98" i="5"/>
  <c r="AV98" i="5"/>
  <c r="B159" i="4"/>
  <c r="A160" i="4"/>
  <c r="H103" i="5"/>
  <c r="L100" i="4"/>
  <c r="M101" i="4"/>
  <c r="AK100" i="5"/>
  <c r="AJ100" i="5"/>
  <c r="AI100" i="5"/>
  <c r="AH100" i="5"/>
  <c r="V101" i="5"/>
  <c r="AC101" i="5" s="1"/>
  <c r="J101" i="5"/>
  <c r="K102" i="5"/>
  <c r="AZ102" i="5"/>
  <c r="AW102" i="5"/>
  <c r="X102" i="5"/>
  <c r="AD101" i="5"/>
  <c r="AM100" i="5"/>
  <c r="AF100" i="5"/>
  <c r="AG100" i="5" s="1"/>
  <c r="AL99" i="5"/>
  <c r="AX99" i="5"/>
  <c r="AU99" i="5"/>
  <c r="B162" i="5" l="1"/>
  <c r="T159" i="4"/>
  <c r="U159" i="4"/>
  <c r="J102" i="5"/>
  <c r="V102" i="5"/>
  <c r="AC102" i="5" s="1"/>
  <c r="H104" i="5"/>
  <c r="M102" i="4"/>
  <c r="L101" i="4"/>
  <c r="AD102" i="5"/>
  <c r="AM101" i="5"/>
  <c r="G103" i="5"/>
  <c r="N100" i="4"/>
  <c r="I103" i="5" s="1"/>
  <c r="J103" i="5" s="1"/>
  <c r="K103" i="5"/>
  <c r="AZ103" i="5"/>
  <c r="X103" i="5"/>
  <c r="AC103" i="5" s="1"/>
  <c r="AW103" i="5"/>
  <c r="AY99" i="5"/>
  <c r="AV99" i="5"/>
  <c r="AL100" i="5"/>
  <c r="AX100" i="5"/>
  <c r="AU100" i="5"/>
  <c r="AJ101" i="5"/>
  <c r="AK101" i="5" s="1"/>
  <c r="AH101" i="5"/>
  <c r="AI101" i="5" s="1"/>
  <c r="A161" i="4"/>
  <c r="B160" i="4"/>
  <c r="K104" i="5" l="1"/>
  <c r="AZ104" i="5"/>
  <c r="AW104" i="5"/>
  <c r="X104" i="5"/>
  <c r="G104" i="5"/>
  <c r="N101" i="4"/>
  <c r="I104" i="5" s="1"/>
  <c r="AY100" i="5"/>
  <c r="AV100" i="5"/>
  <c r="B163" i="5"/>
  <c r="T160" i="4"/>
  <c r="U160" i="4"/>
  <c r="H105" i="5"/>
  <c r="M103" i="4"/>
  <c r="L102" i="4"/>
  <c r="B161" i="4"/>
  <c r="A162" i="4"/>
  <c r="AK103" i="5"/>
  <c r="AI103" i="5"/>
  <c r="AH103" i="5"/>
  <c r="AJ103" i="5"/>
  <c r="AH102" i="5"/>
  <c r="AI102" i="5" s="1"/>
  <c r="AJ102" i="5"/>
  <c r="AK102" i="5" s="1"/>
  <c r="AL101" i="5"/>
  <c r="AU101" i="5"/>
  <c r="AX101" i="5"/>
  <c r="AD103" i="5"/>
  <c r="AM102" i="5"/>
  <c r="AV101" i="5" l="1"/>
  <c r="AY101" i="5"/>
  <c r="AZ105" i="5"/>
  <c r="X105" i="5"/>
  <c r="K105" i="5"/>
  <c r="AW105" i="5"/>
  <c r="AD104" i="5"/>
  <c r="AM103" i="5"/>
  <c r="AF103" i="5"/>
  <c r="AG103" i="5" s="1"/>
  <c r="A163" i="4"/>
  <c r="B162" i="4"/>
  <c r="B164" i="5"/>
  <c r="T161" i="4"/>
  <c r="U161" i="4"/>
  <c r="G105" i="5"/>
  <c r="N102" i="4"/>
  <c r="I105" i="5" s="1"/>
  <c r="J104" i="5"/>
  <c r="V104" i="5"/>
  <c r="AC104" i="5" s="1"/>
  <c r="AL102" i="5"/>
  <c r="AU102" i="5"/>
  <c r="AX102" i="5"/>
  <c r="H106" i="5"/>
  <c r="M104" i="4"/>
  <c r="L103" i="4"/>
  <c r="B163" i="4" l="1"/>
  <c r="A164" i="4"/>
  <c r="AV102" i="5"/>
  <c r="AY102" i="5"/>
  <c r="AJ104" i="5"/>
  <c r="AK104" i="5" s="1"/>
  <c r="AH104" i="5"/>
  <c r="AI104" i="5" s="1"/>
  <c r="H107" i="5"/>
  <c r="L104" i="4"/>
  <c r="M105" i="4"/>
  <c r="AM104" i="5"/>
  <c r="AW106" i="5"/>
  <c r="X106" i="5"/>
  <c r="AZ106" i="5"/>
  <c r="K106" i="5"/>
  <c r="B165" i="5"/>
  <c r="U162" i="4"/>
  <c r="T162" i="4"/>
  <c r="G106" i="5"/>
  <c r="N103" i="4"/>
  <c r="I106" i="5" s="1"/>
  <c r="J105" i="5"/>
  <c r="V105" i="5"/>
  <c r="AC105" i="5" s="1"/>
  <c r="AD105" i="5" s="1"/>
  <c r="AL103" i="5"/>
  <c r="AU103" i="5"/>
  <c r="AX103" i="5"/>
  <c r="AM105" i="5" l="1"/>
  <c r="AY103" i="5"/>
  <c r="AV103" i="5"/>
  <c r="AL104" i="5"/>
  <c r="AX104" i="5"/>
  <c r="AU104" i="5"/>
  <c r="AJ105" i="5"/>
  <c r="AK105" i="5" s="1"/>
  <c r="AH105" i="5"/>
  <c r="AI105" i="5" s="1"/>
  <c r="H108" i="5"/>
  <c r="M106" i="4"/>
  <c r="L105" i="4"/>
  <c r="V106" i="5"/>
  <c r="AC106" i="5" s="1"/>
  <c r="AD106" i="5" s="1"/>
  <c r="J106" i="5"/>
  <c r="G107" i="5"/>
  <c r="N104" i="4"/>
  <c r="I107" i="5" s="1"/>
  <c r="A165" i="4"/>
  <c r="B164" i="4"/>
  <c r="AW107" i="5"/>
  <c r="X107" i="5"/>
  <c r="K107" i="5"/>
  <c r="AZ107" i="5"/>
  <c r="B166" i="5"/>
  <c r="T163" i="4"/>
  <c r="U163" i="4"/>
  <c r="AM106" i="5" l="1"/>
  <c r="AJ106" i="5"/>
  <c r="AK106" i="5" s="1"/>
  <c r="AH106" i="5"/>
  <c r="AI106" i="5" s="1"/>
  <c r="B167" i="5"/>
  <c r="T164" i="4"/>
  <c r="U164" i="4"/>
  <c r="AW108" i="5"/>
  <c r="X108" i="5"/>
  <c r="K108" i="5"/>
  <c r="AZ108" i="5"/>
  <c r="V107" i="5"/>
  <c r="AC107" i="5" s="1"/>
  <c r="AD107" i="5" s="1"/>
  <c r="J107" i="5"/>
  <c r="G108" i="5"/>
  <c r="N105" i="4"/>
  <c r="I108" i="5" s="1"/>
  <c r="H109" i="5"/>
  <c r="M107" i="4"/>
  <c r="L106" i="4"/>
  <c r="AY104" i="5"/>
  <c r="AV104" i="5"/>
  <c r="B165" i="4"/>
  <c r="A166" i="4"/>
  <c r="AL105" i="5"/>
  <c r="AU105" i="5"/>
  <c r="AX105" i="5"/>
  <c r="AM107" i="5" l="1"/>
  <c r="AZ109" i="5"/>
  <c r="AW109" i="5"/>
  <c r="X109" i="5"/>
  <c r="K109" i="5"/>
  <c r="AY105" i="5"/>
  <c r="AV105" i="5"/>
  <c r="V108" i="5"/>
  <c r="AC108" i="5" s="1"/>
  <c r="AD108" i="5" s="1"/>
  <c r="J108" i="5"/>
  <c r="A167" i="4"/>
  <c r="B166" i="4"/>
  <c r="H110" i="5"/>
  <c r="M108" i="4"/>
  <c r="L107" i="4"/>
  <c r="B168" i="5"/>
  <c r="U165" i="4"/>
  <c r="T165" i="4"/>
  <c r="AH107" i="5"/>
  <c r="AI107" i="5" s="1"/>
  <c r="AJ107" i="5"/>
  <c r="AK107" i="5" s="1"/>
  <c r="AL106" i="5"/>
  <c r="AU106" i="5"/>
  <c r="AX106" i="5"/>
  <c r="G109" i="5"/>
  <c r="N106" i="4"/>
  <c r="I109" i="5" s="1"/>
  <c r="AM108" i="5" l="1"/>
  <c r="B169" i="5"/>
  <c r="U166" i="4"/>
  <c r="T166" i="4"/>
  <c r="V109" i="5"/>
  <c r="AC109" i="5" s="1"/>
  <c r="AD109" i="5" s="1"/>
  <c r="J109" i="5"/>
  <c r="B167" i="4"/>
  <c r="A168" i="4"/>
  <c r="AH108" i="5"/>
  <c r="AI108" i="5" s="1"/>
  <c r="AJ108" i="5"/>
  <c r="AK108" i="5" s="1"/>
  <c r="AV106" i="5"/>
  <c r="AY106" i="5"/>
  <c r="G110" i="5"/>
  <c r="N107" i="4"/>
  <c r="I110" i="5" s="1"/>
  <c r="H111" i="5"/>
  <c r="L108" i="4"/>
  <c r="M109" i="4"/>
  <c r="AL107" i="5"/>
  <c r="AU107" i="5"/>
  <c r="AX107" i="5"/>
  <c r="K110" i="5"/>
  <c r="AZ110" i="5"/>
  <c r="AW110" i="5"/>
  <c r="X110" i="5"/>
  <c r="AM109" i="5" l="1"/>
  <c r="AJ109" i="5"/>
  <c r="AK109" i="5" s="1"/>
  <c r="AH109" i="5"/>
  <c r="AI109" i="5" s="1"/>
  <c r="G111" i="5"/>
  <c r="N108" i="4"/>
  <c r="I111" i="5" s="1"/>
  <c r="J111" i="5" s="1"/>
  <c r="K111" i="5"/>
  <c r="AZ111" i="5"/>
  <c r="AW111" i="5"/>
  <c r="X111" i="5"/>
  <c r="AC111" i="5" s="1"/>
  <c r="AL108" i="5"/>
  <c r="AX108" i="5"/>
  <c r="AU108" i="5"/>
  <c r="B170" i="5"/>
  <c r="T167" i="4"/>
  <c r="U167" i="4"/>
  <c r="AY107" i="5"/>
  <c r="AV107" i="5"/>
  <c r="H112" i="5"/>
  <c r="M110" i="4"/>
  <c r="L109" i="4"/>
  <c r="J110" i="5"/>
  <c r="V110" i="5"/>
  <c r="AC110" i="5" s="1"/>
  <c r="AD110" i="5" s="1"/>
  <c r="A169" i="4"/>
  <c r="A170" i="4" s="1"/>
  <c r="B168" i="4"/>
  <c r="AM110" i="5" l="1"/>
  <c r="AD111" i="5"/>
  <c r="AJ111" i="5"/>
  <c r="AI111" i="5"/>
  <c r="AK111" i="5"/>
  <c r="AH111" i="5"/>
  <c r="A171" i="4"/>
  <c r="B170" i="4"/>
  <c r="AJ110" i="5"/>
  <c r="AK110" i="5" s="1"/>
  <c r="AH110" i="5"/>
  <c r="AI110" i="5" s="1"/>
  <c r="B171" i="5"/>
  <c r="T168" i="4"/>
  <c r="U168" i="4"/>
  <c r="AL109" i="5"/>
  <c r="AX109" i="5"/>
  <c r="AU109" i="5"/>
  <c r="G112" i="5"/>
  <c r="N109" i="4"/>
  <c r="I112" i="5" s="1"/>
  <c r="H113" i="5"/>
  <c r="M111" i="4"/>
  <c r="L110" i="4"/>
  <c r="K112" i="5"/>
  <c r="AZ112" i="5"/>
  <c r="AW112" i="5"/>
  <c r="X112" i="5"/>
  <c r="AY108" i="5"/>
  <c r="AV108" i="5"/>
  <c r="A172" i="4" l="1"/>
  <c r="B171" i="4"/>
  <c r="B173" i="5"/>
  <c r="U170" i="4"/>
  <c r="T170" i="4"/>
  <c r="H114" i="5"/>
  <c r="M112" i="4"/>
  <c r="L111" i="4"/>
  <c r="K113" i="5"/>
  <c r="AZ113" i="5"/>
  <c r="AW113" i="5"/>
  <c r="X113" i="5"/>
  <c r="AL110" i="5"/>
  <c r="AX110" i="5"/>
  <c r="AU110" i="5"/>
  <c r="J112" i="5"/>
  <c r="V112" i="5"/>
  <c r="AC112" i="5" s="1"/>
  <c r="AD112" i="5" s="1"/>
  <c r="AM111" i="5"/>
  <c r="AV109" i="5"/>
  <c r="AY109" i="5"/>
  <c r="G113" i="5"/>
  <c r="N110" i="4"/>
  <c r="I113" i="5" s="1"/>
  <c r="AM112" i="5" l="1"/>
  <c r="B174" i="5"/>
  <c r="U171" i="4"/>
  <c r="T171" i="4"/>
  <c r="G114" i="5"/>
  <c r="N111" i="4"/>
  <c r="I114" i="5" s="1"/>
  <c r="H115" i="5"/>
  <c r="L112" i="4"/>
  <c r="M113" i="4"/>
  <c r="AL111" i="5"/>
  <c r="AU111" i="5"/>
  <c r="AX111" i="5"/>
  <c r="AZ114" i="5"/>
  <c r="X114" i="5"/>
  <c r="K114" i="5"/>
  <c r="AW114" i="5"/>
  <c r="AH112" i="5"/>
  <c r="AI112" i="5" s="1"/>
  <c r="AJ112" i="5"/>
  <c r="AK112" i="5" s="1"/>
  <c r="J113" i="5"/>
  <c r="V113" i="5"/>
  <c r="AC113" i="5" s="1"/>
  <c r="AD113" i="5" s="1"/>
  <c r="AY110" i="5"/>
  <c r="AV110" i="5"/>
  <c r="A173" i="4"/>
  <c r="A174" i="4" s="1"/>
  <c r="A175" i="4" s="1"/>
  <c r="B172" i="4"/>
  <c r="AM113" i="5" l="1"/>
  <c r="B175" i="5"/>
  <c r="U172" i="4"/>
  <c r="T172" i="4"/>
  <c r="A176" i="4"/>
  <c r="A177" i="4" s="1"/>
  <c r="A178" i="4" s="1"/>
  <c r="A179" i="4" s="1"/>
  <c r="B175" i="4"/>
  <c r="AW115" i="5"/>
  <c r="X115" i="5"/>
  <c r="AZ115" i="5"/>
  <c r="K115" i="5"/>
  <c r="J114" i="5"/>
  <c r="V114" i="5"/>
  <c r="AC114" i="5" s="1"/>
  <c r="AD114" i="5" s="1"/>
  <c r="AY111" i="5"/>
  <c r="AV111" i="5"/>
  <c r="AJ113" i="5"/>
  <c r="AK113" i="5" s="1"/>
  <c r="AH113" i="5"/>
  <c r="AI113" i="5" s="1"/>
  <c r="H116" i="5"/>
  <c r="M114" i="4"/>
  <c r="L113" i="4"/>
  <c r="AL112" i="5"/>
  <c r="AU112" i="5"/>
  <c r="AX112" i="5"/>
  <c r="G115" i="5"/>
  <c r="N112" i="4"/>
  <c r="I115" i="5" s="1"/>
  <c r="AM114" i="5" l="1"/>
  <c r="AW116" i="5"/>
  <c r="X116" i="5"/>
  <c r="K116" i="5"/>
  <c r="AZ116" i="5"/>
  <c r="AJ114" i="5"/>
  <c r="AK114" i="5" s="1"/>
  <c r="AH114" i="5"/>
  <c r="AI114" i="5" s="1"/>
  <c r="V115" i="5"/>
  <c r="AC115" i="5" s="1"/>
  <c r="AD115" i="5" s="1"/>
  <c r="J115" i="5"/>
  <c r="B178" i="5"/>
  <c r="T175" i="4"/>
  <c r="U175" i="4"/>
  <c r="A180" i="4"/>
  <c r="A181" i="4" s="1"/>
  <c r="A182" i="4" s="1"/>
  <c r="B179" i="4"/>
  <c r="AL113" i="5"/>
  <c r="AU113" i="5"/>
  <c r="AX113" i="5"/>
  <c r="AV112" i="5"/>
  <c r="AY112" i="5"/>
  <c r="G116" i="5"/>
  <c r="N113" i="4"/>
  <c r="I116" i="5" s="1"/>
  <c r="H117" i="5"/>
  <c r="M115" i="4"/>
  <c r="L114" i="4"/>
  <c r="AM115" i="5" l="1"/>
  <c r="H118" i="5"/>
  <c r="M116" i="4"/>
  <c r="L115" i="4"/>
  <c r="AY113" i="5"/>
  <c r="AV113" i="5"/>
  <c r="AJ115" i="5"/>
  <c r="AK115" i="5" s="1"/>
  <c r="AH115" i="5"/>
  <c r="AI115" i="5" s="1"/>
  <c r="G117" i="5"/>
  <c r="N114" i="4"/>
  <c r="I117" i="5" s="1"/>
  <c r="AW117" i="5"/>
  <c r="X117" i="5"/>
  <c r="K117" i="5"/>
  <c r="AZ117" i="5"/>
  <c r="B182" i="5"/>
  <c r="T179" i="4"/>
  <c r="U179" i="4"/>
  <c r="V116" i="5"/>
  <c r="AC116" i="5" s="1"/>
  <c r="AD116" i="5" s="1"/>
  <c r="J116" i="5"/>
  <c r="A183" i="4"/>
  <c r="B182" i="4"/>
  <c r="AL114" i="5"/>
  <c r="AU114" i="5"/>
  <c r="AX114" i="5"/>
  <c r="AM116" i="5" l="1"/>
  <c r="AV114" i="5"/>
  <c r="AY114" i="5"/>
  <c r="V117" i="5"/>
  <c r="AC117" i="5" s="1"/>
  <c r="AD117" i="5" s="1"/>
  <c r="J117" i="5"/>
  <c r="G118" i="5"/>
  <c r="N115" i="4"/>
  <c r="I118" i="5" s="1"/>
  <c r="J118" i="5" s="1"/>
  <c r="B185" i="5"/>
  <c r="T182" i="4"/>
  <c r="U182" i="4"/>
  <c r="H119" i="5"/>
  <c r="L116" i="4"/>
  <c r="M117" i="4"/>
  <c r="A184" i="4"/>
  <c r="A185" i="4" s="1"/>
  <c r="B183" i="4"/>
  <c r="AW118" i="5"/>
  <c r="X118" i="5"/>
  <c r="AC118" i="5" s="1"/>
  <c r="AZ118" i="5"/>
  <c r="K118" i="5"/>
  <c r="AH116" i="5"/>
  <c r="AI116" i="5" s="1"/>
  <c r="AJ116" i="5"/>
  <c r="AK116" i="5" s="1"/>
  <c r="AL115" i="5"/>
  <c r="AX115" i="5"/>
  <c r="AU115" i="5"/>
  <c r="AD118" i="5" l="1"/>
  <c r="AM117" i="5"/>
  <c r="B186" i="5"/>
  <c r="U183" i="4"/>
  <c r="T183" i="4"/>
  <c r="AH118" i="5"/>
  <c r="AK118" i="5"/>
  <c r="AJ118" i="5"/>
  <c r="AI118" i="5"/>
  <c r="B185" i="4"/>
  <c r="A186" i="4"/>
  <c r="A187" i="4" s="1"/>
  <c r="A188" i="4" s="1"/>
  <c r="A189" i="4" s="1"/>
  <c r="A190" i="4" s="1"/>
  <c r="A191" i="4" s="1"/>
  <c r="A192" i="4" s="1"/>
  <c r="A193" i="4" s="1"/>
  <c r="A194" i="4" s="1"/>
  <c r="H120" i="5"/>
  <c r="M118" i="4"/>
  <c r="L117" i="4"/>
  <c r="AW119" i="5"/>
  <c r="AZ119" i="5"/>
  <c r="X119" i="5"/>
  <c r="AC119" i="5" s="1"/>
  <c r="K119" i="5"/>
  <c r="AH117" i="5"/>
  <c r="AI117" i="5" s="1"/>
  <c r="AJ117" i="5"/>
  <c r="AK117" i="5" s="1"/>
  <c r="AV115" i="5"/>
  <c r="AY115" i="5"/>
  <c r="G119" i="5"/>
  <c r="N116" i="4"/>
  <c r="I119" i="5" s="1"/>
  <c r="AL116" i="5"/>
  <c r="AU116" i="5"/>
  <c r="AX116" i="5"/>
  <c r="J119" i="5" l="1"/>
  <c r="G120" i="5"/>
  <c r="N117" i="4"/>
  <c r="I120" i="5" s="1"/>
  <c r="H121" i="5"/>
  <c r="L118" i="4"/>
  <c r="M119" i="4"/>
  <c r="AW120" i="5"/>
  <c r="AZ120" i="5"/>
  <c r="X120" i="5"/>
  <c r="AC120" i="5" s="1"/>
  <c r="K120" i="5"/>
  <c r="A195" i="4"/>
  <c r="B194" i="4"/>
  <c r="B188" i="5"/>
  <c r="T185" i="4"/>
  <c r="U185" i="4"/>
  <c r="AL117" i="5"/>
  <c r="AU117" i="5"/>
  <c r="AX117" i="5"/>
  <c r="AY116" i="5"/>
  <c r="AV116" i="5"/>
  <c r="AD119" i="5"/>
  <c r="AM118" i="5"/>
  <c r="H122" i="5" l="1"/>
  <c r="M120" i="4"/>
  <c r="L119" i="4"/>
  <c r="G121" i="5"/>
  <c r="N118" i="4"/>
  <c r="I121" i="5" s="1"/>
  <c r="J121" i="5" s="1"/>
  <c r="AY117" i="5"/>
  <c r="AV117" i="5"/>
  <c r="AW121" i="5"/>
  <c r="AZ121" i="5"/>
  <c r="X121" i="5"/>
  <c r="AC121" i="5" s="1"/>
  <c r="K121" i="5"/>
  <c r="J120" i="5"/>
  <c r="B197" i="5"/>
  <c r="U194" i="4"/>
  <c r="T194" i="4"/>
  <c r="AL118" i="5"/>
  <c r="AX118" i="5"/>
  <c r="AU118" i="5"/>
  <c r="AF119" i="5"/>
  <c r="AG119" i="5" s="1"/>
  <c r="AM119" i="5"/>
  <c r="AD120" i="5"/>
  <c r="AH119" i="5"/>
  <c r="AK119" i="5"/>
  <c r="AJ119" i="5"/>
  <c r="AI119" i="5"/>
  <c r="AL119" i="5" l="1"/>
  <c r="AU119" i="5"/>
  <c r="AX119" i="5"/>
  <c r="AH120" i="5"/>
  <c r="AK120" i="5"/>
  <c r="AJ120" i="5"/>
  <c r="AI120" i="5"/>
  <c r="AH121" i="5"/>
  <c r="AK121" i="5"/>
  <c r="AJ121" i="5"/>
  <c r="AI121" i="5"/>
  <c r="AV118" i="5"/>
  <c r="AY118" i="5"/>
  <c r="G122" i="5"/>
  <c r="N119" i="4"/>
  <c r="I122" i="5" s="1"/>
  <c r="H123" i="5"/>
  <c r="L120" i="4"/>
  <c r="M121" i="4"/>
  <c r="AF120" i="5"/>
  <c r="AG120" i="5" s="1"/>
  <c r="AD121" i="5"/>
  <c r="AM120" i="5"/>
  <c r="AW122" i="5"/>
  <c r="AZ122" i="5"/>
  <c r="X122" i="5"/>
  <c r="AC122" i="5" s="1"/>
  <c r="K122" i="5"/>
  <c r="AW123" i="5" l="1"/>
  <c r="AZ123" i="5"/>
  <c r="X123" i="5"/>
  <c r="AC123" i="5" s="1"/>
  <c r="K123" i="5"/>
  <c r="J122" i="5"/>
  <c r="AL120" i="5"/>
  <c r="AU120" i="5"/>
  <c r="AX120" i="5"/>
  <c r="AF121" i="5"/>
  <c r="AG121" i="5" s="1"/>
  <c r="AM121" i="5"/>
  <c r="AD122" i="5"/>
  <c r="H124" i="5"/>
  <c r="M122" i="4"/>
  <c r="L121" i="4"/>
  <c r="G123" i="5"/>
  <c r="N120" i="4"/>
  <c r="I123" i="5" s="1"/>
  <c r="J123" i="5" s="1"/>
  <c r="AY119" i="5"/>
  <c r="AV119" i="5"/>
  <c r="G124" i="5" l="1"/>
  <c r="N121" i="4"/>
  <c r="I124" i="5" s="1"/>
  <c r="AV120" i="5"/>
  <c r="AY120" i="5"/>
  <c r="H125" i="5"/>
  <c r="L122" i="4"/>
  <c r="M123" i="4"/>
  <c r="AH122" i="5"/>
  <c r="AK122" i="5"/>
  <c r="AJ122" i="5"/>
  <c r="AI122" i="5"/>
  <c r="AW124" i="5"/>
  <c r="AZ124" i="5"/>
  <c r="X124" i="5"/>
  <c r="AC124" i="5" s="1"/>
  <c r="K124" i="5"/>
  <c r="AL121" i="5"/>
  <c r="AU121" i="5"/>
  <c r="AX121" i="5"/>
  <c r="AF122" i="5"/>
  <c r="AG122" i="5" s="1"/>
  <c r="AD123" i="5"/>
  <c r="AM122" i="5"/>
  <c r="AH123" i="5"/>
  <c r="AK123" i="5"/>
  <c r="AJ123" i="5"/>
  <c r="AI123" i="5"/>
  <c r="H126" i="5" l="1"/>
  <c r="M124" i="4"/>
  <c r="L123" i="4"/>
  <c r="AW125" i="5"/>
  <c r="AZ125" i="5"/>
  <c r="X125" i="5"/>
  <c r="AC125" i="5" s="1"/>
  <c r="K125" i="5"/>
  <c r="AF123" i="5"/>
  <c r="AG123" i="5" s="1"/>
  <c r="AM123" i="5"/>
  <c r="AD124" i="5"/>
  <c r="G125" i="5"/>
  <c r="N122" i="4"/>
  <c r="I125" i="5" s="1"/>
  <c r="J125" i="5" s="1"/>
  <c r="AV121" i="5"/>
  <c r="AY121" i="5"/>
  <c r="J124" i="5"/>
  <c r="AL122" i="5"/>
  <c r="AX122" i="5"/>
  <c r="AU122" i="5"/>
  <c r="AL123" i="5" l="1"/>
  <c r="AU123" i="5"/>
  <c r="AX123" i="5"/>
  <c r="AY122" i="5"/>
  <c r="AV122" i="5"/>
  <c r="AH125" i="5"/>
  <c r="AK125" i="5"/>
  <c r="AJ125" i="5"/>
  <c r="AI125" i="5"/>
  <c r="AF124" i="5"/>
  <c r="AG124" i="5" s="1"/>
  <c r="AD125" i="5"/>
  <c r="AM124" i="5"/>
  <c r="AH124" i="5"/>
  <c r="AK124" i="5"/>
  <c r="AJ124" i="5"/>
  <c r="AI124" i="5"/>
  <c r="G126" i="5"/>
  <c r="N123" i="4"/>
  <c r="I126" i="5" s="1"/>
  <c r="H127" i="5"/>
  <c r="L124" i="4"/>
  <c r="M125" i="4"/>
  <c r="AZ126" i="5"/>
  <c r="X126" i="5"/>
  <c r="K126" i="5"/>
  <c r="AW126" i="5"/>
  <c r="AY123" i="5" l="1"/>
  <c r="AV123" i="5"/>
  <c r="H128" i="5"/>
  <c r="M126" i="4"/>
  <c r="L125" i="4"/>
  <c r="G127" i="5"/>
  <c r="N124" i="4"/>
  <c r="I127" i="5" s="1"/>
  <c r="J127" i="5" s="1"/>
  <c r="AL124" i="5"/>
  <c r="AX124" i="5"/>
  <c r="AU124" i="5"/>
  <c r="K127" i="5"/>
  <c r="AZ127" i="5"/>
  <c r="X127" i="5"/>
  <c r="AC127" i="5" s="1"/>
  <c r="AW127" i="5"/>
  <c r="AF125" i="5"/>
  <c r="AG125" i="5" s="1"/>
  <c r="AM125" i="5"/>
  <c r="V126" i="5"/>
  <c r="AC126" i="5" s="1"/>
  <c r="AD126" i="5" s="1"/>
  <c r="J126" i="5"/>
  <c r="AD127" i="5" l="1"/>
  <c r="AM126" i="5"/>
  <c r="AY124" i="5"/>
  <c r="AV124" i="5"/>
  <c r="AJ126" i="5"/>
  <c r="AK126" i="5" s="1"/>
  <c r="AH126" i="5"/>
  <c r="AI126" i="5" s="1"/>
  <c r="AK127" i="5"/>
  <c r="AJ127" i="5"/>
  <c r="AI127" i="5"/>
  <c r="AH127" i="5"/>
  <c r="G128" i="5"/>
  <c r="N125" i="4"/>
  <c r="I128" i="5" s="1"/>
  <c r="J128" i="5" s="1"/>
  <c r="AL125" i="5"/>
  <c r="AX125" i="5"/>
  <c r="AU125" i="5"/>
  <c r="H129" i="5"/>
  <c r="L126" i="4"/>
  <c r="M127" i="4"/>
  <c r="AW128" i="5"/>
  <c r="K128" i="5"/>
  <c r="AZ128" i="5"/>
  <c r="G129" i="5" l="1"/>
  <c r="N126" i="4"/>
  <c r="I129" i="5" s="1"/>
  <c r="J129" i="5" s="1"/>
  <c r="AY125" i="5"/>
  <c r="AV125" i="5"/>
  <c r="AH128" i="5"/>
  <c r="AK128" i="5"/>
  <c r="AI128" i="5"/>
  <c r="AJ128" i="5"/>
  <c r="H130" i="5"/>
  <c r="M128" i="4"/>
  <c r="L127" i="4"/>
  <c r="AW129" i="5"/>
  <c r="K129" i="5"/>
  <c r="AZ129" i="5"/>
  <c r="AL126" i="5"/>
  <c r="AU126" i="5"/>
  <c r="AX126" i="5"/>
  <c r="AF127" i="5"/>
  <c r="AG127" i="5" s="1"/>
  <c r="AM127" i="5"/>
  <c r="AD128" i="5"/>
  <c r="H131" i="5" l="1"/>
  <c r="L128" i="4"/>
  <c r="M129" i="4"/>
  <c r="AD129" i="5"/>
  <c r="AH129" i="5" s="1"/>
  <c r="AI129" i="5" s="1"/>
  <c r="AM128" i="5"/>
  <c r="AL127" i="5"/>
  <c r="AU127" i="5"/>
  <c r="AX127" i="5"/>
  <c r="AV126" i="5"/>
  <c r="AY126" i="5"/>
  <c r="G130" i="5"/>
  <c r="N127" i="4"/>
  <c r="I130" i="5" s="1"/>
  <c r="J130" i="5" s="1"/>
  <c r="AW130" i="5"/>
  <c r="K130" i="5"/>
  <c r="AZ130" i="5"/>
  <c r="AJ129" i="5" l="1"/>
  <c r="AK129" i="5" s="1"/>
  <c r="AV127" i="5"/>
  <c r="AY127" i="5"/>
  <c r="AL128" i="5"/>
  <c r="AX128" i="5"/>
  <c r="AU128" i="5"/>
  <c r="AI130" i="5"/>
  <c r="AH130" i="5"/>
  <c r="AK130" i="5"/>
  <c r="AJ130" i="5"/>
  <c r="AM129" i="5"/>
  <c r="AD130" i="5"/>
  <c r="H132" i="5"/>
  <c r="M130" i="4"/>
  <c r="L129" i="4"/>
  <c r="G131" i="5"/>
  <c r="N128" i="4"/>
  <c r="I131" i="5" s="1"/>
  <c r="X131" i="5"/>
  <c r="AC131" i="5" s="1"/>
  <c r="AW131" i="5"/>
  <c r="K131" i="5"/>
  <c r="AZ131" i="5"/>
  <c r="J131" i="5" l="1"/>
  <c r="G132" i="5"/>
  <c r="N129" i="4"/>
  <c r="I132" i="5" s="1"/>
  <c r="H133" i="5"/>
  <c r="M131" i="4"/>
  <c r="L130" i="4"/>
  <c r="AW132" i="5"/>
  <c r="X132" i="5"/>
  <c r="K132" i="5"/>
  <c r="AZ132" i="5"/>
  <c r="AD131" i="5"/>
  <c r="AM130" i="5"/>
  <c r="AY128" i="5"/>
  <c r="AV128" i="5"/>
  <c r="AL129" i="5"/>
  <c r="AX129" i="5"/>
  <c r="AU129" i="5"/>
  <c r="AL130" i="5" l="1"/>
  <c r="AX130" i="5"/>
  <c r="AU130" i="5"/>
  <c r="AM131" i="5"/>
  <c r="AF131" i="5"/>
  <c r="AG131" i="5" s="1"/>
  <c r="AW133" i="5"/>
  <c r="AZ133" i="5"/>
  <c r="K133" i="5"/>
  <c r="X133" i="5"/>
  <c r="AC133" i="5" s="1"/>
  <c r="H134" i="5"/>
  <c r="M132" i="4"/>
  <c r="L131" i="4"/>
  <c r="AY129" i="5"/>
  <c r="AV129" i="5"/>
  <c r="V132" i="5"/>
  <c r="AC132" i="5" s="1"/>
  <c r="AD132" i="5" s="1"/>
  <c r="J132" i="5"/>
  <c r="G133" i="5"/>
  <c r="N130" i="4"/>
  <c r="I133" i="5" s="1"/>
  <c r="AI131" i="5"/>
  <c r="AH131" i="5"/>
  <c r="AK131" i="5"/>
  <c r="AJ131" i="5"/>
  <c r="AD133" i="5" l="1"/>
  <c r="AM132" i="5"/>
  <c r="H135" i="5"/>
  <c r="L132" i="4"/>
  <c r="M133" i="4"/>
  <c r="J133" i="5"/>
  <c r="AW134" i="5"/>
  <c r="X134" i="5"/>
  <c r="AC134" i="5" s="1"/>
  <c r="AZ134" i="5"/>
  <c r="K134" i="5"/>
  <c r="AH132" i="5"/>
  <c r="AI132" i="5" s="1"/>
  <c r="AJ132" i="5"/>
  <c r="AK132" i="5" s="1"/>
  <c r="AL131" i="5"/>
  <c r="AX131" i="5"/>
  <c r="AU131" i="5"/>
  <c r="G134" i="5"/>
  <c r="N131" i="4"/>
  <c r="I134" i="5" s="1"/>
  <c r="AY130" i="5"/>
  <c r="AV130" i="5"/>
  <c r="J134" i="5" l="1"/>
  <c r="AH133" i="5"/>
  <c r="AK133" i="5"/>
  <c r="AJ133" i="5"/>
  <c r="AI133" i="5"/>
  <c r="H136" i="5"/>
  <c r="M134" i="4"/>
  <c r="L133" i="4"/>
  <c r="G135" i="5"/>
  <c r="N132" i="4"/>
  <c r="I135" i="5" s="1"/>
  <c r="J135" i="5" s="1"/>
  <c r="AZ135" i="5"/>
  <c r="X135" i="5"/>
  <c r="AC135" i="5" s="1"/>
  <c r="AW135" i="5"/>
  <c r="K135" i="5"/>
  <c r="AV131" i="5"/>
  <c r="AY131" i="5"/>
  <c r="AL132" i="5"/>
  <c r="AU132" i="5"/>
  <c r="AX132" i="5"/>
  <c r="AF133" i="5"/>
  <c r="AG133" i="5" s="1"/>
  <c r="AD134" i="5"/>
  <c r="AM133" i="5"/>
  <c r="G136" i="5" l="1"/>
  <c r="N133" i="4"/>
  <c r="I136" i="5" s="1"/>
  <c r="J136" i="5" s="1"/>
  <c r="H137" i="5"/>
  <c r="M135" i="4"/>
  <c r="L134" i="4"/>
  <c r="K136" i="5"/>
  <c r="AZ136" i="5"/>
  <c r="AW136" i="5"/>
  <c r="AV132" i="5"/>
  <c r="AY132" i="5"/>
  <c r="AL133" i="5"/>
  <c r="AU133" i="5"/>
  <c r="AX133" i="5"/>
  <c r="AK135" i="5"/>
  <c r="AJ135" i="5"/>
  <c r="AI135" i="5"/>
  <c r="AH135" i="5"/>
  <c r="AD135" i="5"/>
  <c r="AM134" i="5"/>
  <c r="AH134" i="5"/>
  <c r="AK134" i="5"/>
  <c r="AI134" i="5"/>
  <c r="AJ134" i="5"/>
  <c r="AL134" i="5" l="1"/>
  <c r="AU134" i="5"/>
  <c r="AX134" i="5"/>
  <c r="AY133" i="5"/>
  <c r="AV133" i="5"/>
  <c r="G137" i="5"/>
  <c r="N134" i="4"/>
  <c r="I137" i="5" s="1"/>
  <c r="AM135" i="5"/>
  <c r="AD136" i="5"/>
  <c r="H138" i="5"/>
  <c r="M136" i="4"/>
  <c r="L135" i="4"/>
  <c r="AW137" i="5"/>
  <c r="K137" i="5"/>
  <c r="AZ137" i="5"/>
  <c r="AK136" i="5"/>
  <c r="AJ136" i="5"/>
  <c r="AI136" i="5"/>
  <c r="AH136" i="5"/>
  <c r="AL135" i="5" l="1"/>
  <c r="AU135" i="5"/>
  <c r="AX135" i="5"/>
  <c r="J137" i="5"/>
  <c r="G138" i="5"/>
  <c r="N135" i="4"/>
  <c r="I138" i="5" s="1"/>
  <c r="J138" i="5" s="1"/>
  <c r="H139" i="5"/>
  <c r="M137" i="4"/>
  <c r="L136" i="4"/>
  <c r="AW138" i="5"/>
  <c r="K138" i="5"/>
  <c r="AZ138" i="5"/>
  <c r="AM136" i="5"/>
  <c r="AD137" i="5"/>
  <c r="AV134" i="5"/>
  <c r="AY134" i="5"/>
  <c r="AW139" i="5" l="1"/>
  <c r="K139" i="5"/>
  <c r="AZ139" i="5"/>
  <c r="H140" i="5"/>
  <c r="L137" i="4"/>
  <c r="M138" i="4"/>
  <c r="AH137" i="5"/>
  <c r="AI137" i="5" s="1"/>
  <c r="AJ137" i="5"/>
  <c r="AK137" i="5" s="1"/>
  <c r="AM137" i="5"/>
  <c r="AD138" i="5"/>
  <c r="AJ138" i="5" s="1"/>
  <c r="AK138" i="5" s="1"/>
  <c r="AL136" i="5"/>
  <c r="AX136" i="5"/>
  <c r="AU136" i="5"/>
  <c r="G139" i="5"/>
  <c r="N136" i="4"/>
  <c r="I139" i="5" s="1"/>
  <c r="AV135" i="5"/>
  <c r="AY135" i="5"/>
  <c r="AY136" i="5" l="1"/>
  <c r="AV136" i="5"/>
  <c r="AZ140" i="5"/>
  <c r="AW140" i="5"/>
  <c r="K140" i="5"/>
  <c r="AM138" i="5"/>
  <c r="AD139" i="5"/>
  <c r="AH138" i="5"/>
  <c r="AI138" i="5" s="1"/>
  <c r="H141" i="5"/>
  <c r="M139" i="4"/>
  <c r="L138" i="4"/>
  <c r="AL137" i="5"/>
  <c r="AX137" i="5"/>
  <c r="AU137" i="5"/>
  <c r="J139" i="5"/>
  <c r="G140" i="5"/>
  <c r="N137" i="4"/>
  <c r="I140" i="5" s="1"/>
  <c r="J140" i="5" s="1"/>
  <c r="AY137" i="5" l="1"/>
  <c r="AV137" i="5"/>
  <c r="G141" i="5"/>
  <c r="N138" i="4"/>
  <c r="I141" i="5" s="1"/>
  <c r="AM139" i="5"/>
  <c r="AD140" i="5"/>
  <c r="H142" i="5"/>
  <c r="M140" i="4"/>
  <c r="L139" i="4"/>
  <c r="AZ141" i="5"/>
  <c r="AW141" i="5"/>
  <c r="K141" i="5"/>
  <c r="AJ139" i="5"/>
  <c r="AK139" i="5" s="1"/>
  <c r="AH139" i="5"/>
  <c r="AI139" i="5" s="1"/>
  <c r="AL138" i="5"/>
  <c r="AX138" i="5"/>
  <c r="AU138" i="5"/>
  <c r="H143" i="5" l="1"/>
  <c r="M141" i="4"/>
  <c r="L140" i="4"/>
  <c r="AZ142" i="5"/>
  <c r="X142" i="5"/>
  <c r="AC142" i="5" s="1"/>
  <c r="AW142" i="5"/>
  <c r="K142" i="5"/>
  <c r="AY138" i="5"/>
  <c r="AV138" i="5"/>
  <c r="G142" i="5"/>
  <c r="N139" i="4"/>
  <c r="I142" i="5" s="1"/>
  <c r="J142" i="5" s="1"/>
  <c r="AD141" i="5"/>
  <c r="AM140" i="5"/>
  <c r="AL139" i="5"/>
  <c r="AX139" i="5"/>
  <c r="AU139" i="5"/>
  <c r="AH140" i="5"/>
  <c r="AI140" i="5" s="1"/>
  <c r="J141" i="5"/>
  <c r="AJ140" i="5"/>
  <c r="AK140" i="5" s="1"/>
  <c r="AK141" i="5" l="1"/>
  <c r="AJ141" i="5"/>
  <c r="AI141" i="5"/>
  <c r="AH141" i="5"/>
  <c r="AD142" i="5"/>
  <c r="AM141" i="5"/>
  <c r="G143" i="5"/>
  <c r="N140" i="4"/>
  <c r="I143" i="5" s="1"/>
  <c r="AK142" i="5"/>
  <c r="AJ142" i="5"/>
  <c r="AI142" i="5"/>
  <c r="AH142" i="5"/>
  <c r="AY139" i="5"/>
  <c r="AV139" i="5"/>
  <c r="H144" i="5"/>
  <c r="L141" i="4"/>
  <c r="M142" i="4"/>
  <c r="AL140" i="5"/>
  <c r="AX140" i="5"/>
  <c r="AU140" i="5"/>
  <c r="AW143" i="5"/>
  <c r="X143" i="5"/>
  <c r="AZ143" i="5"/>
  <c r="K143" i="5"/>
  <c r="G144" i="5" l="1"/>
  <c r="N141" i="4"/>
  <c r="I144" i="5" s="1"/>
  <c r="V143" i="5"/>
  <c r="AC143" i="5" s="1"/>
  <c r="AD143" i="5" s="1"/>
  <c r="J143" i="5"/>
  <c r="X144" i="5"/>
  <c r="AC144" i="5" s="1"/>
  <c r="AW144" i="5"/>
  <c r="K144" i="5"/>
  <c r="AZ144" i="5"/>
  <c r="AL141" i="5"/>
  <c r="AU141" i="5"/>
  <c r="AX141" i="5"/>
  <c r="AF142" i="5"/>
  <c r="AG142" i="5" s="1"/>
  <c r="AM142" i="5"/>
  <c r="AY140" i="5"/>
  <c r="AV140" i="5"/>
  <c r="H145" i="5"/>
  <c r="L142" i="4"/>
  <c r="M143" i="4"/>
  <c r="AD144" i="5" l="1"/>
  <c r="AM143" i="5"/>
  <c r="AZ145" i="5"/>
  <c r="AW145" i="5"/>
  <c r="K145" i="5"/>
  <c r="AV141" i="5"/>
  <c r="AY141" i="5"/>
  <c r="AJ143" i="5"/>
  <c r="AK143" i="5" s="1"/>
  <c r="AH143" i="5"/>
  <c r="AI143" i="5" s="1"/>
  <c r="H146" i="5"/>
  <c r="M144" i="4"/>
  <c r="L143" i="4"/>
  <c r="G145" i="5"/>
  <c r="N142" i="4"/>
  <c r="I145" i="5" s="1"/>
  <c r="J145" i="5" s="1"/>
  <c r="AL142" i="5"/>
  <c r="AU142" i="5"/>
  <c r="AX142" i="5"/>
  <c r="J144" i="5"/>
  <c r="AJ144" i="5" l="1"/>
  <c r="AI144" i="5"/>
  <c r="AH144" i="5"/>
  <c r="AK144" i="5"/>
  <c r="AW146" i="5"/>
  <c r="AZ146" i="5"/>
  <c r="K146" i="5"/>
  <c r="AV142" i="5"/>
  <c r="AY142" i="5"/>
  <c r="AK145" i="5"/>
  <c r="AJ145" i="5"/>
  <c r="AI145" i="5"/>
  <c r="AH145" i="5"/>
  <c r="G146" i="5"/>
  <c r="N143" i="4"/>
  <c r="I146" i="5" s="1"/>
  <c r="J146" i="5" s="1"/>
  <c r="AL143" i="5"/>
  <c r="AU143" i="5"/>
  <c r="AX143" i="5"/>
  <c r="H147" i="5"/>
  <c r="M145" i="4"/>
  <c r="L144" i="4"/>
  <c r="AF144" i="5"/>
  <c r="AG144" i="5" s="1"/>
  <c r="AM144" i="5"/>
  <c r="AD145" i="5"/>
  <c r="G147" i="5" l="1"/>
  <c r="N144" i="4"/>
  <c r="I147" i="5" s="1"/>
  <c r="J147" i="5" s="1"/>
  <c r="H148" i="5"/>
  <c r="L145" i="4"/>
  <c r="M146" i="4"/>
  <c r="AW147" i="5"/>
  <c r="AZ147" i="5"/>
  <c r="K147" i="5"/>
  <c r="AD146" i="5"/>
  <c r="AH146" i="5" s="1"/>
  <c r="AI146" i="5" s="1"/>
  <c r="AM145" i="5"/>
  <c r="AV143" i="5"/>
  <c r="AY143" i="5"/>
  <c r="AL144" i="5"/>
  <c r="AU144" i="5"/>
  <c r="AX144" i="5"/>
  <c r="AJ146" i="5" l="1"/>
  <c r="AK146" i="5" s="1"/>
  <c r="AD147" i="5"/>
  <c r="AM146" i="5"/>
  <c r="H149" i="5"/>
  <c r="L146" i="4"/>
  <c r="M147" i="4"/>
  <c r="AL145" i="5"/>
  <c r="AX145" i="5"/>
  <c r="AU145" i="5"/>
  <c r="G148" i="5"/>
  <c r="N145" i="4"/>
  <c r="I148" i="5" s="1"/>
  <c r="AW148" i="5"/>
  <c r="X148" i="5"/>
  <c r="AC148" i="5" s="1"/>
  <c r="K148" i="5"/>
  <c r="AZ148" i="5"/>
  <c r="AH147" i="5"/>
  <c r="AJ147" i="5"/>
  <c r="AI147" i="5"/>
  <c r="AK147" i="5"/>
  <c r="AV144" i="5"/>
  <c r="AY144" i="5"/>
  <c r="H150" i="5" l="1"/>
  <c r="M148" i="4"/>
  <c r="L147" i="4"/>
  <c r="G149" i="5"/>
  <c r="N146" i="4"/>
  <c r="I149" i="5" s="1"/>
  <c r="AY145" i="5"/>
  <c r="AV145" i="5"/>
  <c r="AZ149" i="5"/>
  <c r="AW149" i="5"/>
  <c r="K149" i="5"/>
  <c r="X149" i="5"/>
  <c r="J148" i="5"/>
  <c r="AL146" i="5"/>
  <c r="AX146" i="5"/>
  <c r="AU146" i="5"/>
  <c r="AD148" i="5"/>
  <c r="AM147" i="5"/>
  <c r="J149" i="5" l="1"/>
  <c r="V149" i="5"/>
  <c r="AC149" i="5" s="1"/>
  <c r="AM148" i="5"/>
  <c r="AD149" i="5"/>
  <c r="AF148" i="5"/>
  <c r="AG148" i="5" s="1"/>
  <c r="AH148" i="5"/>
  <c r="AK148" i="5"/>
  <c r="AJ148" i="5"/>
  <c r="AI148" i="5"/>
  <c r="G150" i="5"/>
  <c r="N147" i="4"/>
  <c r="I150" i="5" s="1"/>
  <c r="AL147" i="5"/>
  <c r="AX147" i="5"/>
  <c r="AU147" i="5"/>
  <c r="H151" i="5"/>
  <c r="M149" i="4"/>
  <c r="L148" i="4"/>
  <c r="AY146" i="5"/>
  <c r="AV146" i="5"/>
  <c r="X150" i="5"/>
  <c r="K150" i="5"/>
  <c r="AZ150" i="5"/>
  <c r="AW150" i="5"/>
  <c r="H152" i="5" l="1"/>
  <c r="L149" i="4"/>
  <c r="M150" i="4"/>
  <c r="AM149" i="5"/>
  <c r="V150" i="5"/>
  <c r="AC150" i="5" s="1"/>
  <c r="AD150" i="5" s="1"/>
  <c r="J150" i="5"/>
  <c r="AL148" i="5"/>
  <c r="AX148" i="5"/>
  <c r="AU148" i="5"/>
  <c r="X151" i="5"/>
  <c r="AC151" i="5" s="1"/>
  <c r="K151" i="5"/>
  <c r="AZ151" i="5"/>
  <c r="AW151" i="5"/>
  <c r="AY147" i="5"/>
  <c r="AV147" i="5"/>
  <c r="G151" i="5"/>
  <c r="N148" i="4"/>
  <c r="I151" i="5" s="1"/>
  <c r="J151" i="5" s="1"/>
  <c r="AH149" i="5"/>
  <c r="AI149" i="5" s="1"/>
  <c r="AJ149" i="5"/>
  <c r="AK149" i="5" s="1"/>
  <c r="AD151" i="5" l="1"/>
  <c r="AM150" i="5"/>
  <c r="AY148" i="5"/>
  <c r="AV148" i="5"/>
  <c r="AJ151" i="5"/>
  <c r="AI151" i="5"/>
  <c r="AK151" i="5"/>
  <c r="AH151" i="5"/>
  <c r="AJ150" i="5"/>
  <c r="AK150" i="5" s="1"/>
  <c r="AH150" i="5"/>
  <c r="AI150" i="5" s="1"/>
  <c r="H153" i="5"/>
  <c r="M151" i="4"/>
  <c r="L150" i="4"/>
  <c r="AL149" i="5"/>
  <c r="AU149" i="5"/>
  <c r="AX149" i="5"/>
  <c r="G152" i="5"/>
  <c r="N149" i="4"/>
  <c r="I152" i="5" s="1"/>
  <c r="AW152" i="5"/>
  <c r="X152" i="5"/>
  <c r="K152" i="5"/>
  <c r="AZ152" i="5"/>
  <c r="AL150" i="5" l="1"/>
  <c r="AX150" i="5"/>
  <c r="AU150" i="5"/>
  <c r="AF151" i="5"/>
  <c r="AG151" i="5" s="1"/>
  <c r="AM151" i="5"/>
  <c r="H154" i="5"/>
  <c r="M152" i="4"/>
  <c r="L151" i="4"/>
  <c r="AV149" i="5"/>
  <c r="AY149" i="5"/>
  <c r="G153" i="5"/>
  <c r="N150" i="4"/>
  <c r="I153" i="5" s="1"/>
  <c r="AW153" i="5"/>
  <c r="X153" i="5"/>
  <c r="AC153" i="5" s="1"/>
  <c r="K153" i="5"/>
  <c r="AZ153" i="5"/>
  <c r="V152" i="5"/>
  <c r="AC152" i="5" s="1"/>
  <c r="AD152" i="5" s="1"/>
  <c r="J152" i="5"/>
  <c r="AM152" i="5" l="1"/>
  <c r="AD153" i="5"/>
  <c r="H155" i="5"/>
  <c r="M153" i="4"/>
  <c r="L152" i="4"/>
  <c r="AH152" i="5"/>
  <c r="AI152" i="5" s="1"/>
  <c r="AJ152" i="5"/>
  <c r="AK152" i="5" s="1"/>
  <c r="AL151" i="5"/>
  <c r="AX151" i="5"/>
  <c r="AU151" i="5"/>
  <c r="K154" i="5"/>
  <c r="AZ154" i="5"/>
  <c r="AW154" i="5"/>
  <c r="J153" i="5"/>
  <c r="G154" i="5"/>
  <c r="N151" i="4"/>
  <c r="I154" i="5" s="1"/>
  <c r="J154" i="5" s="1"/>
  <c r="AY150" i="5"/>
  <c r="AV150" i="5"/>
  <c r="AJ154" i="5" l="1"/>
  <c r="AI154" i="5"/>
  <c r="AK154" i="5"/>
  <c r="AH154" i="5"/>
  <c r="G155" i="5"/>
  <c r="N152" i="4"/>
  <c r="I155" i="5" s="1"/>
  <c r="J155" i="5" s="1"/>
  <c r="H156" i="5"/>
  <c r="L153" i="4"/>
  <c r="M154" i="4"/>
  <c r="AZ155" i="5"/>
  <c r="K155" i="5"/>
  <c r="AW155" i="5"/>
  <c r="AI153" i="5"/>
  <c r="AH153" i="5"/>
  <c r="AK153" i="5"/>
  <c r="AJ153" i="5"/>
  <c r="AV151" i="5"/>
  <c r="AY151" i="5"/>
  <c r="AM153" i="5"/>
  <c r="AD154" i="5"/>
  <c r="AL152" i="5"/>
  <c r="AU152" i="5"/>
  <c r="AX152" i="5"/>
  <c r="AM154" i="5" l="1"/>
  <c r="AD155" i="5"/>
  <c r="G156" i="5"/>
  <c r="N153" i="4"/>
  <c r="I156" i="5" s="1"/>
  <c r="J156" i="5" s="1"/>
  <c r="AL153" i="5"/>
  <c r="AU153" i="5"/>
  <c r="AX153" i="5"/>
  <c r="AZ156" i="5"/>
  <c r="AW156" i="5"/>
  <c r="K156" i="5"/>
  <c r="AV152" i="5"/>
  <c r="AY152" i="5"/>
  <c r="H157" i="5"/>
  <c r="M155" i="4"/>
  <c r="L154" i="4"/>
  <c r="AD156" i="5" l="1"/>
  <c r="AJ156" i="5" s="1"/>
  <c r="AK156" i="5" s="1"/>
  <c r="AM155" i="5"/>
  <c r="G157" i="5"/>
  <c r="N154" i="4"/>
  <c r="I157" i="5" s="1"/>
  <c r="J157" i="5" s="1"/>
  <c r="H158" i="5"/>
  <c r="M156" i="4"/>
  <c r="L155" i="4"/>
  <c r="AZ157" i="5"/>
  <c r="AW157" i="5"/>
  <c r="K157" i="5"/>
  <c r="AL154" i="5"/>
  <c r="AX154" i="5"/>
  <c r="AU154" i="5"/>
  <c r="AH155" i="5"/>
  <c r="AI155" i="5" s="1"/>
  <c r="AJ155" i="5"/>
  <c r="AK155" i="5" s="1"/>
  <c r="AY153" i="5"/>
  <c r="AV153" i="5"/>
  <c r="AH156" i="5" l="1"/>
  <c r="AI156" i="5" s="1"/>
  <c r="AV154" i="5"/>
  <c r="AY154" i="5"/>
  <c r="G158" i="5"/>
  <c r="N155" i="4"/>
  <c r="I158" i="5" s="1"/>
  <c r="H159" i="5"/>
  <c r="M157" i="4"/>
  <c r="L156" i="4"/>
  <c r="AL155" i="5"/>
  <c r="AU155" i="5"/>
  <c r="AX155" i="5"/>
  <c r="AK157" i="5"/>
  <c r="AJ157" i="5"/>
  <c r="AH157" i="5"/>
  <c r="AI157" i="5"/>
  <c r="AW158" i="5"/>
  <c r="X158" i="5"/>
  <c r="AZ158" i="5"/>
  <c r="K158" i="5"/>
  <c r="AD157" i="5"/>
  <c r="AM156" i="5"/>
  <c r="AL156" i="5" l="1"/>
  <c r="AX156" i="5"/>
  <c r="AU156" i="5"/>
  <c r="AY155" i="5"/>
  <c r="AV155" i="5"/>
  <c r="AM157" i="5"/>
  <c r="G159" i="5"/>
  <c r="N156" i="4"/>
  <c r="I159" i="5" s="1"/>
  <c r="J158" i="5"/>
  <c r="V158" i="5"/>
  <c r="AC158" i="5" s="1"/>
  <c r="AD158" i="5" s="1"/>
  <c r="H160" i="5"/>
  <c r="L157" i="4"/>
  <c r="M158" i="4"/>
  <c r="AZ159" i="5"/>
  <c r="AW159" i="5"/>
  <c r="K159" i="5"/>
  <c r="X159" i="5"/>
  <c r="AM158" i="5" l="1"/>
  <c r="K160" i="5"/>
  <c r="AZ160" i="5"/>
  <c r="AW160" i="5"/>
  <c r="X160" i="5"/>
  <c r="AL157" i="5"/>
  <c r="AX157" i="5"/>
  <c r="AU157" i="5"/>
  <c r="H161" i="5"/>
  <c r="M159" i="4"/>
  <c r="L158" i="4"/>
  <c r="G160" i="5"/>
  <c r="N157" i="4"/>
  <c r="I160" i="5" s="1"/>
  <c r="AJ158" i="5"/>
  <c r="AK158" i="5" s="1"/>
  <c r="AH158" i="5"/>
  <c r="AI158" i="5" s="1"/>
  <c r="J159" i="5"/>
  <c r="V159" i="5"/>
  <c r="AC159" i="5" s="1"/>
  <c r="AD159" i="5" s="1"/>
  <c r="AY156" i="5"/>
  <c r="AV156" i="5"/>
  <c r="AD160" i="5" l="1"/>
  <c r="AM159" i="5"/>
  <c r="AJ159" i="5"/>
  <c r="AK159" i="5" s="1"/>
  <c r="AH159" i="5"/>
  <c r="AI159" i="5" s="1"/>
  <c r="AZ161" i="5"/>
  <c r="AW161" i="5"/>
  <c r="X161" i="5"/>
  <c r="K161" i="5"/>
  <c r="H162" i="5"/>
  <c r="M160" i="4"/>
  <c r="L159" i="4"/>
  <c r="AV157" i="5"/>
  <c r="AY157" i="5"/>
  <c r="J160" i="5"/>
  <c r="V160" i="5"/>
  <c r="AC160" i="5" s="1"/>
  <c r="AL158" i="5"/>
  <c r="AX158" i="5"/>
  <c r="AU158" i="5"/>
  <c r="G161" i="5"/>
  <c r="N158" i="4"/>
  <c r="I161" i="5" s="1"/>
  <c r="AV158" i="5" l="1"/>
  <c r="AY158" i="5"/>
  <c r="G162" i="5"/>
  <c r="N159" i="4"/>
  <c r="I162" i="5" s="1"/>
  <c r="AW162" i="5"/>
  <c r="X162" i="5"/>
  <c r="K162" i="5"/>
  <c r="AZ162" i="5"/>
  <c r="H163" i="5"/>
  <c r="M161" i="4"/>
  <c r="L160" i="4"/>
  <c r="AJ160" i="5"/>
  <c r="AK160" i="5" s="1"/>
  <c r="AH160" i="5"/>
  <c r="AI160" i="5" s="1"/>
  <c r="J161" i="5"/>
  <c r="V161" i="5"/>
  <c r="AC161" i="5" s="1"/>
  <c r="AD161" i="5" s="1"/>
  <c r="AL159" i="5"/>
  <c r="AU159" i="5"/>
  <c r="AX159" i="5"/>
  <c r="AM160" i="5"/>
  <c r="AM161" i="5" l="1"/>
  <c r="G163" i="5"/>
  <c r="N160" i="4"/>
  <c r="I163" i="5" s="1"/>
  <c r="H164" i="5"/>
  <c r="L161" i="4"/>
  <c r="M162" i="4"/>
  <c r="AW163" i="5"/>
  <c r="X163" i="5"/>
  <c r="K163" i="5"/>
  <c r="AZ163" i="5"/>
  <c r="V162" i="5"/>
  <c r="AC162" i="5" s="1"/>
  <c r="AD162" i="5" s="1"/>
  <c r="J162" i="5"/>
  <c r="AY159" i="5"/>
  <c r="AV159" i="5"/>
  <c r="AJ161" i="5"/>
  <c r="AK161" i="5" s="1"/>
  <c r="AH161" i="5"/>
  <c r="AI161" i="5" s="1"/>
  <c r="AL160" i="5"/>
  <c r="AX160" i="5"/>
  <c r="AU160" i="5"/>
  <c r="AM162" i="5" l="1"/>
  <c r="AV160" i="5"/>
  <c r="AY160" i="5"/>
  <c r="H165" i="5"/>
  <c r="M163" i="4"/>
  <c r="L162" i="4"/>
  <c r="G164" i="5"/>
  <c r="N161" i="4"/>
  <c r="I164" i="5" s="1"/>
  <c r="AW164" i="5"/>
  <c r="X164" i="5"/>
  <c r="K164" i="5"/>
  <c r="AZ164" i="5"/>
  <c r="V163" i="5"/>
  <c r="AC163" i="5" s="1"/>
  <c r="AD163" i="5" s="1"/>
  <c r="J163" i="5"/>
  <c r="AJ162" i="5"/>
  <c r="AK162" i="5" s="1"/>
  <c r="AH162" i="5"/>
  <c r="AI162" i="5" s="1"/>
  <c r="AL161" i="5"/>
  <c r="AX161" i="5"/>
  <c r="AU161" i="5"/>
  <c r="AM163" i="5" l="1"/>
  <c r="AV161" i="5"/>
  <c r="AY161" i="5"/>
  <c r="H166" i="5"/>
  <c r="M164" i="4"/>
  <c r="L163" i="4"/>
  <c r="G165" i="5"/>
  <c r="N162" i="4"/>
  <c r="I165" i="5" s="1"/>
  <c r="AZ165" i="5"/>
  <c r="AW165" i="5"/>
  <c r="X165" i="5"/>
  <c r="K165" i="5"/>
  <c r="AH163" i="5"/>
  <c r="AI163" i="5" s="1"/>
  <c r="AJ163" i="5"/>
  <c r="AK163" i="5" s="1"/>
  <c r="V164" i="5"/>
  <c r="AC164" i="5" s="1"/>
  <c r="AD164" i="5" s="1"/>
  <c r="J164" i="5"/>
  <c r="AL162" i="5"/>
  <c r="AU162" i="5"/>
  <c r="AX162" i="5"/>
  <c r="AM164" i="5" l="1"/>
  <c r="AH164" i="5"/>
  <c r="AI164" i="5" s="1"/>
  <c r="AJ164" i="5"/>
  <c r="AK164" i="5" s="1"/>
  <c r="AV162" i="5"/>
  <c r="AY162" i="5"/>
  <c r="G166" i="5"/>
  <c r="N163" i="4"/>
  <c r="I166" i="5" s="1"/>
  <c r="H167" i="5"/>
  <c r="M165" i="4"/>
  <c r="L164" i="4"/>
  <c r="K166" i="5"/>
  <c r="AZ166" i="5"/>
  <c r="X166" i="5"/>
  <c r="AW166" i="5"/>
  <c r="AL163" i="5"/>
  <c r="AU163" i="5"/>
  <c r="AX163" i="5"/>
  <c r="V165" i="5"/>
  <c r="AC165" i="5" s="1"/>
  <c r="AD165" i="5" s="1"/>
  <c r="J165" i="5"/>
  <c r="AM165" i="5" l="1"/>
  <c r="G167" i="5"/>
  <c r="N164" i="4"/>
  <c r="I167" i="5" s="1"/>
  <c r="AV163" i="5"/>
  <c r="AY163" i="5"/>
  <c r="K167" i="5"/>
  <c r="AZ167" i="5"/>
  <c r="AW167" i="5"/>
  <c r="X167" i="5"/>
  <c r="H168" i="5"/>
  <c r="L165" i="4"/>
  <c r="M166" i="4"/>
  <c r="AH165" i="5"/>
  <c r="AI165" i="5" s="1"/>
  <c r="AJ165" i="5"/>
  <c r="AK165" i="5" s="1"/>
  <c r="V166" i="5"/>
  <c r="AC166" i="5" s="1"/>
  <c r="AD166" i="5" s="1"/>
  <c r="J166" i="5"/>
  <c r="AL164" i="5"/>
  <c r="AU164" i="5"/>
  <c r="AX164" i="5"/>
  <c r="AM166" i="5" l="1"/>
  <c r="K168" i="5"/>
  <c r="AZ168" i="5"/>
  <c r="AW168" i="5"/>
  <c r="X168" i="5"/>
  <c r="J167" i="5"/>
  <c r="V167" i="5"/>
  <c r="AC167" i="5" s="1"/>
  <c r="AD167" i="5" s="1"/>
  <c r="G168" i="5"/>
  <c r="N165" i="4"/>
  <c r="I168" i="5" s="1"/>
  <c r="AJ166" i="5"/>
  <c r="AK166" i="5" s="1"/>
  <c r="AH166" i="5"/>
  <c r="AI166" i="5" s="1"/>
  <c r="AL165" i="5"/>
  <c r="AU165" i="5"/>
  <c r="AX165" i="5"/>
  <c r="AV164" i="5"/>
  <c r="AY164" i="5"/>
  <c r="H169" i="5"/>
  <c r="M167" i="4"/>
  <c r="L166" i="4"/>
  <c r="AM167" i="5" l="1"/>
  <c r="AZ169" i="5"/>
  <c r="K169" i="5"/>
  <c r="AW169" i="5"/>
  <c r="X169" i="5"/>
  <c r="AV165" i="5"/>
  <c r="AY165" i="5"/>
  <c r="AH167" i="5"/>
  <c r="AI167" i="5" s="1"/>
  <c r="AJ167" i="5"/>
  <c r="AK167" i="5" s="1"/>
  <c r="J168" i="5"/>
  <c r="V168" i="5"/>
  <c r="AC168" i="5" s="1"/>
  <c r="AD168" i="5" s="1"/>
  <c r="G169" i="5"/>
  <c r="N166" i="4"/>
  <c r="I169" i="5" s="1"/>
  <c r="AL166" i="5"/>
  <c r="AX166" i="5"/>
  <c r="AU166" i="5"/>
  <c r="H170" i="5"/>
  <c r="M168" i="4"/>
  <c r="L167" i="4"/>
  <c r="AM168" i="5" l="1"/>
  <c r="J169" i="5"/>
  <c r="V169" i="5"/>
  <c r="AC169" i="5" s="1"/>
  <c r="AD169" i="5" s="1"/>
  <c r="G170" i="5"/>
  <c r="N167" i="4"/>
  <c r="I170" i="5" s="1"/>
  <c r="AL167" i="5"/>
  <c r="AX167" i="5"/>
  <c r="AU167" i="5"/>
  <c r="AW170" i="5"/>
  <c r="X170" i="5"/>
  <c r="AZ170" i="5"/>
  <c r="K170" i="5"/>
  <c r="AV166" i="5"/>
  <c r="AY166" i="5"/>
  <c r="H171" i="5"/>
  <c r="M169" i="4"/>
  <c r="L168" i="4"/>
  <c r="AJ168" i="5"/>
  <c r="AK168" i="5" s="1"/>
  <c r="AH168" i="5"/>
  <c r="AI168" i="5" s="1"/>
  <c r="AM169" i="5" l="1"/>
  <c r="AV167" i="5"/>
  <c r="AY167" i="5"/>
  <c r="G171" i="5"/>
  <c r="N168" i="4"/>
  <c r="I171" i="5" s="1"/>
  <c r="J170" i="5"/>
  <c r="V170" i="5"/>
  <c r="AC170" i="5" s="1"/>
  <c r="AD170" i="5" s="1"/>
  <c r="H172" i="5"/>
  <c r="L169" i="4"/>
  <c r="M170" i="4"/>
  <c r="AJ169" i="5"/>
  <c r="AK169" i="5" s="1"/>
  <c r="AH169" i="5"/>
  <c r="AI169" i="5" s="1"/>
  <c r="AZ171" i="5"/>
  <c r="AW171" i="5"/>
  <c r="K171" i="5"/>
  <c r="X171" i="5"/>
  <c r="AL168" i="5"/>
  <c r="AX168" i="5"/>
  <c r="AU168" i="5"/>
  <c r="AM170" i="5" l="1"/>
  <c r="AD171" i="5"/>
  <c r="AJ170" i="5"/>
  <c r="AK170" i="5" s="1"/>
  <c r="AH170" i="5"/>
  <c r="AI170" i="5" s="1"/>
  <c r="AV168" i="5"/>
  <c r="AY168" i="5"/>
  <c r="V171" i="5"/>
  <c r="AC171" i="5" s="1"/>
  <c r="J171" i="5"/>
  <c r="H173" i="5"/>
  <c r="L170" i="4"/>
  <c r="M171" i="4"/>
  <c r="G172" i="5"/>
  <c r="N169" i="4"/>
  <c r="I172" i="5" s="1"/>
  <c r="AL169" i="5"/>
  <c r="AX169" i="5"/>
  <c r="AU169" i="5"/>
  <c r="AZ172" i="5"/>
  <c r="AW172" i="5"/>
  <c r="X172" i="5"/>
  <c r="AC172" i="5" s="1"/>
  <c r="K172" i="5"/>
  <c r="J172" i="5" l="1"/>
  <c r="G173" i="5"/>
  <c r="N170" i="4"/>
  <c r="I173" i="5" s="1"/>
  <c r="AZ173" i="5"/>
  <c r="AW173" i="5"/>
  <c r="K173" i="5"/>
  <c r="X173" i="5"/>
  <c r="H174" i="5"/>
  <c r="M172" i="4"/>
  <c r="L171" i="4"/>
  <c r="AJ171" i="5"/>
  <c r="AK171" i="5" s="1"/>
  <c r="AH171" i="5"/>
  <c r="AI171" i="5" s="1"/>
  <c r="AD172" i="5"/>
  <c r="AM171" i="5"/>
  <c r="AV169" i="5"/>
  <c r="AY169" i="5"/>
  <c r="AL170" i="5"/>
  <c r="AX170" i="5"/>
  <c r="AU170" i="5"/>
  <c r="AY170" i="5" l="1"/>
  <c r="AV170" i="5"/>
  <c r="G174" i="5"/>
  <c r="N171" i="4"/>
  <c r="I174" i="5" s="1"/>
  <c r="H175" i="5"/>
  <c r="M173" i="4"/>
  <c r="L172" i="4"/>
  <c r="AL171" i="5"/>
  <c r="AX171" i="5"/>
  <c r="AU171" i="5"/>
  <c r="AW174" i="5"/>
  <c r="X174" i="5"/>
  <c r="AZ174" i="5"/>
  <c r="K174" i="5"/>
  <c r="AM172" i="5"/>
  <c r="J173" i="5"/>
  <c r="V173" i="5"/>
  <c r="AC173" i="5" s="1"/>
  <c r="AD173" i="5" s="1"/>
  <c r="AK172" i="5"/>
  <c r="AJ172" i="5"/>
  <c r="AH172" i="5"/>
  <c r="AI172" i="5"/>
  <c r="AM173" i="5" l="1"/>
  <c r="H176" i="5"/>
  <c r="L173" i="4"/>
  <c r="M174" i="4"/>
  <c r="AW175" i="5"/>
  <c r="X175" i="5"/>
  <c r="K175" i="5"/>
  <c r="AZ175" i="5"/>
  <c r="AY171" i="5"/>
  <c r="AV171" i="5"/>
  <c r="G175" i="5"/>
  <c r="N172" i="4"/>
  <c r="I175" i="5" s="1"/>
  <c r="AL172" i="5"/>
  <c r="AU172" i="5"/>
  <c r="AX172" i="5"/>
  <c r="AJ173" i="5"/>
  <c r="AK173" i="5" s="1"/>
  <c r="AH173" i="5"/>
  <c r="AI173" i="5" s="1"/>
  <c r="J174" i="5"/>
  <c r="V174" i="5"/>
  <c r="AC174" i="5" s="1"/>
  <c r="AD174" i="5" s="1"/>
  <c r="AM174" i="5" l="1"/>
  <c r="H177" i="5"/>
  <c r="M175" i="4"/>
  <c r="L174" i="4"/>
  <c r="AW176" i="5"/>
  <c r="K176" i="5"/>
  <c r="AZ176" i="5"/>
  <c r="AY172" i="5"/>
  <c r="AV172" i="5"/>
  <c r="AL173" i="5"/>
  <c r="AX173" i="5"/>
  <c r="AU173" i="5"/>
  <c r="G176" i="5"/>
  <c r="N173" i="4"/>
  <c r="I176" i="5" s="1"/>
  <c r="J176" i="5" s="1"/>
  <c r="AJ174" i="5"/>
  <c r="AK174" i="5" s="1"/>
  <c r="AH174" i="5"/>
  <c r="AI174" i="5" s="1"/>
  <c r="V175" i="5"/>
  <c r="AC175" i="5" s="1"/>
  <c r="AD175" i="5" s="1"/>
  <c r="J175" i="5"/>
  <c r="AM175" i="5" l="1"/>
  <c r="AD176" i="5"/>
  <c r="AY173" i="5"/>
  <c r="AV173" i="5"/>
  <c r="G177" i="5"/>
  <c r="N174" i="4"/>
  <c r="I177" i="5" s="1"/>
  <c r="J177" i="5" s="1"/>
  <c r="H178" i="5"/>
  <c r="M176" i="4"/>
  <c r="L175" i="4"/>
  <c r="AW177" i="5"/>
  <c r="K177" i="5"/>
  <c r="AZ177" i="5"/>
  <c r="AJ176" i="5"/>
  <c r="AI176" i="5"/>
  <c r="AH176" i="5"/>
  <c r="AK176" i="5"/>
  <c r="AL174" i="5"/>
  <c r="AX174" i="5"/>
  <c r="AU174" i="5"/>
  <c r="AH175" i="5"/>
  <c r="AI175" i="5" s="1"/>
  <c r="AJ175" i="5"/>
  <c r="AK175" i="5" s="1"/>
  <c r="AW178" i="5" l="1"/>
  <c r="X178" i="5"/>
  <c r="K178" i="5"/>
  <c r="AZ178" i="5"/>
  <c r="AJ177" i="5"/>
  <c r="AI177" i="5"/>
  <c r="AH177" i="5"/>
  <c r="AK177" i="5"/>
  <c r="AY174" i="5"/>
  <c r="AV174" i="5"/>
  <c r="AM176" i="5"/>
  <c r="AD177" i="5"/>
  <c r="H179" i="5"/>
  <c r="M177" i="4"/>
  <c r="L176" i="4"/>
  <c r="G178" i="5"/>
  <c r="N175" i="4"/>
  <c r="I178" i="5" s="1"/>
  <c r="AL175" i="5"/>
  <c r="AU175" i="5"/>
  <c r="AX175" i="5"/>
  <c r="AM177" i="5" l="1"/>
  <c r="AL176" i="5"/>
  <c r="AU176" i="5"/>
  <c r="AX176" i="5"/>
  <c r="AV175" i="5"/>
  <c r="AY175" i="5"/>
  <c r="V178" i="5"/>
  <c r="AC178" i="5" s="1"/>
  <c r="AD178" i="5" s="1"/>
  <c r="J178" i="5"/>
  <c r="G179" i="5"/>
  <c r="N176" i="4"/>
  <c r="I179" i="5" s="1"/>
  <c r="H180" i="5"/>
  <c r="L177" i="4"/>
  <c r="M178" i="4"/>
  <c r="AW179" i="5"/>
  <c r="K179" i="5"/>
  <c r="AZ179" i="5"/>
  <c r="AM178" i="5" l="1"/>
  <c r="AD179" i="5"/>
  <c r="H181" i="5"/>
  <c r="M179" i="4"/>
  <c r="L178" i="4"/>
  <c r="G180" i="5"/>
  <c r="N177" i="4"/>
  <c r="I180" i="5" s="1"/>
  <c r="J180" i="5" s="1"/>
  <c r="AW180" i="5"/>
  <c r="K180" i="5"/>
  <c r="AZ180" i="5"/>
  <c r="J179" i="5"/>
  <c r="AV176" i="5"/>
  <c r="AY176" i="5"/>
  <c r="AL177" i="5"/>
  <c r="AX177" i="5"/>
  <c r="AU177" i="5"/>
  <c r="AH178" i="5"/>
  <c r="AI178" i="5" s="1"/>
  <c r="AJ178" i="5"/>
  <c r="AK178" i="5" s="1"/>
  <c r="AJ179" i="5" l="1"/>
  <c r="AI179" i="5"/>
  <c r="AH179" i="5"/>
  <c r="AK179" i="5"/>
  <c r="AJ180" i="5"/>
  <c r="AI180" i="5"/>
  <c r="AH180" i="5"/>
  <c r="AK180" i="5"/>
  <c r="G181" i="5"/>
  <c r="N178" i="4"/>
  <c r="I181" i="5" s="1"/>
  <c r="J181" i="5" s="1"/>
  <c r="X181" i="5"/>
  <c r="AC181" i="5" s="1"/>
  <c r="AW181" i="5"/>
  <c r="K181" i="5"/>
  <c r="AZ181" i="5"/>
  <c r="AY177" i="5"/>
  <c r="AV177" i="5"/>
  <c r="AM179" i="5"/>
  <c r="AD180" i="5"/>
  <c r="H182" i="5"/>
  <c r="M180" i="4"/>
  <c r="L179" i="4"/>
  <c r="AL178" i="5"/>
  <c r="AX178" i="5"/>
  <c r="AU178" i="5"/>
  <c r="H183" i="5" l="1"/>
  <c r="M181" i="4"/>
  <c r="L180" i="4"/>
  <c r="AD181" i="5"/>
  <c r="AM180" i="5"/>
  <c r="G182" i="5"/>
  <c r="N179" i="4"/>
  <c r="I182" i="5" s="1"/>
  <c r="X182" i="5"/>
  <c r="AW182" i="5"/>
  <c r="K182" i="5"/>
  <c r="AZ182" i="5"/>
  <c r="AL179" i="5"/>
  <c r="AU179" i="5"/>
  <c r="AX179" i="5"/>
  <c r="AV178" i="5"/>
  <c r="AY178" i="5"/>
  <c r="AJ181" i="5"/>
  <c r="AI181" i="5"/>
  <c r="AH181" i="5"/>
  <c r="AK181" i="5"/>
  <c r="AV179" i="5" l="1"/>
  <c r="AY179" i="5"/>
  <c r="J182" i="5"/>
  <c r="V182" i="5"/>
  <c r="AC182" i="5" s="1"/>
  <c r="AD182" i="5" s="1"/>
  <c r="AL180" i="5"/>
  <c r="AX180" i="5"/>
  <c r="AU180" i="5"/>
  <c r="H184" i="5"/>
  <c r="L181" i="4"/>
  <c r="M182" i="4"/>
  <c r="AF181" i="5"/>
  <c r="AG181" i="5" s="1"/>
  <c r="AM181" i="5"/>
  <c r="G183" i="5"/>
  <c r="N180" i="4"/>
  <c r="I183" i="5" s="1"/>
  <c r="J183" i="5" s="1"/>
  <c r="K183" i="5"/>
  <c r="X183" i="5"/>
  <c r="AC183" i="5" s="1"/>
  <c r="AZ183" i="5"/>
  <c r="AW183" i="5"/>
  <c r="AD183" i="5" l="1"/>
  <c r="AM182" i="5"/>
  <c r="AV180" i="5"/>
  <c r="AY180" i="5"/>
  <c r="AJ182" i="5"/>
  <c r="AK182" i="5" s="1"/>
  <c r="AH182" i="5"/>
  <c r="AI182" i="5" s="1"/>
  <c r="K184" i="5"/>
  <c r="AZ184" i="5"/>
  <c r="AW184" i="5"/>
  <c r="AJ183" i="5"/>
  <c r="AI183" i="5"/>
  <c r="AH183" i="5"/>
  <c r="AK183" i="5"/>
  <c r="AL181" i="5"/>
  <c r="AU181" i="5"/>
  <c r="AX181" i="5"/>
  <c r="H185" i="5"/>
  <c r="M183" i="4"/>
  <c r="L182" i="4"/>
  <c r="G184" i="5"/>
  <c r="N181" i="4"/>
  <c r="I184" i="5" s="1"/>
  <c r="J184" i="5" s="1"/>
  <c r="AW185" i="5" l="1"/>
  <c r="K185" i="5"/>
  <c r="AZ185" i="5"/>
  <c r="AK184" i="5"/>
  <c r="AH184" i="5"/>
  <c r="AJ184" i="5"/>
  <c r="AI184" i="5"/>
  <c r="H186" i="5"/>
  <c r="M184" i="4"/>
  <c r="L183" i="4"/>
  <c r="AV181" i="5"/>
  <c r="AY181" i="5"/>
  <c r="AL182" i="5"/>
  <c r="AX182" i="5"/>
  <c r="AU182" i="5"/>
  <c r="G185" i="5"/>
  <c r="N182" i="4"/>
  <c r="I185" i="5" s="1"/>
  <c r="J185" i="5" s="1"/>
  <c r="AM183" i="5"/>
  <c r="AD184" i="5"/>
  <c r="AF183" i="5"/>
  <c r="AG183" i="5" s="1"/>
  <c r="AL183" i="5" l="1"/>
  <c r="AU183" i="5"/>
  <c r="AX183" i="5"/>
  <c r="H187" i="5"/>
  <c r="M185" i="4"/>
  <c r="L184" i="4"/>
  <c r="AD185" i="5"/>
  <c r="AH185" i="5" s="1"/>
  <c r="AI185" i="5" s="1"/>
  <c r="AM184" i="5"/>
  <c r="G186" i="5"/>
  <c r="N183" i="4"/>
  <c r="I186" i="5" s="1"/>
  <c r="J186" i="5" s="1"/>
  <c r="AZ186" i="5"/>
  <c r="AW186" i="5"/>
  <c r="K186" i="5"/>
  <c r="AV182" i="5"/>
  <c r="AY182" i="5"/>
  <c r="AJ185" i="5" l="1"/>
  <c r="AK185" i="5" s="1"/>
  <c r="G187" i="5"/>
  <c r="N184" i="4"/>
  <c r="I187" i="5" s="1"/>
  <c r="J187" i="5" s="1"/>
  <c r="AM185" i="5"/>
  <c r="AD186" i="5"/>
  <c r="AJ186" i="5" s="1"/>
  <c r="AK186" i="5" s="1"/>
  <c r="H188" i="5"/>
  <c r="L185" i="4"/>
  <c r="M186" i="4"/>
  <c r="AL184" i="5"/>
  <c r="AU184" i="5"/>
  <c r="AX184" i="5"/>
  <c r="AZ187" i="5"/>
  <c r="AW187" i="5"/>
  <c r="K187" i="5"/>
  <c r="AY183" i="5"/>
  <c r="AV183" i="5"/>
  <c r="AH186" i="5" l="1"/>
  <c r="AI186" i="5" s="1"/>
  <c r="AY184" i="5"/>
  <c r="AV184" i="5"/>
  <c r="G188" i="5"/>
  <c r="N185" i="4"/>
  <c r="I188" i="5" s="1"/>
  <c r="AW188" i="5"/>
  <c r="X188" i="5"/>
  <c r="K188" i="5"/>
  <c r="AZ188" i="5"/>
  <c r="AD187" i="5"/>
  <c r="AM186" i="5"/>
  <c r="H189" i="5"/>
  <c r="M187" i="4"/>
  <c r="L186" i="4"/>
  <c r="AL185" i="5"/>
  <c r="AU185" i="5"/>
  <c r="AX185" i="5"/>
  <c r="AK187" i="5"/>
  <c r="AJ187" i="5"/>
  <c r="AH187" i="5"/>
  <c r="AI187" i="5"/>
  <c r="AZ189" i="5" l="1"/>
  <c r="X189" i="5"/>
  <c r="AC189" i="5" s="1"/>
  <c r="AW189" i="5"/>
  <c r="K189" i="5"/>
  <c r="AL186" i="5"/>
  <c r="AU186" i="5"/>
  <c r="AX186" i="5"/>
  <c r="H190" i="5"/>
  <c r="M188" i="4"/>
  <c r="L187" i="4"/>
  <c r="AM187" i="5"/>
  <c r="J188" i="5"/>
  <c r="V188" i="5"/>
  <c r="AC188" i="5" s="1"/>
  <c r="AD188" i="5" s="1"/>
  <c r="AY185" i="5"/>
  <c r="AV185" i="5"/>
  <c r="G189" i="5"/>
  <c r="N186" i="4"/>
  <c r="I189" i="5" s="1"/>
  <c r="J189" i="5" s="1"/>
  <c r="AM188" i="5" l="1"/>
  <c r="AD189" i="5"/>
  <c r="AZ190" i="5"/>
  <c r="X190" i="5"/>
  <c r="AC190" i="5" s="1"/>
  <c r="AW190" i="5"/>
  <c r="K190" i="5"/>
  <c r="AL187" i="5"/>
  <c r="AU187" i="5"/>
  <c r="AX187" i="5"/>
  <c r="AK189" i="5"/>
  <c r="AI189" i="5"/>
  <c r="AH189" i="5"/>
  <c r="AJ189" i="5"/>
  <c r="G190" i="5"/>
  <c r="N187" i="4"/>
  <c r="I190" i="5" s="1"/>
  <c r="J190" i="5" s="1"/>
  <c r="AH188" i="5"/>
  <c r="AI188" i="5" s="1"/>
  <c r="AJ188" i="5"/>
  <c r="AK188" i="5" s="1"/>
  <c r="AY186" i="5"/>
  <c r="AV186" i="5"/>
  <c r="H191" i="5"/>
  <c r="M189" i="4"/>
  <c r="L188" i="4"/>
  <c r="G191" i="5" l="1"/>
  <c r="N188" i="4"/>
  <c r="I191" i="5" s="1"/>
  <c r="J191" i="5" s="1"/>
  <c r="AK190" i="5"/>
  <c r="AI190" i="5"/>
  <c r="AH190" i="5"/>
  <c r="AJ190" i="5"/>
  <c r="AY187" i="5"/>
  <c r="AV187" i="5"/>
  <c r="AZ191" i="5"/>
  <c r="X191" i="5"/>
  <c r="AC191" i="5" s="1"/>
  <c r="AW191" i="5"/>
  <c r="K191" i="5"/>
  <c r="AM189" i="5"/>
  <c r="AD190" i="5"/>
  <c r="H192" i="5"/>
  <c r="L189" i="4"/>
  <c r="M190" i="4"/>
  <c r="AL188" i="5"/>
  <c r="AU188" i="5"/>
  <c r="AX188" i="5"/>
  <c r="AL189" i="5" l="1"/>
  <c r="AX189" i="5"/>
  <c r="AU189" i="5"/>
  <c r="AW192" i="5"/>
  <c r="K192" i="5"/>
  <c r="AZ192" i="5"/>
  <c r="AY188" i="5"/>
  <c r="AV188" i="5"/>
  <c r="H193" i="5"/>
  <c r="M191" i="4"/>
  <c r="L190" i="4"/>
  <c r="G192" i="5"/>
  <c r="N189" i="4"/>
  <c r="I192" i="5" s="1"/>
  <c r="AM190" i="5"/>
  <c r="AD191" i="5"/>
  <c r="AF190" i="5"/>
  <c r="AG190" i="5" s="1"/>
  <c r="AK191" i="5"/>
  <c r="AI191" i="5"/>
  <c r="AH191" i="5"/>
  <c r="AJ191" i="5"/>
  <c r="G193" i="5" l="1"/>
  <c r="N190" i="4"/>
  <c r="I193" i="5" s="1"/>
  <c r="J193" i="5" s="1"/>
  <c r="AZ193" i="5"/>
  <c r="AW193" i="5"/>
  <c r="K193" i="5"/>
  <c r="H194" i="5"/>
  <c r="M192" i="4"/>
  <c r="L191" i="4"/>
  <c r="AD192" i="5"/>
  <c r="AM191" i="5"/>
  <c r="AF191" i="5"/>
  <c r="AG191" i="5" s="1"/>
  <c r="AL190" i="5"/>
  <c r="AU190" i="5"/>
  <c r="AX190" i="5"/>
  <c r="J192" i="5"/>
  <c r="AY189" i="5"/>
  <c r="AV189" i="5"/>
  <c r="AV190" i="5" l="1"/>
  <c r="AY190" i="5"/>
  <c r="AL191" i="5"/>
  <c r="AX191" i="5"/>
  <c r="AU191" i="5"/>
  <c r="AM192" i="5"/>
  <c r="AD193" i="5"/>
  <c r="G194" i="5"/>
  <c r="N191" i="4"/>
  <c r="I194" i="5" s="1"/>
  <c r="AZ194" i="5"/>
  <c r="AW194" i="5"/>
  <c r="K194" i="5"/>
  <c r="X194" i="5"/>
  <c r="AC194" i="5" s="1"/>
  <c r="AK193" i="5"/>
  <c r="AJ193" i="5"/>
  <c r="AH193" i="5"/>
  <c r="AI193" i="5"/>
  <c r="AH192" i="5"/>
  <c r="AJ192" i="5"/>
  <c r="AI192" i="5"/>
  <c r="AK192" i="5"/>
  <c r="H195" i="5"/>
  <c r="M193" i="4"/>
  <c r="L192" i="4"/>
  <c r="AD194" i="5" l="1"/>
  <c r="AM193" i="5"/>
  <c r="AL192" i="5"/>
  <c r="AU192" i="5"/>
  <c r="AX192" i="5"/>
  <c r="G195" i="5"/>
  <c r="N192" i="4"/>
  <c r="I195" i="5" s="1"/>
  <c r="J195" i="5" s="1"/>
  <c r="H196" i="5"/>
  <c r="L193" i="4"/>
  <c r="M194" i="4"/>
  <c r="AY191" i="5"/>
  <c r="AV191" i="5"/>
  <c r="AZ195" i="5"/>
  <c r="AW195" i="5"/>
  <c r="K195" i="5"/>
  <c r="X195" i="5"/>
  <c r="AC195" i="5" s="1"/>
  <c r="J194" i="5"/>
  <c r="AZ196" i="5" l="1"/>
  <c r="AW196" i="5"/>
  <c r="K196" i="5"/>
  <c r="X196" i="5"/>
  <c r="AC196" i="5" s="1"/>
  <c r="AK194" i="5"/>
  <c r="AJ194" i="5"/>
  <c r="AH194" i="5"/>
  <c r="AI194" i="5"/>
  <c r="AK195" i="5"/>
  <c r="AJ195" i="5"/>
  <c r="AH195" i="5"/>
  <c r="AI195" i="5"/>
  <c r="AY192" i="5"/>
  <c r="AV192" i="5"/>
  <c r="H197" i="5"/>
  <c r="M195" i="4"/>
  <c r="L194" i="4"/>
  <c r="AL193" i="5"/>
  <c r="AX193" i="5"/>
  <c r="AU193" i="5"/>
  <c r="G196" i="5"/>
  <c r="N193" i="4"/>
  <c r="I196" i="5" s="1"/>
  <c r="AF194" i="5"/>
  <c r="AG194" i="5" s="1"/>
  <c r="AD195" i="5"/>
  <c r="AM194" i="5"/>
  <c r="AY193" i="5" l="1"/>
  <c r="AV193" i="5"/>
  <c r="AL194" i="5"/>
  <c r="AU194" i="5"/>
  <c r="AX194" i="5"/>
  <c r="G197" i="5"/>
  <c r="N194" i="4"/>
  <c r="I197" i="5" s="1"/>
  <c r="H198" i="5"/>
  <c r="L195" i="4"/>
  <c r="AZ197" i="5"/>
  <c r="X197" i="5"/>
  <c r="AW197" i="5"/>
  <c r="K197" i="5"/>
  <c r="AF195" i="5"/>
  <c r="AG195" i="5" s="1"/>
  <c r="AD196" i="5"/>
  <c r="AM195" i="5"/>
  <c r="J196" i="5"/>
  <c r="AK196" i="5" l="1"/>
  <c r="AJ196" i="5"/>
  <c r="AH196" i="5"/>
  <c r="AI196" i="5"/>
  <c r="K198" i="5"/>
  <c r="AZ198" i="5"/>
  <c r="X198" i="5"/>
  <c r="AC198" i="5" s="1"/>
  <c r="AW198" i="5"/>
  <c r="V197" i="5"/>
  <c r="AC197" i="5" s="1"/>
  <c r="AD197" i="5" s="1"/>
  <c r="J197" i="5"/>
  <c r="AL195" i="5"/>
  <c r="AU195" i="5"/>
  <c r="AX195" i="5"/>
  <c r="AF196" i="5"/>
  <c r="AG196" i="5" s="1"/>
  <c r="AM196" i="5"/>
  <c r="AY194" i="5"/>
  <c r="AV194" i="5"/>
  <c r="G198" i="5"/>
  <c r="N195" i="4"/>
  <c r="I198" i="5" s="1"/>
  <c r="J198" i="5" s="1"/>
  <c r="AD198" i="5" l="1"/>
  <c r="AM197" i="5"/>
  <c r="AL196" i="5"/>
  <c r="AU196" i="5"/>
  <c r="AX196" i="5"/>
  <c r="AK198" i="5"/>
  <c r="AJ198" i="5"/>
  <c r="AI198" i="5"/>
  <c r="AH198" i="5"/>
  <c r="AY195" i="5"/>
  <c r="AV195" i="5"/>
  <c r="AJ197" i="5"/>
  <c r="AK197" i="5" s="1"/>
  <c r="AH197" i="5"/>
  <c r="AI197" i="5" s="1"/>
  <c r="AL197" i="5" l="1"/>
  <c r="AU197" i="5"/>
  <c r="AX197" i="5"/>
  <c r="AY196" i="5"/>
  <c r="AV196" i="5"/>
  <c r="AM198" i="5"/>
  <c r="AF198" i="5"/>
  <c r="AG198" i="5" s="1"/>
  <c r="AL198" i="5" l="1"/>
  <c r="AX198" i="5"/>
  <c r="AU198" i="5"/>
  <c r="AY197" i="5"/>
  <c r="AV197" i="5"/>
  <c r="AR9" i="5" l="1"/>
  <c r="AS9" i="5" s="1"/>
  <c r="AY198" i="5"/>
  <c r="AV198" i="5"/>
</calcChain>
</file>

<file path=xl/comments1.xml><?xml version="1.0" encoding="utf-8"?>
<comments xmlns="http://schemas.openxmlformats.org/spreadsheetml/2006/main">
  <authors>
    <author>汤强</author>
  </authors>
  <commentList>
    <comment ref="E17" authorId="0" shapeId="0">
      <text>
        <r>
          <rPr>
            <b/>
            <sz val="9"/>
            <rFont val="宋体"/>
            <family val="3"/>
            <charset val="134"/>
          </rPr>
          <t xml:space="preserve">只统计1~4流量段
</t>
        </r>
      </text>
    </comment>
  </commentList>
</comments>
</file>

<file path=xl/comments2.xml><?xml version="1.0" encoding="utf-8"?>
<comments xmlns="http://schemas.openxmlformats.org/spreadsheetml/2006/main">
  <authors>
    <author>汤强</author>
  </authors>
  <commentList>
    <comment ref="E43" authorId="0" shapeId="0">
      <text>
        <r>
          <rPr>
            <b/>
            <sz val="9"/>
            <rFont val="宋体"/>
            <family val="3"/>
            <charset val="134"/>
          </rPr>
          <t xml:space="preserve">只统计1~4流量段
</t>
        </r>
      </text>
    </comment>
  </commentList>
</comments>
</file>

<file path=xl/connections.xml><?xml version="1.0" encoding="utf-8"?>
<connections xmlns="http://schemas.openxmlformats.org/spreadsheetml/2006/main">
  <connection id="1" name="123" type="6" refreshedVersion="2" background="1" saveData="1">
    <textPr sourceFile="C:\Users\汤强\Desktop\123.txt" comma="1" semicolon="1">
      <textFields>
        <textField/>
      </textFields>
    </textPr>
  </connection>
  <connection id="2" name="桩号坐标" type="6" refreshedVersion="2" background="1" saveData="1">
    <textPr sourceFile="I:\E\工作区\省水利院工作\龙塘水库\马坝河资料\马坝河分干渠渠线设计-TQ\汤强\校核后修改\水面线计算-第二次\桩号坐标.txt" space="1" comma="1" semicolon="1" consecutive="1" delimiter="_x0000_">
      <textFields>
        <textField/>
      </textFields>
    </textPr>
  </connection>
</connections>
</file>

<file path=xl/sharedStrings.xml><?xml version="1.0" encoding="utf-8"?>
<sst xmlns="http://schemas.openxmlformats.org/spreadsheetml/2006/main" count="2711" uniqueCount="1000">
  <si>
    <t>明渠断面设计</t>
  </si>
  <si>
    <t>桩号范围</t>
  </si>
  <si>
    <t>流量段</t>
  </si>
  <si>
    <t>设计水深</t>
  </si>
  <si>
    <t>底宽</t>
  </si>
  <si>
    <t>边坡</t>
  </si>
  <si>
    <t>面积</t>
  </si>
  <si>
    <t>湿周</t>
  </si>
  <si>
    <t>水力半径</t>
  </si>
  <si>
    <t>糙率</t>
  </si>
  <si>
    <r>
      <rPr>
        <sz val="10"/>
        <rFont val="Times New Roman"/>
        <family val="1"/>
      </rPr>
      <t>1/</t>
    </r>
    <r>
      <rPr>
        <sz val="10"/>
        <rFont val="宋体"/>
        <family val="3"/>
        <charset val="134"/>
      </rPr>
      <t>底坡</t>
    </r>
  </si>
  <si>
    <t>计算流量</t>
  </si>
  <si>
    <t>设计流速</t>
  </si>
  <si>
    <t>加大水深</t>
  </si>
  <si>
    <t>加大流量</t>
  </si>
  <si>
    <t>渠道超高</t>
  </si>
  <si>
    <t>计算高度</t>
  </si>
  <si>
    <t>实际高度</t>
  </si>
  <si>
    <t>渡槽渐变段长度</t>
  </si>
  <si>
    <t>倒虹管渐变段长度</t>
  </si>
  <si>
    <t>隧洞渐变段长度</t>
  </si>
  <si>
    <t>h</t>
  </si>
  <si>
    <t>b</t>
  </si>
  <si>
    <t>m</t>
  </si>
  <si>
    <t>W</t>
  </si>
  <si>
    <t>X</t>
  </si>
  <si>
    <t>R</t>
  </si>
  <si>
    <t>n</t>
  </si>
  <si>
    <t>1/I</t>
  </si>
  <si>
    <t>Q</t>
  </si>
  <si>
    <t>V</t>
  </si>
  <si>
    <t>Fb</t>
  </si>
  <si>
    <t>H'</t>
  </si>
  <si>
    <t>H</t>
  </si>
  <si>
    <t>水面宽</t>
  </si>
  <si>
    <t>转弯半径</t>
  </si>
  <si>
    <t>进口</t>
  </si>
  <si>
    <t>出口</t>
  </si>
  <si>
    <r>
      <rPr>
        <sz val="10"/>
        <rFont val="Times New Roman"/>
        <family val="1"/>
      </rPr>
      <t>m</t>
    </r>
    <r>
      <rPr>
        <vertAlign val="superscript"/>
        <sz val="10"/>
        <rFont val="Times New Roman"/>
        <family val="1"/>
      </rPr>
      <t>2</t>
    </r>
  </si>
  <si>
    <r>
      <rPr>
        <b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3</t>
    </r>
    <r>
      <rPr>
        <b/>
        <sz val="10"/>
        <rFont val="Times New Roman"/>
        <family val="1"/>
      </rPr>
      <t>/s</t>
    </r>
  </si>
  <si>
    <t>m/s</t>
  </si>
  <si>
    <r>
      <rPr>
        <sz val="11"/>
        <color theme="1"/>
        <rFont val="宋体"/>
        <family val="3"/>
        <charset val="134"/>
        <scheme val="minor"/>
      </rPr>
      <t>上游渠道设计水深的3~</t>
    </r>
    <r>
      <rPr>
        <sz val="11"/>
        <color theme="1"/>
        <rFont val="宋体"/>
        <family val="3"/>
        <charset val="134"/>
        <scheme val="minor"/>
      </rPr>
      <t>5倍</t>
    </r>
  </si>
  <si>
    <t>下游渠道设计水深的4~6倍</t>
  </si>
  <si>
    <r>
      <rPr>
        <sz val="11"/>
        <color theme="1"/>
        <rFont val="宋体"/>
        <family val="3"/>
        <charset val="134"/>
        <scheme val="minor"/>
      </rPr>
      <t>渠道设计水深的3~</t>
    </r>
    <r>
      <rPr>
        <sz val="11"/>
        <color theme="1"/>
        <rFont val="宋体"/>
        <family val="3"/>
        <charset val="134"/>
        <scheme val="minor"/>
      </rPr>
      <t>5倍</t>
    </r>
  </si>
  <si>
    <t>大于进口渐变段</t>
  </si>
  <si>
    <t>0~130</t>
  </si>
  <si>
    <t>130~3000</t>
  </si>
  <si>
    <r>
      <rPr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000~4550</t>
    </r>
  </si>
  <si>
    <t>3000~4550</t>
  </si>
  <si>
    <t>4550~9400</t>
  </si>
  <si>
    <t>9400~10800</t>
  </si>
  <si>
    <t>10800~13900</t>
  </si>
  <si>
    <t>13900~16576.15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</si>
  <si>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6576.15~18899.9</t>
    </r>
  </si>
  <si>
    <t>16576.15~18899.9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</si>
  <si>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8899.9~20408.53</t>
    </r>
  </si>
  <si>
    <t>18899.9~20408.53</t>
  </si>
  <si>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0408.53~21940.81</t>
    </r>
  </si>
  <si>
    <t>20408.53~21940.81</t>
  </si>
  <si>
    <t>渡槽断面设计</t>
  </si>
  <si>
    <t>半径</t>
  </si>
  <si>
    <t>流速</t>
  </si>
  <si>
    <t>槽深</t>
  </si>
  <si>
    <t>高宽比</t>
  </si>
  <si>
    <t>f/R0</t>
  </si>
  <si>
    <t>设计流量</t>
  </si>
  <si>
    <t>三隧洞断面设计</t>
  </si>
  <si>
    <t>洞高</t>
  </si>
  <si>
    <t>拱半径</t>
  </si>
  <si>
    <t>直墙高</t>
  </si>
  <si>
    <t>圆心以下高度</t>
  </si>
  <si>
    <t>圆心以上高度</t>
  </si>
  <si>
    <t>弧度</t>
  </si>
  <si>
    <t>洞身面积</t>
  </si>
  <si>
    <t>净空</t>
  </si>
  <si>
    <t>净空高度</t>
  </si>
  <si>
    <t>m2</t>
  </si>
  <si>
    <t>m3/s</t>
  </si>
  <si>
    <r>
      <rPr>
        <sz val="11"/>
        <color theme="1"/>
        <rFont val="宋体"/>
        <family val="3"/>
        <charset val="134"/>
      </rPr>
      <t>名称</t>
    </r>
  </si>
  <si>
    <r>
      <rPr>
        <sz val="11"/>
        <color theme="1"/>
        <rFont val="宋体"/>
        <family val="3"/>
        <charset val="134"/>
      </rPr>
      <t>初设水头损失</t>
    </r>
  </si>
  <si>
    <r>
      <rPr>
        <sz val="11"/>
        <color theme="1"/>
        <rFont val="宋体"/>
        <family val="3"/>
        <charset val="134"/>
      </rPr>
      <t>初设管径</t>
    </r>
  </si>
  <si>
    <r>
      <rPr>
        <sz val="11"/>
        <color theme="1"/>
        <rFont val="宋体"/>
        <family val="3"/>
        <charset val="134"/>
      </rPr>
      <t>施工图管径</t>
    </r>
  </si>
  <si>
    <t>初设设计流量</t>
  </si>
  <si>
    <t>施工图设计流量</t>
  </si>
  <si>
    <t>材料糙率n</t>
  </si>
  <si>
    <t>初始预留水头损失</t>
  </si>
  <si>
    <t>施工图水头损失(采用值)</t>
  </si>
  <si>
    <t>施工图水头损失(设计流量)</t>
  </si>
  <si>
    <t>施工图水头损失(加大流量)</t>
  </si>
  <si>
    <t>/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</si>
  <si>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</si>
  <si>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</si>
  <si>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</si>
  <si>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</si>
  <si>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</si>
  <si>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</si>
  <si>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</si>
  <si>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</si>
  <si>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</si>
  <si>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</si>
  <si>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</si>
  <si>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</si>
  <si>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</si>
  <si>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</si>
  <si>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15#</t>
  </si>
  <si>
    <t>16#</t>
  </si>
  <si>
    <t>汇总</t>
  </si>
  <si>
    <r>
      <rPr>
        <sz val="11"/>
        <color theme="1"/>
        <rFont val="宋体"/>
        <family val="3"/>
        <charset val="134"/>
      </rPr>
      <t>加大流量系数</t>
    </r>
  </si>
  <si>
    <r>
      <rPr>
        <sz val="11"/>
        <color theme="1"/>
        <rFont val="宋体"/>
        <family val="3"/>
        <charset val="134"/>
      </rPr>
      <t>最小流量系数</t>
    </r>
  </si>
  <si>
    <r>
      <rPr>
        <sz val="11"/>
        <color theme="1"/>
        <rFont val="等线"/>
        <family val="3"/>
        <charset val="134"/>
      </rPr>
      <t>流量</t>
    </r>
  </si>
  <si>
    <r>
      <rPr>
        <sz val="11"/>
        <color theme="1"/>
        <rFont val="等线"/>
        <family val="3"/>
        <charset val="134"/>
      </rPr>
      <t>单位</t>
    </r>
  </si>
  <si>
    <r>
      <rPr>
        <sz val="11"/>
        <color theme="1"/>
        <rFont val="等线"/>
        <family val="3"/>
        <charset val="134"/>
      </rPr>
      <t>数值</t>
    </r>
  </si>
  <si>
    <r>
      <rPr>
        <sz val="11"/>
        <color theme="1"/>
        <rFont val="等线"/>
        <family val="3"/>
        <charset val="134"/>
      </rPr>
      <t>加大流量</t>
    </r>
  </si>
  <si>
    <r>
      <rPr>
        <sz val="11"/>
        <color theme="1"/>
        <rFont val="等线"/>
        <family val="3"/>
        <charset val="134"/>
      </rPr>
      <t>设计流量</t>
    </r>
  </si>
  <si>
    <r>
      <rPr>
        <sz val="11"/>
        <color theme="1"/>
        <rFont val="等线"/>
        <family val="3"/>
        <charset val="134"/>
      </rPr>
      <t>最小流量</t>
    </r>
  </si>
  <si>
    <r>
      <rPr>
        <sz val="11"/>
        <color theme="1"/>
        <rFont val="等线"/>
        <family val="3"/>
        <charset val="134"/>
      </rPr>
      <t>上游渠道参数</t>
    </r>
  </si>
  <si>
    <r>
      <rPr>
        <sz val="11"/>
        <color theme="1"/>
        <rFont val="等线"/>
        <family val="3"/>
        <charset val="134"/>
      </rPr>
      <t>进口渐变段末端</t>
    </r>
  </si>
  <si>
    <r>
      <rPr>
        <sz val="11"/>
        <color theme="1"/>
        <rFont val="等线"/>
        <family val="3"/>
        <charset val="134"/>
      </rPr>
      <t>出口渐变段起点</t>
    </r>
  </si>
  <si>
    <r>
      <rPr>
        <sz val="11"/>
        <color theme="1"/>
        <rFont val="等线"/>
        <family val="3"/>
        <charset val="134"/>
      </rPr>
      <t>下游渠道参数</t>
    </r>
  </si>
  <si>
    <r>
      <rPr>
        <sz val="11"/>
        <color theme="1"/>
        <rFont val="等线"/>
        <family val="3"/>
        <charset val="134"/>
      </rPr>
      <t>底板高程</t>
    </r>
  </si>
  <si>
    <r>
      <rPr>
        <sz val="11"/>
        <color theme="1"/>
        <rFont val="等线"/>
        <family val="3"/>
        <charset val="134"/>
      </rPr>
      <t>底板宽度</t>
    </r>
  </si>
  <si>
    <r>
      <rPr>
        <sz val="11"/>
        <color theme="1"/>
        <rFont val="等线"/>
        <family val="3"/>
        <charset val="134"/>
      </rPr>
      <t>边坡系数</t>
    </r>
    <r>
      <rPr>
        <sz val="11"/>
        <color theme="1"/>
        <rFont val="Times New Roman"/>
        <family val="1"/>
      </rPr>
      <t>m</t>
    </r>
  </si>
  <si>
    <r>
      <rPr>
        <sz val="11"/>
        <color theme="1"/>
        <rFont val="等线"/>
        <family val="3"/>
        <charset val="134"/>
      </rPr>
      <t>水位</t>
    </r>
  </si>
  <si>
    <r>
      <rPr>
        <sz val="11"/>
        <color theme="1"/>
        <rFont val="等线"/>
        <family val="3"/>
        <charset val="134"/>
      </rPr>
      <t>流速</t>
    </r>
  </si>
  <si>
    <r>
      <rPr>
        <sz val="11"/>
        <color theme="1"/>
        <rFont val="等线"/>
        <family val="3"/>
        <charset val="134"/>
      </rPr>
      <t>进口渐变段</t>
    </r>
  </si>
  <si>
    <r>
      <rPr>
        <sz val="11"/>
        <color theme="1"/>
        <rFont val="等线"/>
        <family val="3"/>
        <charset val="134"/>
      </rPr>
      <t>出口渐变段</t>
    </r>
  </si>
  <si>
    <r>
      <rPr>
        <sz val="11"/>
        <color theme="1"/>
        <rFont val="等线"/>
        <family val="3"/>
        <charset val="134"/>
      </rPr>
      <t>局部损失系数</t>
    </r>
  </si>
  <si>
    <r>
      <rPr>
        <sz val="11"/>
        <color theme="1"/>
        <rFont val="等线"/>
        <family val="3"/>
        <charset val="134"/>
      </rPr>
      <t>水面落差初拟△</t>
    </r>
    <r>
      <rPr>
        <sz val="11"/>
        <color theme="1"/>
        <rFont val="Times New Roman"/>
        <family val="1"/>
      </rPr>
      <t>Z</t>
    </r>
  </si>
  <si>
    <r>
      <rPr>
        <sz val="11"/>
        <color theme="1"/>
        <rFont val="等线"/>
        <family val="3"/>
        <charset val="134"/>
      </rPr>
      <t>水面落差计算△</t>
    </r>
    <r>
      <rPr>
        <sz val="11"/>
        <color theme="1"/>
        <rFont val="Times New Roman"/>
        <family val="1"/>
      </rPr>
      <t>Z</t>
    </r>
  </si>
  <si>
    <r>
      <rPr>
        <sz val="11"/>
        <color theme="1"/>
        <rFont val="等线"/>
        <family val="3"/>
        <charset val="134"/>
      </rPr>
      <t>水头损失</t>
    </r>
  </si>
  <si>
    <r>
      <rPr>
        <sz val="11"/>
        <color theme="1"/>
        <rFont val="等线"/>
        <family val="3"/>
        <charset val="134"/>
      </rPr>
      <t>加大流量</t>
    </r>
    <r>
      <rPr>
        <sz val="11"/>
        <color theme="1"/>
        <rFont val="Times New Roman"/>
        <family val="1"/>
      </rPr>
      <t>hj1</t>
    </r>
  </si>
  <si>
    <r>
      <rPr>
        <sz val="11"/>
        <color theme="1"/>
        <rFont val="等线"/>
        <family val="3"/>
        <charset val="134"/>
      </rPr>
      <t>设计流量</t>
    </r>
    <r>
      <rPr>
        <sz val="11"/>
        <color theme="1"/>
        <rFont val="Times New Roman"/>
        <family val="1"/>
      </rPr>
      <t>hj1</t>
    </r>
  </si>
  <si>
    <r>
      <rPr>
        <sz val="11"/>
        <color theme="1"/>
        <rFont val="等线"/>
        <family val="3"/>
        <charset val="134"/>
      </rPr>
      <t>最小流量</t>
    </r>
    <r>
      <rPr>
        <sz val="11"/>
        <color theme="1"/>
        <rFont val="Times New Roman"/>
        <family val="1"/>
      </rPr>
      <t>hj1</t>
    </r>
  </si>
  <si>
    <t>初设倒虹管水头损失</t>
  </si>
  <si>
    <r>
      <rPr>
        <sz val="11"/>
        <color theme="1"/>
        <rFont val="宋体"/>
        <family val="3"/>
        <charset val="134"/>
      </rPr>
      <t>材料糙率</t>
    </r>
    <r>
      <rPr>
        <sz val="11"/>
        <color theme="1"/>
        <rFont val="Times New Roman"/>
        <family val="1"/>
      </rPr>
      <t>n</t>
    </r>
  </si>
  <si>
    <t>施工图倒虹管设计流量水头损失</t>
  </si>
  <si>
    <r>
      <rPr>
        <sz val="11"/>
        <color theme="1"/>
        <rFont val="Times New Roman"/>
        <family val="1"/>
      </rPr>
      <t>1#</t>
    </r>
    <r>
      <rPr>
        <sz val="11"/>
        <color theme="1"/>
        <rFont val="宋体"/>
        <family val="3"/>
        <charset val="134"/>
      </rPr>
      <t>倒虹管</t>
    </r>
  </si>
  <si>
    <t>施工图倒虹管加大流量水头损失</t>
  </si>
  <si>
    <r>
      <rPr>
        <sz val="11"/>
        <color theme="1"/>
        <rFont val="等线"/>
        <family val="3"/>
        <charset val="134"/>
      </rPr>
      <t>水头损失计算</t>
    </r>
  </si>
  <si>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、初拟管道直径</t>
    </r>
  </si>
  <si>
    <r>
      <rPr>
        <sz val="11"/>
        <rFont val="宋体"/>
        <family val="3"/>
        <charset val="134"/>
      </rPr>
      <t>设计流量</t>
    </r>
  </si>
  <si>
    <r>
      <rPr>
        <sz val="11"/>
        <rFont val="宋体"/>
        <family val="3"/>
        <charset val="134"/>
      </rPr>
      <t>加大流量</t>
    </r>
  </si>
  <si>
    <r>
      <rPr>
        <sz val="11"/>
        <rFont val="宋体"/>
        <family val="3"/>
        <charset val="134"/>
      </rPr>
      <t>最小流量</t>
    </r>
  </si>
  <si>
    <r>
      <rPr>
        <sz val="11"/>
        <color theme="1"/>
        <rFont val="宋体"/>
        <family val="3"/>
        <charset val="134"/>
      </rPr>
      <t>设计流量</t>
    </r>
  </si>
  <si>
    <r>
      <rPr>
        <sz val="11"/>
        <color theme="1"/>
        <rFont val="宋体"/>
        <family val="3"/>
        <charset val="134"/>
      </rPr>
      <t>倒虹管根数</t>
    </r>
  </si>
  <si>
    <r>
      <rPr>
        <sz val="11"/>
        <color theme="1"/>
        <rFont val="宋体"/>
        <family val="3"/>
        <charset val="134"/>
      </rPr>
      <t>单根设计流量</t>
    </r>
    <r>
      <rPr>
        <sz val="11"/>
        <color theme="1"/>
        <rFont val="Times New Roman"/>
        <family val="1"/>
      </rPr>
      <t>Q</t>
    </r>
  </si>
  <si>
    <r>
      <rPr>
        <sz val="11"/>
        <color theme="1"/>
        <rFont val="宋体"/>
        <family val="3"/>
        <charset val="134"/>
      </rPr>
      <t>倒虹吸总长度</t>
    </r>
    <r>
      <rPr>
        <sz val="11"/>
        <color theme="1"/>
        <rFont val="Times New Roman"/>
        <family val="1"/>
      </rPr>
      <t>L</t>
    </r>
  </si>
  <si>
    <r>
      <rPr>
        <sz val="11"/>
        <color theme="1"/>
        <rFont val="宋体"/>
        <family val="3"/>
        <charset val="134"/>
      </rPr>
      <t>管道直径</t>
    </r>
    <r>
      <rPr>
        <sz val="11"/>
        <color theme="1"/>
        <rFont val="Times New Roman"/>
        <family val="1"/>
      </rPr>
      <t>D</t>
    </r>
  </si>
  <si>
    <r>
      <rPr>
        <sz val="11"/>
        <color theme="1"/>
        <rFont val="宋体"/>
        <family val="3"/>
        <charset val="134"/>
      </rPr>
      <t>设计流速</t>
    </r>
    <r>
      <rPr>
        <sz val="11"/>
        <color theme="1"/>
        <rFont val="Times New Roman"/>
        <family val="1"/>
      </rPr>
      <t>v</t>
    </r>
  </si>
  <si>
    <r>
      <rPr>
        <sz val="11"/>
        <color theme="1"/>
        <rFont val="宋体"/>
        <family val="3"/>
        <charset val="134"/>
      </rPr>
      <t>相应过水断面面积</t>
    </r>
    <r>
      <rPr>
        <sz val="11"/>
        <color theme="1"/>
        <rFont val="Times New Roman"/>
        <family val="1"/>
      </rPr>
      <t>w</t>
    </r>
  </si>
  <si>
    <r>
      <rPr>
        <sz val="11"/>
        <color theme="1"/>
        <rFont val="Times New Roman"/>
        <family val="1"/>
      </rPr>
      <t>2</t>
    </r>
    <r>
      <rPr>
        <sz val="11"/>
        <color theme="1"/>
        <rFont val="宋体"/>
        <family val="3"/>
        <charset val="134"/>
      </rPr>
      <t>、水头损失</t>
    </r>
  </si>
  <si>
    <r>
      <rPr>
        <sz val="11"/>
        <color theme="1"/>
        <rFont val="等线"/>
        <family val="3"/>
        <charset val="134"/>
      </rPr>
      <t>出口损失系数</t>
    </r>
  </si>
  <si>
    <r>
      <rPr>
        <sz val="11"/>
        <color theme="1"/>
        <rFont val="Times New Roman"/>
        <family val="1"/>
      </rPr>
      <t>(1)</t>
    </r>
    <r>
      <rPr>
        <sz val="11"/>
        <color theme="1"/>
        <rFont val="宋体"/>
        <family val="3"/>
        <charset val="134"/>
      </rPr>
      <t>沿程水头损失</t>
    </r>
  </si>
  <si>
    <t>R=D/4</t>
  </si>
  <si>
    <r>
      <rPr>
        <sz val="12"/>
        <rFont val="宋体"/>
        <family val="3"/>
        <charset val="134"/>
      </rPr>
      <t>名称</t>
    </r>
  </si>
  <si>
    <r>
      <rPr>
        <sz val="11"/>
        <color theme="1"/>
        <rFont val="等线"/>
        <family val="3"/>
        <charset val="134"/>
      </rPr>
      <t>管道面积</t>
    </r>
  </si>
  <si>
    <r>
      <rPr>
        <sz val="11"/>
        <color theme="1"/>
        <rFont val="等线"/>
        <family val="3"/>
        <charset val="134"/>
      </rPr>
      <t>渠道面积</t>
    </r>
  </si>
  <si>
    <r>
      <rPr>
        <sz val="11"/>
        <color theme="1"/>
        <rFont val="等线"/>
        <family val="3"/>
        <charset val="134"/>
      </rPr>
      <t>比例</t>
    </r>
  </si>
  <si>
    <r>
      <rPr>
        <sz val="11"/>
        <color theme="1"/>
        <rFont val="等线"/>
        <family val="3"/>
        <charset val="134"/>
      </rPr>
      <t>系数</t>
    </r>
  </si>
  <si>
    <r>
      <rPr>
        <sz val="11"/>
        <color theme="1"/>
        <rFont val="Times New Roman"/>
        <family val="1"/>
      </rPr>
      <t>C=R</t>
    </r>
    <r>
      <rPr>
        <vertAlign val="superscript"/>
        <sz val="11"/>
        <rFont val="Times New Roman"/>
        <family val="1"/>
      </rPr>
      <t>(1/6)</t>
    </r>
    <r>
      <rPr>
        <sz val="11"/>
        <color theme="1"/>
        <rFont val="Times New Roman"/>
        <family val="1"/>
      </rPr>
      <t>/n</t>
    </r>
  </si>
  <si>
    <r>
      <rPr>
        <sz val="11"/>
        <color theme="1"/>
        <rFont val="Times New Roman"/>
        <family val="1"/>
      </rPr>
      <t>w</t>
    </r>
    <r>
      <rPr>
        <sz val="11"/>
        <color theme="1"/>
        <rFont val="等线"/>
        <family val="3"/>
        <charset val="134"/>
      </rPr>
      <t>管</t>
    </r>
  </si>
  <si>
    <r>
      <rPr>
        <sz val="11"/>
        <color theme="1"/>
        <rFont val="Times New Roman"/>
        <family val="1"/>
      </rPr>
      <t>w</t>
    </r>
    <r>
      <rPr>
        <sz val="11"/>
        <color theme="1"/>
        <rFont val="等线"/>
        <family val="3"/>
        <charset val="134"/>
      </rPr>
      <t>渠</t>
    </r>
  </si>
  <si>
    <r>
      <rPr>
        <sz val="11"/>
        <color theme="1"/>
        <rFont val="Times New Roman"/>
        <family val="1"/>
      </rPr>
      <t>w</t>
    </r>
    <r>
      <rPr>
        <sz val="11"/>
        <color theme="1"/>
        <rFont val="等线"/>
        <family val="3"/>
        <charset val="134"/>
      </rPr>
      <t>管</t>
    </r>
    <r>
      <rPr>
        <sz val="11"/>
        <color theme="1"/>
        <rFont val="Times New Roman"/>
        <family val="1"/>
      </rPr>
      <t>/w</t>
    </r>
    <r>
      <rPr>
        <sz val="11"/>
        <color theme="1"/>
        <rFont val="等线"/>
        <family val="3"/>
        <charset val="134"/>
      </rPr>
      <t>渠</t>
    </r>
  </si>
  <si>
    <t>ζc</t>
  </si>
  <si>
    <r>
      <rPr>
        <sz val="11"/>
        <color theme="1"/>
        <rFont val="Times New Roman"/>
        <family val="1"/>
      </rPr>
      <t>λ=8g/c</t>
    </r>
    <r>
      <rPr>
        <vertAlign val="superscript"/>
        <sz val="11"/>
        <rFont val="Times New Roman"/>
        <family val="1"/>
      </rPr>
      <t>2</t>
    </r>
  </si>
  <si>
    <r>
      <rPr>
        <sz val="12"/>
        <rFont val="Times New Roman"/>
        <family val="1"/>
      </rPr>
      <t>1#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</si>
  <si>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hf</t>
    </r>
    <r>
      <rPr>
        <sz val="11"/>
        <color theme="1"/>
        <rFont val="宋体"/>
        <family val="3"/>
        <charset val="134"/>
      </rPr>
      <t>＝</t>
    </r>
    <r>
      <rPr>
        <sz val="11"/>
        <color theme="1"/>
        <rFont val="Times New Roman"/>
        <family val="1"/>
      </rPr>
      <t>λL*v</t>
    </r>
    <r>
      <rPr>
        <vertAlign val="superscript"/>
        <sz val="11"/>
        <rFont val="Times New Roman"/>
        <family val="1"/>
      </rPr>
      <t>2</t>
    </r>
    <r>
      <rPr>
        <sz val="11"/>
        <color theme="1"/>
        <rFont val="Times New Roman"/>
        <family val="1"/>
      </rPr>
      <t>/(4R*2g)</t>
    </r>
  </si>
  <si>
    <r>
      <rPr>
        <sz val="11"/>
        <color theme="1"/>
        <rFont val="Times New Roman"/>
        <family val="1"/>
      </rPr>
      <t>(2)</t>
    </r>
    <r>
      <rPr>
        <sz val="11"/>
        <color theme="1"/>
        <rFont val="宋体"/>
        <family val="3"/>
        <charset val="134"/>
      </rPr>
      <t>局部水头损失</t>
    </r>
  </si>
  <si>
    <r>
      <rPr>
        <sz val="11"/>
        <color theme="1"/>
        <rFont val="Times New Roman"/>
        <family val="1"/>
      </rPr>
      <t>ζj</t>
    </r>
    <r>
      <rPr>
        <sz val="11"/>
        <color theme="1"/>
        <rFont val="宋体"/>
        <family val="3"/>
        <charset val="134"/>
      </rPr>
      <t>进口</t>
    </r>
  </si>
  <si>
    <r>
      <rPr>
        <sz val="11"/>
        <color theme="1"/>
        <rFont val="Times New Roman"/>
        <family val="1"/>
      </rPr>
      <t>ζ</t>
    </r>
    <r>
      <rPr>
        <sz val="11"/>
        <color theme="1"/>
        <rFont val="宋体"/>
        <family val="3"/>
        <charset val="134"/>
      </rPr>
      <t>门槽（单个为</t>
    </r>
    <r>
      <rPr>
        <sz val="11"/>
        <color theme="1"/>
        <rFont val="Times New Roman"/>
        <family val="1"/>
      </rPr>
      <t>0.1</t>
    </r>
    <r>
      <rPr>
        <sz val="11"/>
        <color theme="1"/>
        <rFont val="宋体"/>
        <family val="3"/>
        <charset val="134"/>
      </rPr>
      <t>）共</t>
    </r>
    <r>
      <rPr>
        <sz val="11"/>
        <color theme="1"/>
        <rFont val="Times New Roman"/>
        <family val="1"/>
      </rPr>
      <t>2</t>
    </r>
    <r>
      <rPr>
        <sz val="11"/>
        <color theme="1"/>
        <rFont val="宋体"/>
        <family val="3"/>
        <charset val="134"/>
      </rPr>
      <t>个</t>
    </r>
  </si>
  <si>
    <r>
      <rPr>
        <sz val="12"/>
        <rFont val="宋体"/>
        <family val="3"/>
        <charset val="134"/>
      </rPr>
      <t>出口渐变段水头损失</t>
    </r>
    <r>
      <rPr>
        <sz val="12"/>
        <rFont val="Times New Roman"/>
        <family val="1"/>
      </rPr>
      <t>Z3</t>
    </r>
  </si>
  <si>
    <r>
      <rPr>
        <sz val="12"/>
        <rFont val="宋体"/>
        <family val="3"/>
        <charset val="134"/>
      </rPr>
      <t>加大流量</t>
    </r>
  </si>
  <si>
    <r>
      <rPr>
        <sz val="11"/>
        <color theme="1"/>
        <rFont val="宋体"/>
        <family val="3"/>
        <charset val="134"/>
      </rPr>
      <t>拦污栅栅条厚度</t>
    </r>
    <r>
      <rPr>
        <sz val="11"/>
        <color theme="1"/>
        <rFont val="Times New Roman"/>
        <family val="1"/>
      </rPr>
      <t>s</t>
    </r>
  </si>
  <si>
    <r>
      <rPr>
        <sz val="12"/>
        <rFont val="宋体"/>
        <family val="3"/>
        <charset val="134"/>
      </rPr>
      <t>下游渠道加大水深</t>
    </r>
  </si>
  <si>
    <r>
      <rPr>
        <sz val="11"/>
        <color theme="1"/>
        <rFont val="宋体"/>
        <family val="3"/>
        <charset val="134"/>
      </rPr>
      <t>拦污栅间距</t>
    </r>
    <r>
      <rPr>
        <sz val="11"/>
        <color theme="1"/>
        <rFont val="Times New Roman"/>
        <family val="1"/>
      </rPr>
      <t>b</t>
    </r>
  </si>
  <si>
    <r>
      <rPr>
        <sz val="12"/>
        <rFont val="宋体"/>
        <family val="3"/>
        <charset val="134"/>
      </rPr>
      <t>下游渠道（矩形渠）加大流速</t>
    </r>
    <r>
      <rPr>
        <sz val="12"/>
        <rFont val="Times New Roman"/>
        <family val="1"/>
      </rPr>
      <t>V3</t>
    </r>
  </si>
  <si>
    <r>
      <rPr>
        <sz val="11"/>
        <color theme="1"/>
        <rFont val="宋体"/>
        <family val="3"/>
        <charset val="134"/>
      </rPr>
      <t>拦污栅与水平面夹角</t>
    </r>
    <r>
      <rPr>
        <sz val="11"/>
        <color theme="1"/>
        <rFont val="Times New Roman"/>
        <family val="1"/>
      </rPr>
      <t>a</t>
    </r>
  </si>
  <si>
    <r>
      <rPr>
        <sz val="12"/>
        <rFont val="宋体"/>
        <family val="3"/>
        <charset val="134"/>
      </rPr>
      <t>渐变段起点（消力池）水深</t>
    </r>
  </si>
  <si>
    <r>
      <rPr>
        <sz val="11"/>
        <color theme="1"/>
        <rFont val="宋体"/>
        <family val="3"/>
        <charset val="134"/>
      </rPr>
      <t>栅条形状系数</t>
    </r>
    <r>
      <rPr>
        <sz val="11"/>
        <color theme="1"/>
        <rFont val="Times New Roman"/>
        <family val="1"/>
      </rPr>
      <t>β</t>
    </r>
  </si>
  <si>
    <r>
      <rPr>
        <sz val="12"/>
        <rFont val="宋体"/>
        <family val="3"/>
        <charset val="134"/>
      </rPr>
      <t>出口渐变段起点（消力池）宽度</t>
    </r>
  </si>
  <si>
    <r>
      <rPr>
        <sz val="11"/>
        <color theme="1"/>
        <rFont val="Times New Roman"/>
        <family val="1"/>
      </rPr>
      <t>ζ</t>
    </r>
    <r>
      <rPr>
        <sz val="11"/>
        <color theme="1"/>
        <rFont val="宋体"/>
        <family val="3"/>
        <charset val="134"/>
      </rPr>
      <t>拦污栅＝</t>
    </r>
    <r>
      <rPr>
        <sz val="11"/>
        <color theme="1"/>
        <rFont val="Times New Roman"/>
        <family val="1"/>
      </rPr>
      <t>β</t>
    </r>
    <r>
      <rPr>
        <sz val="11"/>
        <color theme="1"/>
        <rFont val="宋体"/>
        <family val="3"/>
        <charset val="134"/>
      </rPr>
      <t>（</t>
    </r>
    <r>
      <rPr>
        <sz val="11"/>
        <color theme="1"/>
        <rFont val="Times New Roman"/>
        <family val="1"/>
      </rPr>
      <t>s/b)</t>
    </r>
    <r>
      <rPr>
        <vertAlign val="superscript"/>
        <sz val="11"/>
        <rFont val="宋体"/>
        <family val="3"/>
        <charset val="134"/>
      </rPr>
      <t>（</t>
    </r>
    <r>
      <rPr>
        <vertAlign val="superscript"/>
        <sz val="11"/>
        <rFont val="Times New Roman"/>
        <family val="1"/>
      </rPr>
      <t>4/3)</t>
    </r>
    <r>
      <rPr>
        <sz val="11"/>
        <color theme="1"/>
        <rFont val="Times New Roman"/>
        <family val="1"/>
      </rPr>
      <t>sina</t>
    </r>
  </si>
  <si>
    <r>
      <rPr>
        <sz val="12"/>
        <rFont val="宋体"/>
        <family val="3"/>
        <charset val="134"/>
      </rPr>
      <t>出口渐变段起点（消力池）流速</t>
    </r>
    <r>
      <rPr>
        <sz val="12"/>
        <rFont val="Times New Roman"/>
        <family val="1"/>
      </rPr>
      <t>V</t>
    </r>
  </si>
  <si>
    <r>
      <rPr>
        <sz val="11"/>
        <color theme="1"/>
        <rFont val="Times New Roman"/>
        <family val="1"/>
      </rPr>
      <t>ζ</t>
    </r>
    <r>
      <rPr>
        <sz val="11"/>
        <color theme="1"/>
        <rFont val="宋体"/>
        <family val="3"/>
        <charset val="134"/>
      </rPr>
      <t>弯道</t>
    </r>
  </si>
  <si>
    <r>
      <rPr>
        <sz val="12"/>
        <rFont val="宋体"/>
        <family val="3"/>
        <charset val="134"/>
      </rPr>
      <t>管道流速</t>
    </r>
  </si>
  <si>
    <r>
      <rPr>
        <sz val="11"/>
        <color theme="1"/>
        <rFont val="Times New Roman"/>
        <family val="1"/>
      </rPr>
      <t>ζ</t>
    </r>
    <r>
      <rPr>
        <sz val="11"/>
        <color theme="1"/>
        <rFont val="宋体"/>
        <family val="3"/>
        <charset val="134"/>
      </rPr>
      <t>出口（查表</t>
    </r>
    <r>
      <rPr>
        <sz val="11"/>
        <color theme="1"/>
        <rFont val="Times New Roman"/>
        <family val="1"/>
      </rPr>
      <t>3-4</t>
    </r>
    <r>
      <rPr>
        <sz val="11"/>
        <color theme="1"/>
        <rFont val="宋体"/>
        <family val="3"/>
        <charset val="134"/>
      </rPr>
      <t>）</t>
    </r>
  </si>
  <si>
    <r>
      <rPr>
        <sz val="12"/>
        <rFont val="宋体"/>
        <family val="3"/>
        <charset val="134"/>
      </rPr>
      <t>出口渐变段局部水头损失系数</t>
    </r>
    <r>
      <rPr>
        <sz val="12"/>
        <rFont val="Times New Roman"/>
        <family val="1"/>
      </rPr>
      <t>ζ2</t>
    </r>
  </si>
  <si>
    <r>
      <rPr>
        <sz val="11"/>
        <color theme="1"/>
        <rFont val="Times New Roman"/>
        <family val="1"/>
      </rPr>
      <t>ζ</t>
    </r>
    <r>
      <rPr>
        <sz val="11"/>
        <color theme="1"/>
        <rFont val="宋体"/>
        <family val="3"/>
        <charset val="134"/>
      </rPr>
      <t>旁通管（通气、放空、进人孔）共</t>
    </r>
    <r>
      <rPr>
        <sz val="11"/>
        <color theme="1"/>
        <rFont val="Times New Roman"/>
        <family val="1"/>
      </rPr>
      <t>1</t>
    </r>
    <r>
      <rPr>
        <sz val="11"/>
        <color theme="1"/>
        <rFont val="宋体"/>
        <family val="3"/>
        <charset val="134"/>
      </rPr>
      <t>个</t>
    </r>
  </si>
  <si>
    <r>
      <rPr>
        <sz val="12"/>
        <rFont val="宋体"/>
        <family val="3"/>
        <charset val="134"/>
      </rPr>
      <t>出口渐变段水面恢复值</t>
    </r>
    <r>
      <rPr>
        <sz val="12"/>
        <rFont val="Times New Roman"/>
        <family val="1"/>
      </rPr>
      <t>Z3</t>
    </r>
  </si>
  <si>
    <r>
      <rPr>
        <sz val="11"/>
        <color theme="1"/>
        <rFont val="宋体"/>
        <family val="3"/>
        <charset val="134"/>
      </rPr>
      <t>总局部水头损失系数∑</t>
    </r>
    <r>
      <rPr>
        <sz val="11"/>
        <color theme="1"/>
        <rFont val="Times New Roman"/>
        <family val="1"/>
      </rPr>
      <t>ζj</t>
    </r>
  </si>
  <si>
    <r>
      <rPr>
        <sz val="11"/>
        <color theme="1"/>
        <rFont val="宋体"/>
        <family val="3"/>
        <charset val="134"/>
      </rPr>
      <t>总局部水头损失</t>
    </r>
    <r>
      <rPr>
        <sz val="11"/>
        <color theme="1"/>
        <rFont val="Times New Roman"/>
        <family val="1"/>
      </rPr>
      <t>hj</t>
    </r>
    <r>
      <rPr>
        <sz val="11"/>
        <color theme="1"/>
        <rFont val="宋体"/>
        <family val="3"/>
        <charset val="134"/>
      </rPr>
      <t>＝∑</t>
    </r>
    <r>
      <rPr>
        <sz val="11"/>
        <color theme="1"/>
        <rFont val="Times New Roman"/>
        <family val="1"/>
      </rPr>
      <t>ζjv</t>
    </r>
    <r>
      <rPr>
        <vertAlign val="superscript"/>
        <sz val="11"/>
        <rFont val="Times New Roman"/>
        <family val="1"/>
      </rPr>
      <t>2</t>
    </r>
    <r>
      <rPr>
        <sz val="11"/>
        <color theme="1"/>
        <rFont val="Times New Roman"/>
        <family val="1"/>
      </rPr>
      <t>/2g</t>
    </r>
  </si>
  <si>
    <r>
      <rPr>
        <sz val="11"/>
        <color rgb="FFFF0000"/>
        <rFont val="Times New Roman"/>
        <family val="1"/>
      </rPr>
      <t>(3)</t>
    </r>
    <r>
      <rPr>
        <sz val="11"/>
        <color rgb="FFFF0000"/>
        <rFont val="宋体"/>
        <family val="3"/>
        <charset val="134"/>
      </rPr>
      <t>总水头损失</t>
    </r>
  </si>
  <si>
    <r>
      <rPr>
        <sz val="11"/>
        <color rgb="FFFF0000"/>
        <rFont val="宋体"/>
        <family val="3"/>
        <charset val="134"/>
      </rPr>
      <t>总水头损失</t>
    </r>
    <r>
      <rPr>
        <sz val="11"/>
        <color rgb="FFFF0000"/>
        <rFont val="Times New Roman"/>
        <family val="1"/>
      </rPr>
      <t>z</t>
    </r>
    <r>
      <rPr>
        <sz val="11"/>
        <color rgb="FFFF0000"/>
        <rFont val="宋体"/>
        <family val="3"/>
        <charset val="134"/>
      </rPr>
      <t>＝</t>
    </r>
    <r>
      <rPr>
        <sz val="11"/>
        <color rgb="FFFF0000"/>
        <rFont val="Times New Roman"/>
        <family val="1"/>
      </rPr>
      <t>hj+hf</t>
    </r>
  </si>
  <si>
    <t>初设总水头损失</t>
  </si>
  <si>
    <r>
      <rPr>
        <sz val="11"/>
        <color theme="1"/>
        <rFont val="Times New Roman"/>
        <family val="1"/>
      </rPr>
      <t>(4)</t>
    </r>
    <r>
      <rPr>
        <sz val="11"/>
        <color theme="1"/>
        <rFont val="宋体"/>
        <family val="3"/>
        <charset val="134"/>
      </rPr>
      <t>水位降落△</t>
    </r>
    <r>
      <rPr>
        <sz val="11"/>
        <color theme="1"/>
        <rFont val="Times New Roman"/>
        <family val="1"/>
      </rPr>
      <t>Z2</t>
    </r>
  </si>
  <si>
    <r>
      <rPr>
        <sz val="11"/>
        <color theme="1"/>
        <rFont val="Times New Roman"/>
        <family val="1"/>
      </rPr>
      <t>(5)</t>
    </r>
    <r>
      <rPr>
        <sz val="11"/>
        <color theme="1"/>
        <rFont val="宋体"/>
        <family val="3"/>
        <charset val="134"/>
      </rPr>
      <t>总水位降落△</t>
    </r>
    <r>
      <rPr>
        <sz val="11"/>
        <color theme="1"/>
        <rFont val="Times New Roman"/>
        <family val="1"/>
      </rPr>
      <t>Z</t>
    </r>
  </si>
  <si>
    <t>d</t>
  </si>
  <si>
    <t>R/d</t>
  </si>
  <si>
    <t>θ</t>
  </si>
  <si>
    <r>
      <rPr>
        <sz val="11"/>
        <color theme="1"/>
        <rFont val="Times New Roman"/>
        <family val="1"/>
      </rPr>
      <t>ζ</t>
    </r>
    <r>
      <rPr>
        <vertAlign val="subscript"/>
        <sz val="12"/>
        <rFont val="Times New Roman"/>
        <family val="1"/>
      </rPr>
      <t>90</t>
    </r>
  </si>
  <si>
    <t>γ</t>
  </si>
  <si>
    <t>ζ</t>
  </si>
  <si>
    <r>
      <rPr>
        <sz val="11"/>
        <color theme="1"/>
        <rFont val="Times New Roman"/>
        <family val="1"/>
      </rPr>
      <t>R/D</t>
    </r>
    <r>
      <rPr>
        <vertAlign val="subscript"/>
        <sz val="11"/>
        <color theme="1"/>
        <rFont val="Times New Roman"/>
        <family val="1"/>
      </rPr>
      <t>0</t>
    </r>
  </si>
  <si>
    <r>
      <rPr>
        <sz val="11"/>
        <color theme="1"/>
        <rFont val="Times New Roman"/>
        <family val="1"/>
      </rPr>
      <t>ζ</t>
    </r>
    <r>
      <rPr>
        <vertAlign val="subscript"/>
        <sz val="11"/>
        <color theme="1"/>
        <rFont val="Times New Roman"/>
        <family val="1"/>
      </rPr>
      <t>90</t>
    </r>
  </si>
  <si>
    <r>
      <rPr>
        <sz val="12"/>
        <rFont val="宋体"/>
        <family val="3"/>
        <charset val="134"/>
      </rPr>
      <t>合计</t>
    </r>
  </si>
  <si>
    <r>
      <rPr>
        <sz val="11"/>
        <color theme="1"/>
        <rFont val="Times New Roman"/>
        <family val="1"/>
      </rPr>
      <t>2#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</si>
  <si>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2#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</si>
  <si>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3#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</si>
  <si>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3#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</si>
  <si>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4#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</si>
  <si>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4#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</si>
  <si>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5#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</si>
  <si>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5#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</si>
  <si>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6#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</si>
  <si>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6#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</si>
  <si>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7#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</si>
  <si>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7#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</si>
  <si>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ζ</t>
    </r>
    <r>
      <rPr>
        <sz val="11"/>
        <color theme="1"/>
        <rFont val="宋体"/>
        <family val="3"/>
        <charset val="134"/>
      </rPr>
      <t>旁通管（通气、放空、进人孔）共</t>
    </r>
    <r>
      <rPr>
        <sz val="11"/>
        <color theme="1"/>
        <rFont val="Times New Roman"/>
        <family val="1"/>
      </rPr>
      <t>2</t>
    </r>
    <r>
      <rPr>
        <sz val="11"/>
        <color theme="1"/>
        <rFont val="宋体"/>
        <family val="3"/>
        <charset val="134"/>
      </rPr>
      <t>个</t>
    </r>
  </si>
  <si>
    <r>
      <rPr>
        <sz val="11"/>
        <color theme="1"/>
        <rFont val="Times New Roman"/>
        <family val="1"/>
      </rPr>
      <t>8#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</si>
  <si>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8#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</si>
  <si>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ζ</t>
    </r>
    <r>
      <rPr>
        <sz val="11"/>
        <color theme="1"/>
        <rFont val="宋体"/>
        <family val="3"/>
        <charset val="134"/>
      </rPr>
      <t>旁通管（通气、放空、进人孔）共</t>
    </r>
    <r>
      <rPr>
        <sz val="11"/>
        <color theme="1"/>
        <rFont val="Times New Roman"/>
        <family val="1"/>
      </rPr>
      <t>6</t>
    </r>
    <r>
      <rPr>
        <sz val="11"/>
        <color theme="1"/>
        <rFont val="宋体"/>
        <family val="3"/>
        <charset val="134"/>
      </rPr>
      <t>个</t>
    </r>
  </si>
  <si>
    <r>
      <rPr>
        <sz val="11"/>
        <color theme="1"/>
        <rFont val="Times New Roman"/>
        <family val="1"/>
      </rPr>
      <t>9#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</si>
  <si>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9#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</si>
  <si>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10#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</si>
  <si>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10#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</si>
  <si>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ζ</t>
    </r>
    <r>
      <rPr>
        <sz val="11"/>
        <color theme="1"/>
        <rFont val="宋体"/>
        <family val="3"/>
        <charset val="134"/>
      </rPr>
      <t>旁通管（通气、放空、进人孔）共</t>
    </r>
    <r>
      <rPr>
        <sz val="11"/>
        <color theme="1"/>
        <rFont val="Times New Roman"/>
        <family val="1"/>
      </rPr>
      <t>3</t>
    </r>
    <r>
      <rPr>
        <sz val="11"/>
        <color theme="1"/>
        <rFont val="宋体"/>
        <family val="3"/>
        <charset val="134"/>
      </rPr>
      <t>个</t>
    </r>
  </si>
  <si>
    <r>
      <rPr>
        <sz val="11"/>
        <color theme="1"/>
        <rFont val="Times New Roman"/>
        <family val="1"/>
      </rPr>
      <t>11#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</si>
  <si>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11#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</si>
  <si>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12#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</si>
  <si>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12#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</si>
  <si>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ζ</t>
    </r>
    <r>
      <rPr>
        <sz val="11"/>
        <color theme="1"/>
        <rFont val="宋体"/>
        <family val="3"/>
        <charset val="134"/>
      </rPr>
      <t>旁通管（通气、放空、进人孔）共</t>
    </r>
    <r>
      <rPr>
        <sz val="11"/>
        <color theme="1"/>
        <rFont val="Times New Roman"/>
        <family val="1"/>
      </rPr>
      <t>4</t>
    </r>
    <r>
      <rPr>
        <sz val="11"/>
        <color theme="1"/>
        <rFont val="宋体"/>
        <family val="3"/>
        <charset val="134"/>
      </rPr>
      <t>个</t>
    </r>
  </si>
  <si>
    <r>
      <rPr>
        <sz val="11"/>
        <color theme="1"/>
        <rFont val="Times New Roman"/>
        <family val="1"/>
      </rPr>
      <t>13#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</si>
  <si>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13#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</si>
  <si>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14#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</si>
  <si>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14#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</si>
  <si>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15#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</si>
  <si>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15#</t>
    </r>
    <r>
      <rPr>
        <sz val="12"/>
        <rFont val="宋体"/>
        <family val="3"/>
        <charset val="134"/>
      </rPr>
      <t>倒虹管</t>
    </r>
  </si>
  <si>
    <r>
      <rPr>
        <sz val="11"/>
        <color theme="1"/>
        <rFont val="Times New Roman"/>
        <family val="1"/>
      </rPr>
      <t>16#</t>
    </r>
    <r>
      <rPr>
        <sz val="11"/>
        <color theme="1"/>
        <rFont val="宋体"/>
        <family val="3"/>
        <charset val="134"/>
      </rPr>
      <t>倒虹管</t>
    </r>
  </si>
  <si>
    <r>
      <rPr>
        <sz val="12"/>
        <rFont val="Times New Roman"/>
        <family val="1"/>
      </rPr>
      <t>16#</t>
    </r>
    <r>
      <rPr>
        <sz val="12"/>
        <rFont val="宋体"/>
        <family val="3"/>
        <charset val="134"/>
      </rPr>
      <t>倒虹管</t>
    </r>
  </si>
  <si>
    <t>坐标值</t>
  </si>
  <si>
    <t>编号</t>
  </si>
  <si>
    <t>桩号</t>
  </si>
  <si>
    <t>平面转角α(%%D)</t>
  </si>
  <si>
    <t xml:space="preserve"> </t>
  </si>
  <si>
    <t>Y</t>
  </si>
  <si>
    <t>Z</t>
  </si>
  <si>
    <t>马分0+000.000</t>
  </si>
  <si>
    <t>--</t>
  </si>
  <si>
    <t>马分0+019.280</t>
  </si>
  <si>
    <t>66.19264%%D</t>
  </si>
  <si>
    <t>马分0+111.171</t>
  </si>
  <si>
    <t>58.59874%%D</t>
  </si>
  <si>
    <t>马分0+146.069</t>
  </si>
  <si>
    <t>33.45536%%D</t>
  </si>
  <si>
    <t>马分0+153.175</t>
  </si>
  <si>
    <t>0.00%%D</t>
  </si>
  <si>
    <t>马分0+254.430</t>
  </si>
  <si>
    <t>16.20220%%D</t>
  </si>
  <si>
    <t>马分0+333.715</t>
  </si>
  <si>
    <t>64.32437%%D</t>
  </si>
  <si>
    <t>马分0+380.739</t>
  </si>
  <si>
    <t>44.87412%%D</t>
  </si>
  <si>
    <t>马分0+532.833</t>
  </si>
  <si>
    <t>53.83002%%D</t>
  </si>
  <si>
    <t>马分0+663.128</t>
  </si>
  <si>
    <t>马分0+818.187</t>
  </si>
  <si>
    <t>66.33868%%D</t>
  </si>
  <si>
    <t>马分0+852.528</t>
  </si>
  <si>
    <t>马分0+890.101</t>
  </si>
  <si>
    <t>60.90144%%D</t>
  </si>
  <si>
    <t>马分0+960.822</t>
  </si>
  <si>
    <t>45.80473%%D</t>
  </si>
  <si>
    <t>马分1+018.143</t>
  </si>
  <si>
    <t>58.70167%%D</t>
  </si>
  <si>
    <t>马分1+062.429</t>
  </si>
  <si>
    <t>30.47278%%D</t>
  </si>
  <si>
    <t>马分1+122.714</t>
  </si>
  <si>
    <t>76.22510%%D</t>
  </si>
  <si>
    <t>马分1+171.142</t>
  </si>
  <si>
    <t>11.44219%%D</t>
  </si>
  <si>
    <t>马分1+197.129</t>
  </si>
  <si>
    <t>17.40916%%D</t>
  </si>
  <si>
    <t>马分1+246.721</t>
  </si>
  <si>
    <t>21.50634%%D</t>
  </si>
  <si>
    <t>马分1+315.160</t>
  </si>
  <si>
    <t>38.14925%%D</t>
  </si>
  <si>
    <t>马分1+364.130</t>
  </si>
  <si>
    <t>53.11156%%D</t>
  </si>
  <si>
    <t>马分1+426.894</t>
  </si>
  <si>
    <t>65.28038%%D</t>
  </si>
  <si>
    <t>马分1+460.106</t>
  </si>
  <si>
    <t>75.57961%%D</t>
  </si>
  <si>
    <t>马分1+520.178</t>
  </si>
  <si>
    <t>22.44575%%D</t>
  </si>
  <si>
    <t>马分1+587.216</t>
  </si>
  <si>
    <t>10.15001%%D</t>
  </si>
  <si>
    <t>马分1+749.130</t>
  </si>
  <si>
    <t>7.09847%%D</t>
  </si>
  <si>
    <t>马分1+831.267</t>
  </si>
  <si>
    <t>56.35136%%D</t>
  </si>
  <si>
    <t>马分1+885.419</t>
  </si>
  <si>
    <t>15.71092%%D</t>
  </si>
  <si>
    <t>马分1+893.593</t>
  </si>
  <si>
    <t>马分2+000.225</t>
  </si>
  <si>
    <t>29.34125%%D</t>
  </si>
  <si>
    <t>马分2+208.979</t>
  </si>
  <si>
    <t>25.05179%%D</t>
  </si>
  <si>
    <t>马分2+264.759</t>
  </si>
  <si>
    <t>0.00024%%D</t>
  </si>
  <si>
    <t>马分2+373.257</t>
  </si>
  <si>
    <t>35.59974%%D</t>
  </si>
  <si>
    <t>马分2+380.406</t>
  </si>
  <si>
    <t>马分2+493.146</t>
  </si>
  <si>
    <t>45.68455%%D</t>
  </si>
  <si>
    <t>马分2+517.506</t>
  </si>
  <si>
    <t>马分2+545.151</t>
  </si>
  <si>
    <t>33.16127%%D</t>
  </si>
  <si>
    <t>马分2+575.896</t>
  </si>
  <si>
    <t>0.00065%%D</t>
  </si>
  <si>
    <t>马分2+705.940</t>
  </si>
  <si>
    <t>9.45026%%D</t>
  </si>
  <si>
    <t>马分2+752.463</t>
  </si>
  <si>
    <t>马分2+787.475</t>
  </si>
  <si>
    <t>76.28311%%D</t>
  </si>
  <si>
    <t>马分2+861.561</t>
  </si>
  <si>
    <t>69.98330%%D</t>
  </si>
  <si>
    <t>马分2+886.573</t>
  </si>
  <si>
    <t>马分2+970.572</t>
  </si>
  <si>
    <t>马分2+987.711</t>
  </si>
  <si>
    <t>46.16356%%D</t>
  </si>
  <si>
    <t>马分3+014.387</t>
  </si>
  <si>
    <t>32.34451%%D</t>
  </si>
  <si>
    <t>马分3+029.984</t>
  </si>
  <si>
    <t>马分3+244.986</t>
  </si>
  <si>
    <t>5.32262%%D</t>
  </si>
  <si>
    <t>马分3+293.065</t>
  </si>
  <si>
    <t>36.64616%%D</t>
  </si>
  <si>
    <t>马分3+356.815</t>
  </si>
  <si>
    <t>马分3+476.815</t>
  </si>
  <si>
    <t>马分3+496.910</t>
  </si>
  <si>
    <t>88.56035%%D</t>
  </si>
  <si>
    <t>马分3+549.323</t>
  </si>
  <si>
    <t>11.99823%%D</t>
  </si>
  <si>
    <t>马分3+659.504</t>
  </si>
  <si>
    <t>68.58790%%D</t>
  </si>
  <si>
    <t>马分3+743.238</t>
  </si>
  <si>
    <t>马分3+863.238</t>
  </si>
  <si>
    <t>马分3+881.487</t>
  </si>
  <si>
    <t>71.42987%%D</t>
  </si>
  <si>
    <t>马分3+909.594</t>
  </si>
  <si>
    <t>57.70681%%D</t>
  </si>
  <si>
    <t>马分3+962.997</t>
  </si>
  <si>
    <t>21.67869%%D</t>
  </si>
  <si>
    <t>马分3+967.979</t>
  </si>
  <si>
    <t>马分4+046.359</t>
  </si>
  <si>
    <t>28.67198%%D</t>
  </si>
  <si>
    <t>马分4+102.474</t>
  </si>
  <si>
    <t>马分4+157.752</t>
  </si>
  <si>
    <t>86.95495%%D</t>
  </si>
  <si>
    <t>马分4+199.880</t>
  </si>
  <si>
    <t>64.73336%%D</t>
  </si>
  <si>
    <t>马分4+216.828</t>
  </si>
  <si>
    <t>16.73814%%D</t>
  </si>
  <si>
    <t>马分4+393.133</t>
  </si>
  <si>
    <t>32.54159%%D</t>
  </si>
  <si>
    <t>马分4+452.945</t>
  </si>
  <si>
    <t>60.96786%%D</t>
  </si>
  <si>
    <t>马分4+527.198</t>
  </si>
  <si>
    <t>26.52258%%D</t>
  </si>
  <si>
    <t>马分4+616.025</t>
  </si>
  <si>
    <t>马分4+650.047</t>
  </si>
  <si>
    <t>35.35520%%D</t>
  </si>
  <si>
    <t>马分4+693.194</t>
  </si>
  <si>
    <t>62.37620%%D</t>
  </si>
  <si>
    <t>马分4+745.006</t>
  </si>
  <si>
    <t>30.15175%%D</t>
  </si>
  <si>
    <t>马分4+825.375</t>
  </si>
  <si>
    <t>马分5+325.853</t>
  </si>
  <si>
    <t>马分5+337.920</t>
  </si>
  <si>
    <t>71.60936%%D</t>
  </si>
  <si>
    <t>马分5+424.978</t>
  </si>
  <si>
    <t>71.92881%%D</t>
  </si>
  <si>
    <t>马分5+474.619</t>
  </si>
  <si>
    <t>51.82723%%D</t>
  </si>
  <si>
    <t>马分5+529.073</t>
  </si>
  <si>
    <t>57.61847%%D</t>
  </si>
  <si>
    <t>马分5+588.169</t>
  </si>
  <si>
    <t>43.85762%%D</t>
  </si>
  <si>
    <t>马分5+655.040</t>
  </si>
  <si>
    <t>33.92861%%D</t>
  </si>
  <si>
    <t>马分5+759.536</t>
  </si>
  <si>
    <t>40.75414%%D</t>
  </si>
  <si>
    <t>马分5+787.414</t>
  </si>
  <si>
    <t>31.88938%%D</t>
  </si>
  <si>
    <t>马分5+853.955</t>
  </si>
  <si>
    <t>马分6+480.855</t>
  </si>
  <si>
    <t>马分6+690.576</t>
  </si>
  <si>
    <t>马分6+713.030</t>
  </si>
  <si>
    <t>28.88703%%D</t>
  </si>
  <si>
    <t>马分6+735.294</t>
  </si>
  <si>
    <t>0.00042%%D</t>
  </si>
  <si>
    <t>马分7+307.972</t>
  </si>
  <si>
    <t>25.04302%%D</t>
  </si>
  <si>
    <t>马分7+519.957</t>
  </si>
  <si>
    <t>45.49016%%D</t>
  </si>
  <si>
    <t>马分7+775.847</t>
  </si>
  <si>
    <t>8.99858%%D</t>
  </si>
  <si>
    <t>马分9+081.931</t>
  </si>
  <si>
    <t>18.68342%%D</t>
  </si>
  <si>
    <t>马分9+330.491</t>
  </si>
  <si>
    <t>马分9+526.924</t>
  </si>
  <si>
    <t>马分9+561.128</t>
  </si>
  <si>
    <t>34.33343%%D</t>
  </si>
  <si>
    <t>马分9+603.024</t>
  </si>
  <si>
    <t>马分9+807.846</t>
  </si>
  <si>
    <t>8.79537%%D</t>
  </si>
  <si>
    <t>马分10+171.330</t>
  </si>
  <si>
    <t>59.08810%%D</t>
  </si>
  <si>
    <t>马分10+222.030</t>
  </si>
  <si>
    <t>马分10+236.537</t>
  </si>
  <si>
    <t>66.44537%%D</t>
  </si>
  <si>
    <t>马分10+360.609</t>
  </si>
  <si>
    <t>27.66297%%D</t>
  </si>
  <si>
    <t>马分10+436.520</t>
  </si>
  <si>
    <t>49.68337%%D</t>
  </si>
  <si>
    <t>马分10+582.171</t>
  </si>
  <si>
    <t>16.57048%%D</t>
  </si>
  <si>
    <t>马分10+691.848</t>
  </si>
  <si>
    <t>38.74358%%D</t>
  </si>
  <si>
    <t>马分10+747.337</t>
  </si>
  <si>
    <t>53.51012%%D</t>
  </si>
  <si>
    <t>马分10+780.747</t>
  </si>
  <si>
    <t>77.38854%%D</t>
  </si>
  <si>
    <t>马分10+930.888</t>
  </si>
  <si>
    <t>马分10+940.361</t>
  </si>
  <si>
    <t>21.30100%%D</t>
  </si>
  <si>
    <t>马分10+984.551</t>
  </si>
  <si>
    <t>36.35986%%D</t>
  </si>
  <si>
    <t>马分11+046.044</t>
  </si>
  <si>
    <t>56.78897%%D</t>
  </si>
  <si>
    <t>马分11+098.560</t>
  </si>
  <si>
    <t>47.37389%%D</t>
  </si>
  <si>
    <t>马分11+140.039</t>
  </si>
  <si>
    <t>40.20102%%D</t>
  </si>
  <si>
    <t>马分11+173.229</t>
  </si>
  <si>
    <t>49.74617%%D</t>
  </si>
  <si>
    <t>马分11+179.449</t>
  </si>
  <si>
    <t>0.00021%%D</t>
  </si>
  <si>
    <t>马分11+185.448</t>
  </si>
  <si>
    <t>马分11+299.449</t>
  </si>
  <si>
    <t>马分11+310.769</t>
  </si>
  <si>
    <t>马分11+406.213</t>
  </si>
  <si>
    <t>马分11+420.874</t>
  </si>
  <si>
    <t>马分11+570.874</t>
  </si>
  <si>
    <t>马分11+581.874</t>
  </si>
  <si>
    <t>马分11+640.166</t>
  </si>
  <si>
    <t>16.31144%%D</t>
  </si>
  <si>
    <t>马分11+734.645</t>
  </si>
  <si>
    <t>马分11+779.023</t>
  </si>
  <si>
    <t>马分12+116.819</t>
  </si>
  <si>
    <t>5.63189%%D</t>
  </si>
  <si>
    <t>马分12+385.602</t>
  </si>
  <si>
    <t>马分12+411.524</t>
  </si>
  <si>
    <t>马分13+860.688</t>
  </si>
  <si>
    <t>20.50711%%D</t>
  </si>
  <si>
    <t>马分13+962.936</t>
  </si>
  <si>
    <t>马分14+054.244</t>
  </si>
  <si>
    <t>马分14+085.268</t>
  </si>
  <si>
    <t>马分14+134.243</t>
  </si>
  <si>
    <t>马分14+499.803</t>
  </si>
  <si>
    <t>24.09976%%D</t>
  </si>
  <si>
    <t>马分14+654.257</t>
  </si>
  <si>
    <t>8.44808%%D</t>
  </si>
  <si>
    <t>马分15+089.323</t>
  </si>
  <si>
    <t>31.51046%%D</t>
  </si>
  <si>
    <t>马分15+390.566</t>
  </si>
  <si>
    <t>27.58092%%D</t>
  </si>
  <si>
    <t>马分15+509.066</t>
  </si>
  <si>
    <t>马分15+518.764</t>
  </si>
  <si>
    <t>马分15+708.684</t>
  </si>
  <si>
    <t>36.51323%%D</t>
  </si>
  <si>
    <t>马分15+761.075</t>
  </si>
  <si>
    <t>0.00109%%D</t>
  </si>
  <si>
    <t>马分15+769.575</t>
  </si>
  <si>
    <t>0.00114%%D</t>
  </si>
  <si>
    <t>马分15+950.785</t>
  </si>
  <si>
    <t>38.72492%%D</t>
  </si>
  <si>
    <t>马分16+043.430</t>
  </si>
  <si>
    <t>0.00127%%D</t>
  </si>
  <si>
    <t>马分16+055.570</t>
  </si>
  <si>
    <t>0.00204%%D</t>
  </si>
  <si>
    <t>马分16+202.342</t>
  </si>
  <si>
    <t>35.90443%%D</t>
  </si>
  <si>
    <t>马分16+349.551</t>
  </si>
  <si>
    <t>37.08962%%D</t>
  </si>
  <si>
    <t>马分16+708.448</t>
  </si>
  <si>
    <t>马分16+720.111</t>
  </si>
  <si>
    <t>41.86110%%D</t>
  </si>
  <si>
    <t>马分16+734.899</t>
  </si>
  <si>
    <t>0.00023%%D</t>
  </si>
  <si>
    <t>马分16+751.939</t>
  </si>
  <si>
    <t>马分17+173.619</t>
  </si>
  <si>
    <t>10.05580%%D</t>
  </si>
  <si>
    <t>马分17+554.667</t>
  </si>
  <si>
    <t>11.88138%%D</t>
  </si>
  <si>
    <t>马分18+396.101</t>
  </si>
  <si>
    <t>马分18+402.288</t>
  </si>
  <si>
    <t>26.37735%%D</t>
  </si>
  <si>
    <t>马分18+476.213</t>
  </si>
  <si>
    <t>35.21938%%D</t>
  </si>
  <si>
    <t>马分18+561.976</t>
  </si>
  <si>
    <t>19.63174%%D</t>
  </si>
  <si>
    <t>马分18+612.165</t>
  </si>
  <si>
    <t>18.25625%%D</t>
  </si>
  <si>
    <t>马分18+652.818</t>
  </si>
  <si>
    <t>18.22814%%D</t>
  </si>
  <si>
    <t>马分18+697.521</t>
  </si>
  <si>
    <t>70.43592%%D</t>
  </si>
  <si>
    <t>马分18+721.596</t>
  </si>
  <si>
    <t>37.26844%%D</t>
  </si>
  <si>
    <t>马分18+773.038</t>
  </si>
  <si>
    <t>31.90025%%D</t>
  </si>
  <si>
    <t>马分18+830.384</t>
  </si>
  <si>
    <t>15.78177%%D</t>
  </si>
  <si>
    <t>马分18+860.918</t>
  </si>
  <si>
    <t>61.94703%%D</t>
  </si>
  <si>
    <t>马分18+913.359</t>
  </si>
  <si>
    <t>50.60961%%D</t>
  </si>
  <si>
    <t>马分18+962.344</t>
  </si>
  <si>
    <t>43.26401%%D</t>
  </si>
  <si>
    <t>马分19+015.099</t>
  </si>
  <si>
    <t>41.60561%%D</t>
  </si>
  <si>
    <t>马分19+043.085</t>
  </si>
  <si>
    <t>43.43501%%D</t>
  </si>
  <si>
    <t>马分19+063.610</t>
  </si>
  <si>
    <t>马分19+087.943</t>
  </si>
  <si>
    <t>47.44653%%D</t>
  </si>
  <si>
    <t>马分19+161.328</t>
  </si>
  <si>
    <t>28.57427%%D</t>
  </si>
  <si>
    <t>马分19+312.845</t>
  </si>
  <si>
    <t>36.00515%%D</t>
  </si>
  <si>
    <t>马分19+323.670</t>
  </si>
  <si>
    <t>马分19+566.438</t>
  </si>
  <si>
    <t>马分19+582.510</t>
  </si>
  <si>
    <t>18.95988%%D</t>
  </si>
  <si>
    <t>马分19+698.665</t>
  </si>
  <si>
    <t>马分20+081.340</t>
  </si>
  <si>
    <t>马分20+088.341</t>
  </si>
  <si>
    <t>马分20+149.113</t>
  </si>
  <si>
    <t>58.81675%%D</t>
  </si>
  <si>
    <t>马分20+298.411</t>
  </si>
  <si>
    <t>马分20+305.412</t>
  </si>
  <si>
    <t>马分20+353.618</t>
  </si>
  <si>
    <t>26.97195%%D</t>
  </si>
  <si>
    <t>马分20+480.810</t>
  </si>
  <si>
    <t>43.53212%%D</t>
  </si>
  <si>
    <t>马分20+536.610</t>
  </si>
  <si>
    <t>马分20+543.270</t>
  </si>
  <si>
    <t>32.46509%%D</t>
  </si>
  <si>
    <t>马分20+560.925</t>
  </si>
  <si>
    <t>马分20+573.757</t>
  </si>
  <si>
    <t>马分20+856.944</t>
  </si>
  <si>
    <t>马分20+874.319</t>
  </si>
  <si>
    <t>马分21+549.446</t>
  </si>
  <si>
    <t>马分21+566.446</t>
  </si>
  <si>
    <t>马分21+706.326</t>
  </si>
  <si>
    <t>0.00015%%D</t>
  </si>
  <si>
    <t>马分21+796.326</t>
  </si>
  <si>
    <t>0.00011%%D</t>
  </si>
  <si>
    <t>马分21+813.239</t>
  </si>
  <si>
    <t>3.41431%%D</t>
  </si>
  <si>
    <t>马分22+095.010</t>
  </si>
  <si>
    <r>
      <rPr>
        <sz val="10"/>
        <rFont val="宋体"/>
        <family val="3"/>
        <charset val="134"/>
      </rPr>
      <t>半径</t>
    </r>
  </si>
  <si>
    <r>
      <rPr>
        <sz val="10"/>
        <rFont val="宋体"/>
        <family val="3"/>
        <charset val="134"/>
      </rPr>
      <t>转角</t>
    </r>
  </si>
  <si>
    <r>
      <rPr>
        <sz val="10"/>
        <rFont val="宋体"/>
        <family val="3"/>
        <charset val="134"/>
      </rPr>
      <t>切线长</t>
    </r>
  </si>
  <si>
    <r>
      <rPr>
        <sz val="10"/>
        <rFont val="宋体"/>
        <family val="3"/>
        <charset val="134"/>
      </rPr>
      <t>弧长</t>
    </r>
  </si>
  <si>
    <r>
      <rPr>
        <sz val="10"/>
        <rFont val="Times New Roman"/>
        <family val="1"/>
      </rPr>
      <t>IP</t>
    </r>
    <r>
      <rPr>
        <sz val="10"/>
        <rFont val="宋体"/>
        <family val="3"/>
        <charset val="134"/>
      </rPr>
      <t>直线间距</t>
    </r>
  </si>
  <si>
    <r>
      <rPr>
        <sz val="10"/>
        <rFont val="宋体"/>
        <family val="3"/>
        <charset val="134"/>
      </rPr>
      <t>弯前</t>
    </r>
    <r>
      <rPr>
        <sz val="10"/>
        <rFont val="Times New Roman"/>
        <family val="1"/>
      </rPr>
      <t>BC</t>
    </r>
  </si>
  <si>
    <r>
      <rPr>
        <sz val="10"/>
        <rFont val="宋体"/>
        <family val="3"/>
        <charset val="134"/>
      </rPr>
      <t>里程</t>
    </r>
    <r>
      <rPr>
        <sz val="10"/>
        <rFont val="Times New Roman"/>
        <family val="1"/>
      </rPr>
      <t>MC</t>
    </r>
  </si>
  <si>
    <r>
      <rPr>
        <sz val="10"/>
        <rFont val="宋体"/>
        <family val="3"/>
        <charset val="134"/>
      </rPr>
      <t>弯末</t>
    </r>
    <r>
      <rPr>
        <sz val="10"/>
        <rFont val="Times New Roman"/>
        <family val="1"/>
      </rPr>
      <t>EC</t>
    </r>
  </si>
  <si>
    <t>小圆心</t>
  </si>
  <si>
    <r>
      <rPr>
        <sz val="10"/>
        <rFont val="宋体"/>
        <family val="3"/>
        <charset val="134"/>
      </rPr>
      <t>复核弯前长度</t>
    </r>
  </si>
  <si>
    <r>
      <rPr>
        <sz val="10"/>
        <rFont val="宋体"/>
        <family val="3"/>
        <charset val="134"/>
      </rPr>
      <t>复核弯后长度</t>
    </r>
  </si>
  <si>
    <r>
      <rPr>
        <sz val="10"/>
        <rFont val="宋体"/>
        <family val="3"/>
        <charset val="134"/>
      </rPr>
      <t>复核总长度</t>
    </r>
  </si>
  <si>
    <r>
      <rPr>
        <sz val="10"/>
        <rFont val="Times New Roman"/>
        <family val="1"/>
      </rPr>
      <t>IP</t>
    </r>
    <r>
      <rPr>
        <sz val="10"/>
        <rFont val="宋体"/>
        <family val="3"/>
        <charset val="134"/>
      </rPr>
      <t>点</t>
    </r>
  </si>
  <si>
    <r>
      <rPr>
        <sz val="10"/>
        <rFont val="宋体"/>
        <family val="3"/>
        <charset val="134"/>
      </rPr>
      <t>一流量段末</t>
    </r>
    <r>
      <rPr>
        <sz val="10"/>
        <rFont val="Times New Roman"/>
        <family val="1"/>
      </rPr>
      <t>(1#</t>
    </r>
    <r>
      <rPr>
        <sz val="10"/>
        <rFont val="宋体"/>
        <family val="3"/>
        <charset val="134"/>
      </rPr>
      <t>斗门）</t>
    </r>
  </si>
  <si>
    <r>
      <rPr>
        <sz val="10"/>
        <rFont val="Times New Roman"/>
        <family val="1"/>
      </rPr>
      <t>1#</t>
    </r>
    <r>
      <rPr>
        <sz val="10"/>
        <rFont val="宋体"/>
        <family val="3"/>
        <charset val="134"/>
      </rPr>
      <t>倒虹吸进</t>
    </r>
  </si>
  <si>
    <r>
      <rPr>
        <sz val="10"/>
        <rFont val="Times New Roman"/>
        <family val="1"/>
      </rPr>
      <t>1#</t>
    </r>
    <r>
      <rPr>
        <sz val="10"/>
        <rFont val="宋体"/>
        <family val="3"/>
        <charset val="134"/>
      </rPr>
      <t>倒虹吸出</t>
    </r>
  </si>
  <si>
    <r>
      <rPr>
        <sz val="10"/>
        <rFont val="Times New Roman"/>
        <family val="1"/>
      </rPr>
      <t>2#</t>
    </r>
    <r>
      <rPr>
        <sz val="10"/>
        <rFont val="宋体"/>
        <family val="3"/>
        <charset val="134"/>
      </rPr>
      <t>倒虹吸进</t>
    </r>
  </si>
  <si>
    <r>
      <rPr>
        <sz val="10"/>
        <rFont val="Times New Roman"/>
        <family val="1"/>
      </rPr>
      <t>2#</t>
    </r>
    <r>
      <rPr>
        <sz val="10"/>
        <rFont val="宋体"/>
        <family val="3"/>
        <charset val="134"/>
      </rPr>
      <t>倒虹吸出</t>
    </r>
  </si>
  <si>
    <r>
      <rPr>
        <sz val="10"/>
        <rFont val="Times New Roman"/>
        <family val="1"/>
      </rPr>
      <t>3#</t>
    </r>
    <r>
      <rPr>
        <sz val="10"/>
        <rFont val="宋体"/>
        <family val="3"/>
        <charset val="134"/>
      </rPr>
      <t>倒虹吸进</t>
    </r>
  </si>
  <si>
    <r>
      <rPr>
        <sz val="10"/>
        <rFont val="Times New Roman"/>
        <family val="1"/>
      </rPr>
      <t>3#</t>
    </r>
    <r>
      <rPr>
        <sz val="10"/>
        <rFont val="宋体"/>
        <family val="3"/>
        <charset val="134"/>
      </rPr>
      <t>倒虹吸出</t>
    </r>
  </si>
  <si>
    <r>
      <rPr>
        <sz val="10"/>
        <rFont val="Times New Roman"/>
        <family val="1"/>
      </rPr>
      <t>4#</t>
    </r>
    <r>
      <rPr>
        <sz val="10"/>
        <rFont val="宋体"/>
        <family val="3"/>
        <charset val="134"/>
      </rPr>
      <t>倒虹吸进</t>
    </r>
  </si>
  <si>
    <r>
      <rPr>
        <sz val="10"/>
        <rFont val="Times New Roman"/>
        <family val="1"/>
      </rPr>
      <t>4#</t>
    </r>
    <r>
      <rPr>
        <sz val="10"/>
        <rFont val="宋体"/>
        <family val="3"/>
        <charset val="134"/>
      </rPr>
      <t>倒虹吸出</t>
    </r>
  </si>
  <si>
    <r>
      <rPr>
        <sz val="11"/>
        <color theme="1"/>
        <rFont val="Times New Roman"/>
        <family val="1"/>
      </rPr>
      <t>1#</t>
    </r>
    <r>
      <rPr>
        <sz val="11"/>
        <color theme="1"/>
        <rFont val="宋体"/>
        <family val="3"/>
        <charset val="134"/>
      </rPr>
      <t>渡槽进</t>
    </r>
  </si>
  <si>
    <r>
      <rPr>
        <sz val="11"/>
        <color theme="1"/>
        <rFont val="Times New Roman"/>
        <family val="1"/>
      </rPr>
      <t>1#</t>
    </r>
    <r>
      <rPr>
        <sz val="11"/>
        <color theme="1"/>
        <rFont val="宋体"/>
        <family val="3"/>
        <charset val="134"/>
      </rPr>
      <t>渡槽出</t>
    </r>
  </si>
  <si>
    <r>
      <rPr>
        <sz val="10"/>
        <rFont val="宋体"/>
        <family val="3"/>
        <charset val="134"/>
      </rPr>
      <t>二流量段末</t>
    </r>
    <r>
      <rPr>
        <sz val="10"/>
        <rFont val="Times New Roman"/>
        <family val="1"/>
      </rPr>
      <t>(2#</t>
    </r>
    <r>
      <rPr>
        <sz val="10"/>
        <rFont val="宋体"/>
        <family val="3"/>
        <charset val="134"/>
      </rPr>
      <t>斗门</t>
    </r>
    <r>
      <rPr>
        <sz val="10"/>
        <rFont val="Times New Roman"/>
        <family val="1"/>
      </rPr>
      <t>)</t>
    </r>
  </si>
  <si>
    <r>
      <rPr>
        <sz val="11"/>
        <color theme="1"/>
        <rFont val="Times New Roman"/>
        <family val="1"/>
      </rPr>
      <t>2#</t>
    </r>
    <r>
      <rPr>
        <sz val="11"/>
        <color theme="1"/>
        <rFont val="宋体"/>
        <family val="3"/>
        <charset val="134"/>
      </rPr>
      <t>渡槽进</t>
    </r>
  </si>
  <si>
    <r>
      <rPr>
        <sz val="11"/>
        <color theme="1"/>
        <rFont val="Times New Roman"/>
        <family val="1"/>
      </rPr>
      <t>2#</t>
    </r>
    <r>
      <rPr>
        <sz val="11"/>
        <color theme="1"/>
        <rFont val="宋体"/>
        <family val="3"/>
        <charset val="134"/>
      </rPr>
      <t>渡槽出</t>
    </r>
  </si>
  <si>
    <r>
      <rPr>
        <sz val="11"/>
        <color theme="1"/>
        <rFont val="Times New Roman"/>
        <family val="1"/>
      </rPr>
      <t>3#</t>
    </r>
    <r>
      <rPr>
        <sz val="11"/>
        <color theme="1"/>
        <rFont val="宋体"/>
        <family val="3"/>
        <charset val="134"/>
      </rPr>
      <t>渡槽进</t>
    </r>
  </si>
  <si>
    <r>
      <rPr>
        <sz val="11"/>
        <color theme="1"/>
        <rFont val="Times New Roman"/>
        <family val="1"/>
      </rPr>
      <t>3#</t>
    </r>
    <r>
      <rPr>
        <sz val="11"/>
        <color theme="1"/>
        <rFont val="宋体"/>
        <family val="3"/>
        <charset val="134"/>
      </rPr>
      <t>渡槽出</t>
    </r>
  </si>
  <si>
    <r>
      <rPr>
        <sz val="10"/>
        <rFont val="Times New Roman"/>
        <family val="1"/>
      </rPr>
      <t>5#</t>
    </r>
    <r>
      <rPr>
        <sz val="10"/>
        <rFont val="宋体"/>
        <family val="3"/>
        <charset val="134"/>
      </rPr>
      <t>倒虹吸进</t>
    </r>
  </si>
  <si>
    <r>
      <rPr>
        <sz val="10"/>
        <rFont val="Times New Roman"/>
        <family val="1"/>
      </rPr>
      <t>5#</t>
    </r>
    <r>
      <rPr>
        <sz val="10"/>
        <rFont val="宋体"/>
        <family val="3"/>
        <charset val="134"/>
      </rPr>
      <t>倒虹吸出</t>
    </r>
  </si>
  <si>
    <r>
      <rPr>
        <sz val="10"/>
        <rFont val="宋体"/>
        <family val="3"/>
        <charset val="134"/>
      </rPr>
      <t>三流量段末</t>
    </r>
    <r>
      <rPr>
        <sz val="10"/>
        <rFont val="Times New Roman"/>
        <family val="1"/>
      </rPr>
      <t>(3#</t>
    </r>
    <r>
      <rPr>
        <sz val="10"/>
        <rFont val="宋体"/>
        <family val="3"/>
        <charset val="134"/>
      </rPr>
      <t>斗门</t>
    </r>
    <r>
      <rPr>
        <sz val="10"/>
        <rFont val="Times New Roman"/>
        <family val="1"/>
      </rPr>
      <t>)</t>
    </r>
  </si>
  <si>
    <r>
      <rPr>
        <sz val="10"/>
        <rFont val="Times New Roman"/>
        <family val="1"/>
      </rPr>
      <t>6#</t>
    </r>
    <r>
      <rPr>
        <sz val="10"/>
        <rFont val="宋体"/>
        <family val="3"/>
        <charset val="134"/>
      </rPr>
      <t>倒虹吸进</t>
    </r>
  </si>
  <si>
    <r>
      <rPr>
        <sz val="10"/>
        <rFont val="Times New Roman"/>
        <family val="1"/>
      </rPr>
      <t>6#</t>
    </r>
    <r>
      <rPr>
        <sz val="10"/>
        <rFont val="宋体"/>
        <family val="3"/>
        <charset val="134"/>
      </rPr>
      <t>倒虹吸出</t>
    </r>
  </si>
  <si>
    <t>7#倒虹吸进</t>
  </si>
  <si>
    <t>7#倒虹吸出</t>
  </si>
  <si>
    <t>1#新庄节制闸</t>
  </si>
  <si>
    <t>8#倒虹吸进</t>
  </si>
  <si>
    <t>8#倒虹吸出</t>
  </si>
  <si>
    <t>四流量段末(4#斗门)</t>
  </si>
  <si>
    <t>1#隧洞进</t>
  </si>
  <si>
    <t>1#隧洞出</t>
  </si>
  <si>
    <t>五流量段末(5#斗门)</t>
  </si>
  <si>
    <t>4#渡槽进</t>
  </si>
  <si>
    <t>4#渡槽出</t>
  </si>
  <si>
    <t>2#隧洞进</t>
  </si>
  <si>
    <t>2#隧洞出</t>
  </si>
  <si>
    <r>
      <rPr>
        <sz val="10"/>
        <rFont val="Times New Roman"/>
        <family val="1"/>
      </rPr>
      <t>5#</t>
    </r>
    <r>
      <rPr>
        <sz val="10"/>
        <rFont val="宋体"/>
        <family val="3"/>
        <charset val="134"/>
      </rPr>
      <t>渡槽进</t>
    </r>
  </si>
  <si>
    <t>5#渡槽出</t>
  </si>
  <si>
    <t>3#隧洞进</t>
  </si>
  <si>
    <t>3#隧洞出</t>
  </si>
  <si>
    <t>9#倒虹吸进</t>
  </si>
  <si>
    <t>9#倒虹吸出</t>
  </si>
  <si>
    <t>4#隧洞进</t>
  </si>
  <si>
    <t>4#隧洞出</t>
  </si>
  <si>
    <t>六流量段末(6#斗门）</t>
  </si>
  <si>
    <t>2#姚家湾节制闸</t>
  </si>
  <si>
    <t>10#倒虹吸进</t>
  </si>
  <si>
    <t>10#倒虹吸出</t>
  </si>
  <si>
    <t>5#隧洞进</t>
  </si>
  <si>
    <t>5#隧洞出</t>
  </si>
  <si>
    <t>11#倒虹吸进</t>
  </si>
  <si>
    <t>11#倒虹吸出</t>
  </si>
  <si>
    <t>6#隧洞进</t>
  </si>
  <si>
    <t>6#隧洞出</t>
  </si>
  <si>
    <t>梅雨一支渠节制闸(七流量段末)</t>
  </si>
  <si>
    <t>12#倒虹吸进</t>
  </si>
  <si>
    <t>12#倒虹吸出</t>
  </si>
  <si>
    <t>梅雨二支渠节制闸(八流量段末)</t>
  </si>
  <si>
    <t>13#倒虹吸进</t>
  </si>
  <si>
    <t>13#倒虹吸出</t>
  </si>
  <si>
    <t>14#倒虹吸进</t>
  </si>
  <si>
    <t>14#倒虹吸出</t>
  </si>
  <si>
    <t>7#隧洞进</t>
  </si>
  <si>
    <t>7#隧洞出</t>
  </si>
  <si>
    <t>15#倒虹吸进</t>
  </si>
  <si>
    <t>15#倒虹吸出</t>
  </si>
  <si>
    <t>梅雨三支渠节制闸(九流量段末)</t>
  </si>
  <si>
    <t>8#隧洞进</t>
  </si>
  <si>
    <t>8#隧洞出</t>
  </si>
  <si>
    <t>16#倒虹吸进</t>
  </si>
  <si>
    <t>16#倒虹吸出</t>
  </si>
  <si>
    <r>
      <rPr>
        <sz val="10"/>
        <rFont val="Times New Roman"/>
        <family val="1"/>
      </rPr>
      <t>9</t>
    </r>
    <r>
      <rPr>
        <sz val="11"/>
        <color theme="1"/>
        <rFont val="Times New Roman"/>
        <family val="1"/>
      </rPr>
      <t>-1#</t>
    </r>
    <r>
      <rPr>
        <sz val="11"/>
        <color theme="1"/>
        <rFont val="宋体"/>
        <family val="3"/>
        <charset val="134"/>
      </rPr>
      <t>隧洞进</t>
    </r>
  </si>
  <si>
    <r>
      <rPr>
        <sz val="10"/>
        <rFont val="Times New Roman"/>
        <family val="1"/>
      </rPr>
      <t>9-1</t>
    </r>
    <r>
      <rPr>
        <sz val="11"/>
        <color theme="1"/>
        <rFont val="Times New Roman"/>
        <family val="1"/>
      </rPr>
      <t>#</t>
    </r>
    <r>
      <rPr>
        <sz val="11"/>
        <color theme="1"/>
        <rFont val="宋体"/>
        <family val="3"/>
        <charset val="134"/>
      </rPr>
      <t>隧洞出</t>
    </r>
  </si>
  <si>
    <r>
      <rPr>
        <sz val="10"/>
        <rFont val="Times New Roman"/>
        <family val="1"/>
      </rPr>
      <t>9</t>
    </r>
    <r>
      <rPr>
        <sz val="11"/>
        <color theme="1"/>
        <rFont val="Times New Roman"/>
        <family val="1"/>
      </rPr>
      <t>-2#</t>
    </r>
    <r>
      <rPr>
        <sz val="11"/>
        <color theme="1"/>
        <rFont val="宋体"/>
        <family val="3"/>
        <charset val="134"/>
      </rPr>
      <t>隧洞进</t>
    </r>
  </si>
  <si>
    <r>
      <rPr>
        <sz val="10"/>
        <rFont val="Times New Roman"/>
        <family val="1"/>
      </rPr>
      <t>9-2</t>
    </r>
    <r>
      <rPr>
        <sz val="11"/>
        <color theme="1"/>
        <rFont val="Times New Roman"/>
        <family val="1"/>
      </rPr>
      <t>#</t>
    </r>
    <r>
      <rPr>
        <sz val="11"/>
        <color theme="1"/>
        <rFont val="宋体"/>
        <family val="3"/>
        <charset val="134"/>
      </rPr>
      <t>隧洞出</t>
    </r>
  </si>
  <si>
    <t>建筑物名称</t>
  </si>
  <si>
    <t>隧洞</t>
  </si>
  <si>
    <t>渡槽</t>
  </si>
  <si>
    <t>倒虹管</t>
  </si>
  <si>
    <t>暗渠</t>
  </si>
  <si>
    <t>节制闸</t>
  </si>
  <si>
    <t>分水及分标特征点</t>
  </si>
  <si>
    <t>明渠</t>
  </si>
  <si>
    <r>
      <rPr>
        <sz val="10"/>
        <rFont val="Times New Roman"/>
        <family val="1"/>
      </rPr>
      <t>N:</t>
    </r>
    <r>
      <rPr>
        <sz val="10"/>
        <rFont val="宋体"/>
        <family val="3"/>
        <charset val="134"/>
      </rPr>
      <t>导入</t>
    </r>
    <r>
      <rPr>
        <sz val="10"/>
        <rFont val="Times New Roman"/>
        <family val="1"/>
      </rPr>
      <t>CAD</t>
    </r>
    <r>
      <rPr>
        <sz val="10"/>
        <rFont val="宋体"/>
        <family val="3"/>
        <charset val="134"/>
      </rPr>
      <t>中时，要输入命令</t>
    </r>
    <r>
      <rPr>
        <sz val="10"/>
        <rFont val="Times New Roman"/>
        <family val="1"/>
      </rPr>
      <t>PL</t>
    </r>
    <r>
      <rPr>
        <sz val="10"/>
        <rFont val="宋体"/>
        <family val="3"/>
        <charset val="134"/>
      </rPr>
      <t>，然后复制粘贴</t>
    </r>
  </si>
  <si>
    <t>IP</t>
  </si>
  <si>
    <t>X(I)</t>
  </si>
  <si>
    <t>Y(I)</t>
  </si>
  <si>
    <t>转角</t>
  </si>
  <si>
    <t>分标桩号</t>
  </si>
  <si>
    <t>弯道长度</t>
  </si>
  <si>
    <r>
      <rPr>
        <sz val="10"/>
        <rFont val="宋体"/>
        <family val="3"/>
        <charset val="134"/>
      </rPr>
      <t>IP</t>
    </r>
    <r>
      <rPr>
        <sz val="10"/>
        <rFont val="宋体"/>
        <family val="3"/>
        <charset val="134"/>
      </rPr>
      <t>间距</t>
    </r>
  </si>
  <si>
    <t>边坡系数</t>
  </si>
  <si>
    <t>坡比</t>
  </si>
  <si>
    <t>流量</t>
  </si>
  <si>
    <t>水深</t>
  </si>
  <si>
    <t>过水断面面积</t>
  </si>
  <si>
    <t>弯道水头损失</t>
  </si>
  <si>
    <t>渐变段水头损失</t>
  </si>
  <si>
    <t>沿程水头损失</t>
  </si>
  <si>
    <t>预留损失</t>
  </si>
  <si>
    <r>
      <rPr>
        <sz val="10"/>
        <rFont val="宋体"/>
        <family val="3"/>
        <charset val="134"/>
      </rPr>
      <t>过闸损失</t>
    </r>
  </si>
  <si>
    <r>
      <rPr>
        <sz val="10"/>
        <rFont val="宋体"/>
        <family val="3"/>
        <charset val="134"/>
      </rPr>
      <t>弯</t>
    </r>
    <r>
      <rPr>
        <sz val="10"/>
        <rFont val="Times New Roman"/>
        <family val="1"/>
      </rPr>
      <t>/</t>
    </r>
    <r>
      <rPr>
        <sz val="10"/>
        <rFont val="宋体"/>
        <family val="3"/>
        <charset val="134"/>
      </rPr>
      <t>渐末水深</t>
    </r>
  </si>
  <si>
    <t>水损合</t>
  </si>
  <si>
    <t>水面</t>
  </si>
  <si>
    <t>渐变段</t>
  </si>
  <si>
    <r>
      <rPr>
        <sz val="10"/>
        <rFont val="宋体"/>
        <family val="3"/>
        <charset val="134"/>
      </rPr>
      <t>渐进</t>
    </r>
    <r>
      <rPr>
        <sz val="10"/>
        <rFont val="Times New Roman"/>
        <family val="1"/>
      </rPr>
      <t>/</t>
    </r>
    <r>
      <rPr>
        <sz val="10"/>
        <rFont val="宋体"/>
        <family val="3"/>
        <charset val="134"/>
      </rPr>
      <t>渐出</t>
    </r>
  </si>
  <si>
    <t>弯前</t>
  </si>
  <si>
    <t>弯后</t>
  </si>
  <si>
    <t>IP点</t>
  </si>
  <si>
    <t>渠道底高程</t>
  </si>
  <si>
    <t>水面线高程</t>
  </si>
  <si>
    <t>竖线</t>
  </si>
  <si>
    <t>渠道底高程文字</t>
  </si>
  <si>
    <t>水面线高程文字</t>
  </si>
  <si>
    <t>桩号文字</t>
  </si>
  <si>
    <t>BC</t>
  </si>
  <si>
    <t>MC</t>
  </si>
  <si>
    <t>EC</t>
  </si>
  <si>
    <t>B</t>
  </si>
  <si>
    <t>1/i</t>
  </si>
  <si>
    <t>A</t>
  </si>
  <si>
    <t>v</t>
  </si>
  <si>
    <t>过渡值</t>
  </si>
  <si>
    <t>长度</t>
  </si>
  <si>
    <t>底高程</t>
  </si>
  <si>
    <t>水面线</t>
  </si>
  <si>
    <t>技施总水头损失</t>
  </si>
  <si>
    <t>差值</t>
  </si>
  <si>
    <t>初设分水水位</t>
  </si>
  <si>
    <t>梅雨一支渠</t>
  </si>
  <si>
    <t>梅雨二支渠</t>
  </si>
  <si>
    <t>梅雨三支渠</t>
  </si>
  <si>
    <t>梅雨四支渠</t>
  </si>
  <si>
    <t>1#倒虹吸进</t>
  </si>
  <si>
    <t>1#倒虹吸出</t>
  </si>
  <si>
    <t>2#倒虹吸进</t>
  </si>
  <si>
    <t>2#倒虹吸出</t>
  </si>
  <si>
    <t>明渠（含渐变段）</t>
  </si>
  <si>
    <t>隧洞(含暗渠)</t>
  </si>
  <si>
    <t>总长</t>
  </si>
  <si>
    <t>3#倒虹吸进</t>
  </si>
  <si>
    <t>3#倒虹吸出</t>
  </si>
  <si>
    <t>4#倒虹吸进</t>
  </si>
  <si>
    <t>4#倒虹吸出</t>
  </si>
  <si>
    <t>1#渡槽进</t>
  </si>
  <si>
    <t>1#渡槽出</t>
  </si>
  <si>
    <t>2#渡槽进</t>
  </si>
  <si>
    <t>2#渡槽出</t>
  </si>
  <si>
    <t>3#渡槽进</t>
  </si>
  <si>
    <t>3#渡槽出</t>
  </si>
  <si>
    <t>5#倒虹吸进</t>
  </si>
  <si>
    <t>5#倒虹吸出</t>
  </si>
  <si>
    <t>6#倒虹吸进</t>
  </si>
  <si>
    <t>6#倒虹吸出</t>
  </si>
  <si>
    <t>5#渡槽进</t>
  </si>
  <si>
    <r>
      <rPr>
        <sz val="11"/>
        <color theme="1"/>
        <rFont val="宋体"/>
        <family val="3"/>
        <charset val="134"/>
        <scheme val="minor"/>
      </rPr>
      <t>9</t>
    </r>
    <r>
      <rPr>
        <sz val="11"/>
        <color theme="1"/>
        <rFont val="宋体"/>
        <family val="3"/>
        <charset val="134"/>
        <scheme val="minor"/>
      </rPr>
      <t>-1</t>
    </r>
    <r>
      <rPr>
        <sz val="11"/>
        <color theme="1"/>
        <rFont val="宋体"/>
        <family val="3"/>
        <charset val="134"/>
        <scheme val="minor"/>
      </rPr>
      <t>#隧洞进</t>
    </r>
  </si>
  <si>
    <r>
      <rPr>
        <sz val="11"/>
        <color theme="1"/>
        <rFont val="宋体"/>
        <family val="3"/>
        <charset val="134"/>
        <scheme val="minor"/>
      </rPr>
      <t>9</t>
    </r>
    <r>
      <rPr>
        <sz val="11"/>
        <color theme="1"/>
        <rFont val="宋体"/>
        <family val="3"/>
        <charset val="134"/>
        <scheme val="minor"/>
      </rPr>
      <t>-1</t>
    </r>
    <r>
      <rPr>
        <sz val="11"/>
        <color theme="1"/>
        <rFont val="宋体"/>
        <family val="3"/>
        <charset val="134"/>
        <scheme val="minor"/>
      </rPr>
      <t>#隧洞出</t>
    </r>
  </si>
  <si>
    <r>
      <rPr>
        <sz val="11"/>
        <color theme="1"/>
        <rFont val="宋体"/>
        <family val="3"/>
        <charset val="134"/>
        <scheme val="minor"/>
      </rPr>
      <t>9-2</t>
    </r>
    <r>
      <rPr>
        <sz val="11"/>
        <color theme="1"/>
        <rFont val="宋体"/>
        <family val="3"/>
        <charset val="134"/>
        <scheme val="minor"/>
      </rPr>
      <t>#隧洞进</t>
    </r>
  </si>
  <si>
    <r>
      <rPr>
        <sz val="11"/>
        <color theme="1"/>
        <rFont val="宋体"/>
        <family val="3"/>
        <charset val="134"/>
        <scheme val="minor"/>
      </rPr>
      <t>9-2</t>
    </r>
    <r>
      <rPr>
        <sz val="11"/>
        <color theme="1"/>
        <rFont val="宋体"/>
        <family val="3"/>
        <charset val="134"/>
        <scheme val="minor"/>
      </rPr>
      <t>#隧洞出</t>
    </r>
  </si>
  <si>
    <r>
      <rPr>
        <sz val="11"/>
        <color theme="1"/>
        <rFont val="宋体"/>
        <family val="3"/>
        <charset val="134"/>
        <scheme val="minor"/>
      </rPr>
      <t>桩号(</t>
    </r>
    <r>
      <rPr>
        <sz val="11"/>
        <color theme="1"/>
        <rFont val="宋体"/>
        <family val="3"/>
        <charset val="134"/>
        <scheme val="minor"/>
      </rPr>
      <t>km+m)</t>
    </r>
  </si>
  <si>
    <t>°</t>
  </si>
  <si>
    <r>
      <rPr>
        <sz val="11"/>
        <color theme="1"/>
        <rFont val="宋体"/>
        <family val="3"/>
        <charset val="134"/>
        <scheme val="minor"/>
      </rPr>
      <t>水面线(</t>
    </r>
    <r>
      <rPr>
        <sz val="11"/>
        <color theme="1"/>
        <rFont val="宋体"/>
        <family val="3"/>
        <charset val="134"/>
        <scheme val="minor"/>
      </rPr>
      <t>m)</t>
    </r>
  </si>
  <si>
    <t>底高程(m)</t>
  </si>
  <si>
    <t>IP0</t>
  </si>
  <si>
    <t>IP1</t>
  </si>
  <si>
    <t>IP2</t>
  </si>
  <si>
    <t>IP3</t>
  </si>
  <si>
    <t>一流量段末(1#斗门）</t>
  </si>
  <si>
    <t>IP4</t>
  </si>
  <si>
    <t>IP5</t>
  </si>
  <si>
    <t>IP6</t>
  </si>
  <si>
    <t>IP7</t>
  </si>
  <si>
    <t>IP8</t>
  </si>
  <si>
    <t>IP9</t>
  </si>
  <si>
    <t>IP10</t>
  </si>
  <si>
    <t>IP11</t>
  </si>
  <si>
    <t>IP12</t>
  </si>
  <si>
    <t>IP13</t>
  </si>
  <si>
    <t>IP14</t>
  </si>
  <si>
    <t>IP15</t>
  </si>
  <si>
    <t>IP16</t>
  </si>
  <si>
    <t>IP17</t>
  </si>
  <si>
    <t>IP18</t>
  </si>
  <si>
    <t>IP19</t>
  </si>
  <si>
    <t>IP20</t>
  </si>
  <si>
    <t>IP21</t>
  </si>
  <si>
    <t>IP22</t>
  </si>
  <si>
    <t>IP23</t>
  </si>
  <si>
    <t>IP24</t>
  </si>
  <si>
    <t>IP25</t>
  </si>
  <si>
    <t>IP26</t>
  </si>
  <si>
    <t>IP27</t>
  </si>
  <si>
    <t>IP28</t>
  </si>
  <si>
    <t>IP29</t>
  </si>
  <si>
    <t>IP30</t>
  </si>
  <si>
    <t>IP31</t>
  </si>
  <si>
    <t>IP32</t>
  </si>
  <si>
    <t>IP33</t>
  </si>
  <si>
    <t>IP34</t>
  </si>
  <si>
    <t>IP35</t>
  </si>
  <si>
    <t>二流量段末(2#斗门)</t>
  </si>
  <si>
    <t>IP36</t>
  </si>
  <si>
    <t>IP37</t>
  </si>
  <si>
    <t>IP38</t>
  </si>
  <si>
    <t>IP39</t>
  </si>
  <si>
    <t>IP40</t>
  </si>
  <si>
    <t>IP41</t>
  </si>
  <si>
    <t>IP42</t>
  </si>
  <si>
    <t>IP43</t>
  </si>
  <si>
    <t>IP44</t>
  </si>
  <si>
    <t>IP45</t>
  </si>
  <si>
    <t>IP46</t>
  </si>
  <si>
    <t>IP47</t>
  </si>
  <si>
    <t>IP48</t>
  </si>
  <si>
    <t>IP49</t>
  </si>
  <si>
    <t>IP50</t>
  </si>
  <si>
    <t>三流量段末(3#斗门)</t>
  </si>
  <si>
    <t>IP51</t>
  </si>
  <si>
    <t>IP52</t>
  </si>
  <si>
    <t>IP53</t>
  </si>
  <si>
    <t>IP54</t>
  </si>
  <si>
    <t>IP55</t>
  </si>
  <si>
    <t>IP56</t>
  </si>
  <si>
    <t>IP57</t>
  </si>
  <si>
    <t>IP58</t>
  </si>
  <si>
    <t>IP59</t>
  </si>
  <si>
    <t>IP60</t>
  </si>
  <si>
    <t>IP61</t>
  </si>
  <si>
    <t>IP62</t>
  </si>
  <si>
    <t>IP63</t>
  </si>
  <si>
    <t>IP64</t>
  </si>
  <si>
    <t>IP65</t>
  </si>
  <si>
    <t>IP66</t>
  </si>
  <si>
    <t>IP67</t>
  </si>
  <si>
    <t>IP68</t>
  </si>
  <si>
    <t>IP69</t>
  </si>
  <si>
    <t>IP70</t>
  </si>
  <si>
    <t>IP71</t>
  </si>
  <si>
    <t>IP72</t>
  </si>
  <si>
    <t>IP73</t>
  </si>
  <si>
    <t>IP74</t>
  </si>
  <si>
    <t>IP75</t>
  </si>
  <si>
    <t>IP76</t>
  </si>
  <si>
    <t>IP77</t>
  </si>
  <si>
    <t>IP78</t>
  </si>
  <si>
    <t>IP79</t>
  </si>
  <si>
    <t>IP80</t>
  </si>
  <si>
    <t>IP81</t>
  </si>
  <si>
    <t>IP82</t>
  </si>
  <si>
    <t>IP83</t>
  </si>
  <si>
    <t>IP84</t>
  </si>
  <si>
    <t>IP85</t>
  </si>
  <si>
    <t>IP86</t>
  </si>
  <si>
    <t>IP87</t>
  </si>
  <si>
    <t>IP88</t>
  </si>
  <si>
    <t>IP89</t>
  </si>
  <si>
    <t>IP90</t>
  </si>
  <si>
    <t>IP91</t>
  </si>
  <si>
    <t>IP92</t>
  </si>
  <si>
    <t>IP93</t>
  </si>
  <si>
    <t>IP94</t>
  </si>
  <si>
    <t>IP95</t>
  </si>
  <si>
    <t>IP96</t>
  </si>
  <si>
    <t>IP97</t>
  </si>
  <si>
    <t>IP98</t>
  </si>
  <si>
    <t>IP99</t>
  </si>
  <si>
    <t>IP100</t>
  </si>
  <si>
    <t>IP101</t>
  </si>
  <si>
    <t>IP102</t>
  </si>
  <si>
    <t>IP103</t>
  </si>
  <si>
    <t>IP104</t>
  </si>
  <si>
    <t>IP105</t>
  </si>
  <si>
    <t>IP106</t>
  </si>
  <si>
    <t>IP107</t>
  </si>
  <si>
    <t>IP108</t>
  </si>
  <si>
    <t>IP109</t>
  </si>
  <si>
    <t>IP110</t>
  </si>
  <si>
    <t>IP111</t>
  </si>
  <si>
    <t>IP112</t>
  </si>
  <si>
    <t>IP113</t>
  </si>
  <si>
    <t>IP114</t>
  </si>
  <si>
    <t>IP115</t>
  </si>
  <si>
    <t>IP116</t>
  </si>
  <si>
    <t>IP117</t>
  </si>
  <si>
    <t>IP118</t>
  </si>
  <si>
    <t>IP119</t>
  </si>
  <si>
    <t>9-1#隧洞进</t>
  </si>
  <si>
    <t>9-1#隧洞出</t>
  </si>
  <si>
    <t>9-2#隧洞进</t>
  </si>
  <si>
    <t>IP120</t>
  </si>
  <si>
    <t>9-2#隧洞出</t>
  </si>
  <si>
    <t>全挖方石渠</t>
  </si>
  <si>
    <t>半挖半填石渠</t>
  </si>
  <si>
    <t>全填方</t>
  </si>
  <si>
    <t>起点桩号</t>
  </si>
  <si>
    <t>终点桩号</t>
  </si>
  <si>
    <t>水泥改性土回填(m3)</t>
  </si>
  <si>
    <t>模板(m2)</t>
  </si>
  <si>
    <t>防渗膜(m2)</t>
  </si>
  <si>
    <t>闭口泡沫板(m2)</t>
  </si>
  <si>
    <t>一</t>
  </si>
  <si>
    <t>0~149.73</t>
  </si>
  <si>
    <t>149.73~3001.12</t>
  </si>
  <si>
    <t>3001.12~4567.05</t>
  </si>
  <si>
    <t>二</t>
  </si>
  <si>
    <t>4567.05~9466.99</t>
  </si>
  <si>
    <t>9466.99~10862.62</t>
  </si>
  <si>
    <t>10862.62~13982.83</t>
  </si>
  <si>
    <t>13982.83~16661.99</t>
  </si>
  <si>
    <t>16661.99~18985.17</t>
  </si>
  <si>
    <t>18985.17~20480.27</t>
  </si>
  <si>
    <t>四</t>
  </si>
  <si>
    <t>20480.27~22014.35</t>
  </si>
  <si>
    <t>五</t>
  </si>
  <si>
    <t>三</t>
  </si>
  <si>
    <t>边坡类型</t>
  </si>
  <si>
    <t>渠道底宽</t>
  </si>
  <si>
    <t>渠道高度</t>
  </si>
  <si>
    <t>坡降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</si>
  <si>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(m)</t>
    </r>
  </si>
  <si>
    <t>h1(m)</t>
  </si>
  <si>
    <t>h2(m)</t>
  </si>
  <si>
    <t>H(m)</t>
  </si>
  <si>
    <t>i</t>
  </si>
  <si>
    <t>六</t>
  </si>
  <si>
    <t>七</t>
  </si>
  <si>
    <t>八</t>
  </si>
  <si>
    <t>九</t>
  </si>
  <si>
    <t>十</t>
  </si>
  <si>
    <t>合计</t>
  </si>
  <si>
    <t>明渠总长</t>
  </si>
  <si>
    <t>项目</t>
  </si>
  <si>
    <t>单位</t>
  </si>
  <si>
    <t>初设工程量</t>
  </si>
  <si>
    <t>施工图工程量</t>
  </si>
  <si>
    <t>初设概算单价(元)</t>
  </si>
  <si>
    <t>初设投资(万元)</t>
  </si>
  <si>
    <t>施工图投资(万元)</t>
  </si>
  <si>
    <t>投资增加或减少(万元)</t>
  </si>
  <si>
    <t>备注</t>
  </si>
  <si>
    <t>土方开挖(利用料)</t>
  </si>
  <si>
    <t>m3</t>
  </si>
  <si>
    <t>水泥改性土回填</t>
  </si>
  <si>
    <t>土石方回填</t>
  </si>
  <si>
    <t>模板</t>
  </si>
  <si>
    <r>
      <rPr>
        <sz val="11"/>
        <color theme="1"/>
        <rFont val="宋体"/>
        <family val="3"/>
        <charset val="134"/>
        <scheme val="minor"/>
      </rPr>
      <t>m</t>
    </r>
    <r>
      <rPr>
        <sz val="11"/>
        <color theme="1"/>
        <rFont val="宋体"/>
        <family val="3"/>
        <charset val="134"/>
        <scheme val="minor"/>
      </rPr>
      <t>2</t>
    </r>
  </si>
  <si>
    <t>混凝土C20F1OOW6(渠道衬砌)</t>
  </si>
  <si>
    <t>混凝土C20F1OO(渠道压块)</t>
  </si>
  <si>
    <r>
      <rPr>
        <sz val="11"/>
        <color theme="1"/>
        <rFont val="宋体"/>
        <family val="3"/>
        <charset val="134"/>
        <scheme val="minor"/>
      </rPr>
      <t>检修梯步C</t>
    </r>
    <r>
      <rPr>
        <sz val="11"/>
        <color theme="1"/>
        <rFont val="宋体"/>
        <family val="3"/>
        <charset val="134"/>
        <scheme val="minor"/>
      </rPr>
      <t>25F100素混凝土</t>
    </r>
  </si>
  <si>
    <r>
      <rPr>
        <sz val="11"/>
        <color theme="1"/>
        <rFont val="宋体"/>
        <family val="3"/>
        <charset val="134"/>
        <scheme val="minor"/>
      </rPr>
      <t>m</t>
    </r>
    <r>
      <rPr>
        <sz val="11"/>
        <color theme="1"/>
        <rFont val="宋体"/>
        <family val="3"/>
        <charset val="134"/>
        <scheme val="minor"/>
      </rPr>
      <t>3</t>
    </r>
  </si>
  <si>
    <t>浆砌石M7.5(排水沟)</t>
  </si>
  <si>
    <t>泥石路面</t>
  </si>
  <si>
    <t>排水孔(3m,直径56mm,孔内保护)</t>
  </si>
  <si>
    <t>PVC排水花管(直径50mm)</t>
  </si>
  <si>
    <t>无单价</t>
  </si>
  <si>
    <r>
      <rPr>
        <sz val="11"/>
        <color theme="1"/>
        <rFont val="宋体"/>
        <family val="3"/>
        <charset val="134"/>
        <scheme val="minor"/>
      </rPr>
      <t>新增(初设漏</t>
    </r>
    <r>
      <rPr>
        <sz val="11"/>
        <color theme="1"/>
        <rFont val="宋体"/>
        <family val="3"/>
        <charset val="134"/>
        <scheme val="minor"/>
      </rPr>
      <t>)</t>
    </r>
  </si>
  <si>
    <r>
      <rPr>
        <sz val="11"/>
        <color theme="1"/>
        <rFont val="宋体"/>
        <family val="3"/>
        <charset val="134"/>
        <scheme val="minor"/>
      </rPr>
      <t>喷普通混凝土C</t>
    </r>
    <r>
      <rPr>
        <sz val="11"/>
        <color theme="1"/>
        <rFont val="宋体"/>
        <family val="3"/>
        <charset val="134"/>
        <scheme val="minor"/>
      </rPr>
      <t>20F100(边坡)</t>
    </r>
  </si>
  <si>
    <t xml:space="preserve">锚杆（φ25，L=3m) </t>
  </si>
  <si>
    <t>根</t>
  </si>
  <si>
    <t xml:space="preserve">挂网钢筋（φ6.0@20cm×20cm）  </t>
  </si>
  <si>
    <t>t</t>
  </si>
  <si>
    <t>防护栏杆</t>
  </si>
  <si>
    <t>防渗膜</t>
  </si>
  <si>
    <t>闭口泡沫板</t>
  </si>
  <si>
    <t>聚硫密封胶</t>
  </si>
  <si>
    <t>2.1.1</t>
    <phoneticPr fontId="31" type="noConversion"/>
  </si>
  <si>
    <r>
      <rPr>
        <sz val="11"/>
        <color theme="1"/>
        <rFont val="宋体"/>
        <family val="3"/>
        <charset val="134"/>
      </rPr>
      <t>土方开挖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利用料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</si>
  <si>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水泥改性土回填</t>
    </r>
  </si>
  <si>
    <r>
      <rPr>
        <sz val="11"/>
        <color theme="1"/>
        <rFont val="宋体"/>
        <family val="3"/>
        <charset val="134"/>
      </rPr>
      <t>土石方回填</t>
    </r>
  </si>
  <si>
    <r>
      <rPr>
        <sz val="11"/>
        <color theme="1"/>
        <rFont val="宋体"/>
        <family val="3"/>
        <charset val="134"/>
      </rPr>
      <t>模板</t>
    </r>
  </si>
  <si>
    <r>
      <rPr>
        <sz val="11"/>
        <color theme="1"/>
        <rFont val="宋体"/>
        <family val="3"/>
        <charset val="134"/>
      </rPr>
      <t>检修梯步</t>
    </r>
    <r>
      <rPr>
        <sz val="11"/>
        <color theme="1"/>
        <rFont val="Times New Roman"/>
        <family val="1"/>
      </rPr>
      <t>C25F100</t>
    </r>
    <r>
      <rPr>
        <sz val="11"/>
        <color theme="1"/>
        <rFont val="宋体"/>
        <family val="3"/>
        <charset val="134"/>
      </rPr>
      <t>素混凝土</t>
    </r>
  </si>
  <si>
    <r>
      <rPr>
        <sz val="11"/>
        <color theme="1"/>
        <rFont val="宋体"/>
        <family val="3"/>
        <charset val="134"/>
      </rPr>
      <t>浆砌石</t>
    </r>
    <r>
      <rPr>
        <sz val="11"/>
        <color theme="1"/>
        <rFont val="Times New Roman"/>
        <family val="1"/>
      </rPr>
      <t>M7.5(</t>
    </r>
    <r>
      <rPr>
        <sz val="11"/>
        <color theme="1"/>
        <rFont val="宋体"/>
        <family val="3"/>
        <charset val="134"/>
      </rPr>
      <t>排水沟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</si>
  <si>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泥石路面</t>
    </r>
  </si>
  <si>
    <r>
      <rPr>
        <sz val="11"/>
        <color theme="1"/>
        <rFont val="宋体"/>
        <family val="3"/>
        <charset val="134"/>
      </rPr>
      <t>排水孔</t>
    </r>
    <r>
      <rPr>
        <sz val="11"/>
        <color theme="1"/>
        <rFont val="Times New Roman"/>
        <family val="1"/>
      </rPr>
      <t>(3m,</t>
    </r>
    <r>
      <rPr>
        <sz val="11"/>
        <color theme="1"/>
        <rFont val="宋体"/>
        <family val="3"/>
        <charset val="134"/>
      </rPr>
      <t>直径</t>
    </r>
    <r>
      <rPr>
        <sz val="11"/>
        <color theme="1"/>
        <rFont val="Times New Roman"/>
        <family val="1"/>
      </rPr>
      <t>56mm,</t>
    </r>
    <r>
      <rPr>
        <sz val="11"/>
        <color theme="1"/>
        <rFont val="宋体"/>
        <family val="3"/>
        <charset val="134"/>
      </rPr>
      <t>孔内保护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</si>
  <si>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喷普通混凝土</t>
    </r>
    <r>
      <rPr>
        <sz val="11"/>
        <color theme="1"/>
        <rFont val="Times New Roman"/>
        <family val="1"/>
      </rPr>
      <t>C20F100(</t>
    </r>
    <r>
      <rPr>
        <sz val="11"/>
        <color theme="1"/>
        <rFont val="宋体"/>
        <family val="3"/>
        <charset val="134"/>
      </rPr>
      <t>边坡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</si>
  <si>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锚杆（</t>
    </r>
    <r>
      <rPr>
        <sz val="11"/>
        <color theme="1"/>
        <rFont val="Times New Roman"/>
        <family val="1"/>
      </rPr>
      <t>φ25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Times New Roman"/>
        <family val="1"/>
      </rPr>
      <t xml:space="preserve">L=3m) </t>
    </r>
  </si>
  <si>
    <r>
      <rPr>
        <sz val="11"/>
        <color theme="1"/>
        <rFont val="宋体"/>
        <family val="3"/>
        <charset val="134"/>
      </rPr>
      <t>根</t>
    </r>
  </si>
  <si>
    <r>
      <rPr>
        <sz val="11"/>
        <color theme="1"/>
        <rFont val="宋体"/>
        <family val="3"/>
        <charset val="134"/>
      </rPr>
      <t>挂网钢筋（</t>
    </r>
    <r>
      <rPr>
        <sz val="11"/>
        <color theme="1"/>
        <rFont val="Times New Roman"/>
        <family val="1"/>
      </rPr>
      <t>φ6.0@20cm×20cm</t>
    </r>
    <r>
      <rPr>
        <sz val="11"/>
        <color theme="1"/>
        <rFont val="宋体"/>
        <family val="3"/>
        <charset val="134"/>
      </rPr>
      <t>）</t>
    </r>
    <r>
      <rPr>
        <sz val="11"/>
        <color theme="1"/>
        <rFont val="Times New Roman"/>
        <family val="1"/>
      </rPr>
      <t xml:space="preserve">  </t>
    </r>
  </si>
  <si>
    <r>
      <rPr>
        <sz val="11"/>
        <color theme="1"/>
        <rFont val="宋体"/>
        <family val="3"/>
        <charset val="134"/>
      </rPr>
      <t>防护栏杆</t>
    </r>
  </si>
  <si>
    <r>
      <rPr>
        <sz val="11"/>
        <color theme="1"/>
        <rFont val="宋体"/>
        <family val="3"/>
        <charset val="134"/>
      </rPr>
      <t>防渗膜</t>
    </r>
  </si>
  <si>
    <r>
      <rPr>
        <sz val="11"/>
        <color theme="1"/>
        <rFont val="宋体"/>
        <family val="3"/>
        <charset val="134"/>
      </rPr>
      <t>闭口泡沫板</t>
    </r>
  </si>
  <si>
    <r>
      <rPr>
        <sz val="11"/>
        <color theme="1"/>
        <rFont val="宋体"/>
        <family val="3"/>
        <charset val="134"/>
      </rPr>
      <t>聚硫密封胶</t>
    </r>
  </si>
  <si>
    <r>
      <t>PVC</t>
    </r>
    <r>
      <rPr>
        <sz val="11"/>
        <color theme="1"/>
        <rFont val="宋体"/>
        <family val="3"/>
        <charset val="134"/>
      </rPr>
      <t>排水花管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直径</t>
    </r>
    <r>
      <rPr>
        <sz val="11"/>
        <color theme="1"/>
        <rFont val="Times New Roman"/>
        <family val="1"/>
      </rPr>
      <t>50mm)</t>
    </r>
  </si>
  <si>
    <r>
      <rPr>
        <sz val="11"/>
        <color theme="1"/>
        <rFont val="宋体"/>
        <family val="3"/>
        <charset val="134"/>
      </rPr>
      <t>项目</t>
    </r>
  </si>
  <si>
    <r>
      <rPr>
        <sz val="11"/>
        <color theme="1"/>
        <rFont val="宋体"/>
        <family val="3"/>
        <charset val="134"/>
      </rPr>
      <t>单位</t>
    </r>
  </si>
  <si>
    <r>
      <rPr>
        <sz val="11"/>
        <color theme="1"/>
        <rFont val="宋体"/>
        <family val="3"/>
        <charset val="134"/>
      </rPr>
      <t>初设工程量</t>
    </r>
  </si>
  <si>
    <r>
      <rPr>
        <sz val="11"/>
        <color theme="1"/>
        <rFont val="宋体"/>
        <family val="3"/>
        <charset val="134"/>
      </rPr>
      <t>施工图工程量</t>
    </r>
  </si>
  <si>
    <r>
      <rPr>
        <sz val="11"/>
        <color theme="1"/>
        <rFont val="宋体"/>
        <family val="3"/>
        <charset val="134"/>
      </rPr>
      <t>初设概算单价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元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</si>
  <si>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初设投资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万元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</si>
  <si>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施工图投资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万元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</si>
  <si>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投资增加或减少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万元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</si>
  <si>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备注</t>
    </r>
  </si>
  <si>
    <r>
      <rPr>
        <sz val="11"/>
        <color theme="1"/>
        <rFont val="宋体"/>
        <family val="3"/>
        <charset val="134"/>
      </rPr>
      <t>无单价</t>
    </r>
  </si>
  <si>
    <r>
      <rPr>
        <sz val="11"/>
        <color theme="1"/>
        <rFont val="宋体"/>
        <family val="3"/>
        <charset val="134"/>
      </rPr>
      <t>新增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初设漏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</si>
  <si>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宋体"/>
        <family val="3"/>
        <charset val="134"/>
      </rPr>
      <t>混凝土</t>
    </r>
    <r>
      <rPr>
        <sz val="11"/>
        <color theme="1"/>
        <rFont val="Times New Roman"/>
        <family val="1"/>
      </rPr>
      <t>C20F100W6(</t>
    </r>
    <r>
      <rPr>
        <sz val="11"/>
        <color theme="1"/>
        <rFont val="宋体"/>
        <family val="3"/>
        <charset val="134"/>
      </rPr>
      <t>渠道衬砌</t>
    </r>
    <r>
      <rPr>
        <sz val="11"/>
        <color theme="1"/>
        <rFont val="Times New Roman"/>
        <family val="1"/>
      </rPr>
      <t>)</t>
    </r>
    <phoneticPr fontId="31" type="noConversion"/>
  </si>
  <si>
    <r>
      <rPr>
        <sz val="11"/>
        <color theme="1"/>
        <rFont val="宋体"/>
        <family val="3"/>
        <charset val="134"/>
      </rPr>
      <t>混凝土</t>
    </r>
    <r>
      <rPr>
        <sz val="11"/>
        <color theme="1"/>
        <rFont val="Times New Roman"/>
        <family val="1"/>
      </rPr>
      <t>C20F100(</t>
    </r>
    <r>
      <rPr>
        <sz val="11"/>
        <color theme="1"/>
        <rFont val="宋体"/>
        <family val="3"/>
        <charset val="134"/>
      </rPr>
      <t>渠道压块</t>
    </r>
    <r>
      <rPr>
        <sz val="11"/>
        <color theme="1"/>
        <rFont val="Times New Roman"/>
        <family val="1"/>
      </rPr>
      <t>)</t>
    </r>
    <phoneticPr fontId="31" type="noConversion"/>
  </si>
  <si>
    <r>
      <rPr>
        <sz val="11"/>
        <color rgb="FF000000"/>
        <rFont val="宋体"/>
        <family val="3"/>
        <charset val="134"/>
      </rPr>
      <t>编号</t>
    </r>
  </si>
  <si>
    <r>
      <rPr>
        <sz val="11"/>
        <color rgb="FF000000"/>
        <rFont val="宋体"/>
        <family val="3"/>
        <charset val="134"/>
      </rPr>
      <t>项目名称</t>
    </r>
  </si>
  <si>
    <r>
      <rPr>
        <sz val="11"/>
        <color rgb="FF000000"/>
        <rFont val="宋体"/>
        <family val="3"/>
        <charset val="134"/>
      </rPr>
      <t>单位</t>
    </r>
  </si>
  <si>
    <r>
      <rPr>
        <sz val="11"/>
        <color rgb="FF000000"/>
        <rFont val="宋体"/>
        <family val="3"/>
        <charset val="134"/>
      </rPr>
      <t>概算</t>
    </r>
  </si>
  <si>
    <r>
      <rPr>
        <sz val="11"/>
        <color rgb="FF000000"/>
        <rFont val="宋体"/>
        <family val="3"/>
        <charset val="134"/>
      </rPr>
      <t>概算单价（元）</t>
    </r>
  </si>
  <si>
    <r>
      <rPr>
        <sz val="11"/>
        <color rgb="FF000000"/>
        <rFont val="宋体"/>
        <family val="3"/>
        <charset val="134"/>
      </rPr>
      <t>概算投资（万元）</t>
    </r>
  </si>
  <si>
    <r>
      <rPr>
        <sz val="11"/>
        <color rgb="FF000000"/>
        <rFont val="宋体"/>
        <family val="3"/>
        <charset val="134"/>
      </rPr>
      <t>投标单价（元）</t>
    </r>
  </si>
  <si>
    <r>
      <rPr>
        <sz val="11"/>
        <color rgb="FF000000"/>
        <rFont val="宋体"/>
        <family val="3"/>
        <charset val="134"/>
      </rPr>
      <t>投标投资（万元）</t>
    </r>
  </si>
  <si>
    <r>
      <rPr>
        <sz val="11"/>
        <color rgb="FF000000"/>
        <rFont val="宋体"/>
        <family val="3"/>
        <charset val="134"/>
      </rPr>
      <t>施工图</t>
    </r>
  </si>
  <si>
    <r>
      <rPr>
        <sz val="11"/>
        <color rgb="FF000000"/>
        <rFont val="宋体"/>
        <family val="3"/>
        <charset val="134"/>
      </rPr>
      <t>技施投资（万元）</t>
    </r>
  </si>
  <si>
    <r>
      <rPr>
        <sz val="11"/>
        <color rgb="FF000000"/>
        <rFont val="宋体"/>
        <family val="3"/>
        <charset val="134"/>
      </rPr>
      <t>概算</t>
    </r>
    <r>
      <rPr>
        <sz val="11"/>
        <color rgb="FF000000"/>
        <rFont val="Times New Roman"/>
        <family val="1"/>
      </rPr>
      <t>-</t>
    </r>
    <r>
      <rPr>
        <sz val="11"/>
        <color rgb="FF000000"/>
        <rFont val="宋体"/>
        <family val="3"/>
        <charset val="134"/>
      </rPr>
      <t>技施工程量</t>
    </r>
  </si>
  <si>
    <r>
      <rPr>
        <sz val="11"/>
        <color rgb="FF000000"/>
        <rFont val="宋体"/>
        <family val="3"/>
        <charset val="134"/>
      </rPr>
      <t>概算</t>
    </r>
    <r>
      <rPr>
        <sz val="11"/>
        <color rgb="FF000000"/>
        <rFont val="Times New Roman"/>
        <family val="1"/>
      </rPr>
      <t>-</t>
    </r>
    <r>
      <rPr>
        <sz val="11"/>
        <color rgb="FF000000"/>
        <rFont val="宋体"/>
        <family val="3"/>
        <charset val="134"/>
      </rPr>
      <t>技施投资</t>
    </r>
  </si>
  <si>
    <r>
      <rPr>
        <sz val="11"/>
        <color rgb="FF000000"/>
        <rFont val="宋体"/>
        <family val="3"/>
        <charset val="134"/>
      </rPr>
      <t>投标</t>
    </r>
    <r>
      <rPr>
        <sz val="11"/>
        <color rgb="FF000000"/>
        <rFont val="Times New Roman"/>
        <family val="1"/>
      </rPr>
      <t>-</t>
    </r>
    <r>
      <rPr>
        <sz val="11"/>
        <color rgb="FF000000"/>
        <rFont val="宋体"/>
        <family val="3"/>
        <charset val="134"/>
      </rPr>
      <t>技施投资</t>
    </r>
  </si>
  <si>
    <r>
      <rPr>
        <sz val="11"/>
        <color rgb="FF000000"/>
        <rFont val="宋体"/>
        <family val="3"/>
        <charset val="134"/>
      </rPr>
      <t>工程量</t>
    </r>
  </si>
  <si>
    <r>
      <rPr>
        <sz val="11"/>
        <color rgb="FF000000"/>
        <rFont val="宋体"/>
        <family val="3"/>
        <charset val="134"/>
      </rPr>
      <t>（万元）</t>
    </r>
  </si>
  <si>
    <r>
      <rPr>
        <b/>
        <sz val="11"/>
        <color rgb="FF000000"/>
        <rFont val="宋体"/>
        <family val="3"/>
        <charset val="134"/>
      </rPr>
      <t>施工图新增项目</t>
    </r>
  </si>
  <si>
    <r>
      <rPr>
        <sz val="11"/>
        <color rgb="FF000000"/>
        <rFont val="宋体"/>
        <family val="3"/>
        <charset val="134"/>
      </rPr>
      <t>新增浆砌石挡墙</t>
    </r>
  </si>
  <si>
    <r>
      <rPr>
        <sz val="11"/>
        <color rgb="FF000000"/>
        <rFont val="宋体"/>
        <family val="3"/>
        <charset val="134"/>
      </rPr>
      <t>新增</t>
    </r>
    <r>
      <rPr>
        <sz val="11"/>
        <color rgb="FF000000"/>
        <rFont val="Times New Roman"/>
        <family val="1"/>
      </rPr>
      <t>C20</t>
    </r>
    <r>
      <rPr>
        <sz val="11"/>
        <color rgb="FF000000"/>
        <rFont val="宋体"/>
        <family val="3"/>
        <charset val="134"/>
      </rPr>
      <t>框格梁支护</t>
    </r>
  </si>
  <si>
    <r>
      <rPr>
        <sz val="11"/>
        <color rgb="FF000000"/>
        <rFont val="宋体"/>
        <family val="3"/>
        <charset val="134"/>
      </rPr>
      <t>新增框格梁钢筋</t>
    </r>
  </si>
  <si>
    <r>
      <rPr>
        <b/>
        <sz val="11"/>
        <color rgb="FF000000"/>
        <rFont val="宋体"/>
        <family val="3"/>
        <charset val="134"/>
      </rPr>
      <t>汇总</t>
    </r>
  </si>
  <si>
    <r>
      <rPr>
        <b/>
        <sz val="11"/>
        <color rgb="FF000000"/>
        <rFont val="宋体"/>
        <family val="3"/>
        <charset val="134"/>
      </rPr>
      <t>马坝河分干</t>
    </r>
    <phoneticPr fontId="31" type="noConversion"/>
  </si>
  <si>
    <t>初设高度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</si>
</sst>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76" formatCode="0_ "/>
    <numFmt numFmtId="177" formatCode="0.000"/>
    <numFmt numFmtId="178" formatCode="0.00_ "/>
    <numFmt numFmtId="179" formatCode="0.00_);[Red]\(0.00\)"/>
    <numFmt numFmtId="180" formatCode="&quot;马分&quot;0\+000.00"/>
    <numFmt numFmtId="181" formatCode="0\+000.00"/>
    <numFmt numFmtId="182" formatCode="0.000000_ "/>
    <numFmt numFmtId="183" formatCode="0_);[Red]\(0\)"/>
    <numFmt numFmtId="184" formatCode="0.0_ "/>
    <numFmt numFmtId="185" formatCode="0.000_);[Red]\(0.000\)"/>
    <numFmt numFmtId="186" formatCode="0.000_ "/>
    <numFmt numFmtId="187" formatCode="&quot;马分&quot;0\+000.000"/>
    <numFmt numFmtId="188" formatCode="0.00000000000_ "/>
    <numFmt numFmtId="189" formatCode="#,##0.00_ "/>
    <numFmt numFmtId="190" formatCode="0.00000_);[Red]\(0.00000\)"/>
    <numFmt numFmtId="191" formatCode="0.0000_);[Red]\(0.0000\)"/>
    <numFmt numFmtId="192" formatCode="0.00000000000000_ "/>
    <numFmt numFmtId="193" formatCode="0\+000.000"/>
    <numFmt numFmtId="194" formatCode="0.0000_ "/>
    <numFmt numFmtId="195" formatCode="0.0_);[Red]\(0.0\)"/>
    <numFmt numFmtId="196" formatCode="0.0%"/>
    <numFmt numFmtId="197" formatCode="0.00000_ "/>
  </numFmts>
  <fonts count="36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trike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0"/>
      <name val="Times New Roman"/>
      <family val="1"/>
    </font>
    <font>
      <sz val="11"/>
      <color theme="1"/>
      <name val="Times New Roman"/>
      <family val="1"/>
    </font>
    <font>
      <sz val="10"/>
      <name val="宋体"/>
      <family val="3"/>
      <charset val="134"/>
    </font>
    <font>
      <b/>
      <sz val="10"/>
      <name val="Times New Roman"/>
      <family val="1"/>
    </font>
    <font>
      <sz val="10"/>
      <color rgb="FFFF0000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1"/>
      <color rgb="FFFF0000"/>
      <name val="Times New Roman"/>
      <family val="1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color rgb="FFFF0000"/>
      <name val="Times New Roman"/>
      <family val="1"/>
    </font>
    <font>
      <sz val="11"/>
      <name val="宋体"/>
      <family val="3"/>
      <charset val="134"/>
    </font>
    <font>
      <b/>
      <sz val="12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color indexed="8"/>
      <name val="黑体"/>
      <family val="3"/>
      <charset val="134"/>
    </font>
    <font>
      <b/>
      <sz val="10"/>
      <name val="楷体_GB2312"/>
      <family val="3"/>
      <charset val="134"/>
    </font>
    <font>
      <sz val="11"/>
      <color theme="1"/>
      <name val="等线"/>
      <family val="3"/>
      <charset val="134"/>
    </font>
    <font>
      <vertAlign val="superscript"/>
      <sz val="11"/>
      <name val="Times New Roman"/>
      <family val="1"/>
    </font>
    <font>
      <vertAlign val="superscript"/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vertAlign val="subscript"/>
      <sz val="12"/>
      <name val="Times New Roman"/>
      <family val="1"/>
    </font>
    <font>
      <vertAlign val="subscript"/>
      <sz val="11"/>
      <color theme="1"/>
      <name val="Times New Roman"/>
      <family val="1"/>
    </font>
    <font>
      <vertAlign val="superscript"/>
      <sz val="10"/>
      <name val="Times New Roman"/>
      <family val="1"/>
    </font>
    <font>
      <b/>
      <vertAlign val="superscript"/>
      <sz val="10"/>
      <name val="Times New Roman"/>
      <family val="1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Times New Roman"/>
      <family val="1"/>
    </font>
    <font>
      <sz val="11"/>
      <color rgb="FF000000"/>
      <name val="宋体"/>
      <family val="3"/>
      <charset val="134"/>
    </font>
    <font>
      <b/>
      <sz val="11"/>
      <color rgb="FF000000"/>
      <name val="Times New Roman"/>
      <family val="1"/>
    </font>
    <font>
      <b/>
      <sz val="11"/>
      <color rgb="FF000000"/>
      <name val="宋体"/>
      <family val="3"/>
      <charset val="134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67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CAEACE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40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8" fontId="0" fillId="0" borderId="0" xfId="0" applyNumberFormat="1" applyBorder="1" applyAlignment="1">
      <alignment horizontal="center"/>
    </xf>
    <xf numFmtId="176" fontId="0" fillId="0" borderId="0" xfId="0" applyNumberFormat="1" applyBorder="1" applyAlignment="1">
      <alignment horizontal="center"/>
    </xf>
    <xf numFmtId="178" fontId="0" fillId="0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84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85" fontId="0" fillId="0" borderId="1" xfId="0" applyNumberFormat="1" applyBorder="1" applyAlignment="1">
      <alignment horizontal="center" vertical="center"/>
    </xf>
    <xf numFmtId="180" fontId="1" fillId="0" borderId="1" xfId="0" applyNumberFormat="1" applyFon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0" fontId="4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80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80" fontId="1" fillId="0" borderId="0" xfId="0" applyNumberFormat="1" applyFont="1" applyAlignment="1">
      <alignment horizontal="center" vertical="center"/>
    </xf>
    <xf numFmtId="186" fontId="1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Fill="1">
      <alignment vertical="center"/>
    </xf>
    <xf numFmtId="187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0" fontId="0" fillId="0" borderId="0" xfId="0" applyFill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0" fontId="5" fillId="0" borderId="2" xfId="0" applyFont="1" applyFill="1" applyBorder="1" applyAlignment="1"/>
    <xf numFmtId="0" fontId="5" fillId="0" borderId="2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/>
    <xf numFmtId="0" fontId="5" fillId="4" borderId="2" xfId="0" applyFont="1" applyFill="1" applyBorder="1" applyAlignment="1"/>
    <xf numFmtId="0" fontId="5" fillId="2" borderId="2" xfId="0" applyFont="1" applyFill="1" applyBorder="1" applyAlignment="1"/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>
      <alignment vertical="center" wrapText="1"/>
    </xf>
    <xf numFmtId="189" fontId="0" fillId="0" borderId="0" xfId="0" applyNumberFormat="1">
      <alignment vertical="center"/>
    </xf>
    <xf numFmtId="0" fontId="6" fillId="0" borderId="0" xfId="0" applyFont="1">
      <alignment vertical="center"/>
    </xf>
    <xf numFmtId="0" fontId="6" fillId="0" borderId="0" xfId="0" applyFont="1" applyFill="1">
      <alignment vertical="center"/>
    </xf>
    <xf numFmtId="190" fontId="0" fillId="0" borderId="0" xfId="0" applyNumberFormat="1" applyFill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179" fontId="7" fillId="9" borderId="0" xfId="0" applyNumberFormat="1" applyFont="1" applyFill="1" applyBorder="1" applyAlignment="1">
      <alignment horizontal="center" vertical="center"/>
    </xf>
    <xf numFmtId="179" fontId="7" fillId="10" borderId="0" xfId="0" applyNumberFormat="1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183" fontId="7" fillId="10" borderId="0" xfId="0" applyNumberFormat="1" applyFont="1" applyFill="1" applyBorder="1" applyAlignment="1">
      <alignment horizontal="center" vertical="center"/>
    </xf>
    <xf numFmtId="0" fontId="7" fillId="11" borderId="4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 wrapText="1"/>
    </xf>
    <xf numFmtId="191" fontId="5" fillId="0" borderId="1" xfId="0" applyNumberFormat="1" applyFont="1" applyFill="1" applyBorder="1" applyAlignment="1">
      <alignment horizontal="center" vertical="center" wrapText="1"/>
    </xf>
    <xf numFmtId="176" fontId="7" fillId="0" borderId="1" xfId="0" applyNumberFormat="1" applyFont="1" applyFill="1" applyBorder="1" applyAlignment="1">
      <alignment horizontal="center" vertical="center" wrapText="1"/>
    </xf>
    <xf numFmtId="179" fontId="7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191" fontId="5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179" fontId="5" fillId="0" borderId="1" xfId="0" applyNumberFormat="1" applyFont="1" applyFill="1" applyBorder="1" applyAlignment="1">
      <alignment horizontal="center" vertical="center"/>
    </xf>
    <xf numFmtId="193" fontId="7" fillId="0" borderId="1" xfId="0" applyNumberFormat="1" applyFont="1" applyFill="1" applyBorder="1" applyAlignment="1">
      <alignment horizontal="center" vertical="center"/>
    </xf>
    <xf numFmtId="183" fontId="5" fillId="0" borderId="1" xfId="0" applyNumberFormat="1" applyFont="1" applyFill="1" applyBorder="1" applyAlignment="1">
      <alignment horizontal="center" vertical="center"/>
    </xf>
    <xf numFmtId="187" fontId="5" fillId="0" borderId="1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 wrapText="1"/>
    </xf>
    <xf numFmtId="191" fontId="5" fillId="4" borderId="1" xfId="0" applyNumberFormat="1" applyFont="1" applyFill="1" applyBorder="1" applyAlignment="1">
      <alignment horizontal="center" vertical="center"/>
    </xf>
    <xf numFmtId="183" fontId="5" fillId="4" borderId="1" xfId="0" applyNumberFormat="1" applyFont="1" applyFill="1" applyBorder="1" applyAlignment="1">
      <alignment horizontal="center" vertical="center"/>
    </xf>
    <xf numFmtId="187" fontId="5" fillId="4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191" fontId="5" fillId="2" borderId="1" xfId="0" applyNumberFormat="1" applyFont="1" applyFill="1" applyBorder="1" applyAlignment="1">
      <alignment horizontal="center" vertical="center"/>
    </xf>
    <xf numFmtId="183" fontId="5" fillId="2" borderId="1" xfId="0" applyNumberFormat="1" applyFont="1" applyFill="1" applyBorder="1" applyAlignment="1">
      <alignment horizontal="center" vertical="center"/>
    </xf>
    <xf numFmtId="187" fontId="5" fillId="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191" fontId="5" fillId="3" borderId="1" xfId="0" applyNumberFormat="1" applyFont="1" applyFill="1" applyBorder="1" applyAlignment="1">
      <alignment horizontal="center" vertical="center"/>
    </xf>
    <xf numFmtId="183" fontId="5" fillId="3" borderId="1" xfId="0" applyNumberFormat="1" applyFont="1" applyFill="1" applyBorder="1" applyAlignment="1">
      <alignment horizontal="center" vertical="center"/>
    </xf>
    <xf numFmtId="187" fontId="5" fillId="3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79" fontId="7" fillId="0" borderId="0" xfId="0" applyNumberFormat="1" applyFont="1" applyFill="1" applyBorder="1" applyAlignment="1">
      <alignment horizontal="center" vertical="center"/>
    </xf>
    <xf numFmtId="179" fontId="5" fillId="0" borderId="0" xfId="0" applyNumberFormat="1" applyFont="1" applyFill="1" applyBorder="1" applyAlignment="1">
      <alignment horizontal="center" vertical="center"/>
    </xf>
    <xf numFmtId="185" fontId="5" fillId="12" borderId="0" xfId="0" applyNumberFormat="1" applyFont="1" applyFill="1" applyBorder="1" applyAlignment="1">
      <alignment horizontal="center" vertical="center"/>
    </xf>
    <xf numFmtId="189" fontId="5" fillId="0" borderId="0" xfId="0" applyNumberFormat="1" applyFont="1" applyFill="1" applyBorder="1" applyAlignment="1">
      <alignment horizontal="center" vertical="center"/>
    </xf>
    <xf numFmtId="183" fontId="5" fillId="0" borderId="0" xfId="0" applyNumberFormat="1" applyFont="1" applyFill="1" applyBorder="1" applyAlignment="1">
      <alignment horizontal="center" vertical="center"/>
    </xf>
    <xf numFmtId="185" fontId="7" fillId="0" borderId="1" xfId="0" applyNumberFormat="1" applyFont="1" applyFill="1" applyBorder="1" applyAlignment="1">
      <alignment horizontal="center" vertical="center" wrapText="1"/>
    </xf>
    <xf numFmtId="189" fontId="7" fillId="0" borderId="1" xfId="0" applyNumberFormat="1" applyFont="1" applyFill="1" applyBorder="1" applyAlignment="1">
      <alignment horizontal="center" vertical="center" wrapText="1"/>
    </xf>
    <xf numFmtId="185" fontId="5" fillId="0" borderId="1" xfId="0" applyNumberFormat="1" applyFont="1" applyFill="1" applyBorder="1" applyAlignment="1">
      <alignment horizontal="center" vertical="center"/>
    </xf>
    <xf numFmtId="189" fontId="5" fillId="0" borderId="1" xfId="0" applyNumberFormat="1" applyFont="1" applyFill="1" applyBorder="1" applyAlignment="1">
      <alignment horizontal="center" vertical="center"/>
    </xf>
    <xf numFmtId="179" fontId="5" fillId="4" borderId="1" xfId="0" applyNumberFormat="1" applyFont="1" applyFill="1" applyBorder="1" applyAlignment="1">
      <alignment horizontal="center" vertical="center"/>
    </xf>
    <xf numFmtId="185" fontId="5" fillId="4" borderId="1" xfId="0" applyNumberFormat="1" applyFont="1" applyFill="1" applyBorder="1" applyAlignment="1">
      <alignment horizontal="center" vertical="center"/>
    </xf>
    <xf numFmtId="189" fontId="5" fillId="4" borderId="1" xfId="0" applyNumberFormat="1" applyFont="1" applyFill="1" applyBorder="1" applyAlignment="1">
      <alignment horizontal="center" vertical="center"/>
    </xf>
    <xf numFmtId="179" fontId="5" fillId="2" borderId="1" xfId="0" applyNumberFormat="1" applyFont="1" applyFill="1" applyBorder="1" applyAlignment="1">
      <alignment horizontal="center" vertical="center"/>
    </xf>
    <xf numFmtId="185" fontId="5" fillId="2" borderId="1" xfId="0" applyNumberFormat="1" applyFont="1" applyFill="1" applyBorder="1" applyAlignment="1">
      <alignment horizontal="center" vertical="center"/>
    </xf>
    <xf numFmtId="189" fontId="5" fillId="2" borderId="1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 vertical="center"/>
    </xf>
    <xf numFmtId="185" fontId="5" fillId="3" borderId="1" xfId="0" applyNumberFormat="1" applyFont="1" applyFill="1" applyBorder="1" applyAlignment="1">
      <alignment horizontal="center" vertical="center"/>
    </xf>
    <xf numFmtId="189" fontId="5" fillId="3" borderId="1" xfId="0" applyNumberFormat="1" applyFont="1" applyFill="1" applyBorder="1" applyAlignment="1">
      <alignment horizontal="center" vertical="center"/>
    </xf>
    <xf numFmtId="185" fontId="5" fillId="0" borderId="0" xfId="0" applyNumberFormat="1" applyFont="1" applyFill="1" applyBorder="1" applyAlignment="1">
      <alignment horizontal="center" vertical="center"/>
    </xf>
    <xf numFmtId="185" fontId="7" fillId="0" borderId="5" xfId="0" applyNumberFormat="1" applyFont="1" applyFill="1" applyBorder="1" applyAlignment="1">
      <alignment horizontal="center" vertical="center" wrapText="1"/>
    </xf>
    <xf numFmtId="185" fontId="5" fillId="0" borderId="5" xfId="0" applyNumberFormat="1" applyFont="1" applyFill="1" applyBorder="1" applyAlignment="1">
      <alignment horizontal="center" vertical="center"/>
    </xf>
    <xf numFmtId="185" fontId="5" fillId="4" borderId="5" xfId="0" applyNumberFormat="1" applyFont="1" applyFill="1" applyBorder="1" applyAlignment="1">
      <alignment horizontal="center" vertical="center"/>
    </xf>
    <xf numFmtId="185" fontId="5" fillId="2" borderId="5" xfId="0" applyNumberFormat="1" applyFont="1" applyFill="1" applyBorder="1" applyAlignment="1">
      <alignment horizontal="center" vertical="center"/>
    </xf>
    <xf numFmtId="185" fontId="5" fillId="3" borderId="5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9" fontId="5" fillId="12" borderId="0" xfId="0" applyNumberFormat="1" applyFont="1" applyFill="1" applyBorder="1" applyAlignment="1">
      <alignment horizontal="center" vertical="center"/>
    </xf>
    <xf numFmtId="185" fontId="7" fillId="0" borderId="3" xfId="0" applyNumberFormat="1" applyFont="1" applyFill="1" applyBorder="1" applyAlignment="1">
      <alignment horizontal="center" vertical="center" wrapText="1"/>
    </xf>
    <xf numFmtId="179" fontId="7" fillId="0" borderId="5" xfId="0" applyNumberFormat="1" applyFont="1" applyFill="1" applyBorder="1" applyAlignment="1">
      <alignment horizontal="center" vertical="center" wrapText="1"/>
    </xf>
    <xf numFmtId="179" fontId="5" fillId="0" borderId="1" xfId="0" applyNumberFormat="1" applyFont="1" applyFill="1" applyBorder="1" applyAlignment="1">
      <alignment horizontal="center" vertical="center" wrapText="1"/>
    </xf>
    <xf numFmtId="185" fontId="5" fillId="0" borderId="3" xfId="0" applyNumberFormat="1" applyFont="1" applyFill="1" applyBorder="1" applyAlignment="1">
      <alignment horizontal="center" vertical="center"/>
    </xf>
    <xf numFmtId="179" fontId="5" fillId="0" borderId="5" xfId="0" applyNumberFormat="1" applyFont="1" applyFill="1" applyBorder="1" applyAlignment="1">
      <alignment horizontal="center" vertical="center"/>
    </xf>
    <xf numFmtId="185" fontId="5" fillId="13" borderId="1" xfId="0" applyNumberFormat="1" applyFont="1" applyFill="1" applyBorder="1" applyAlignment="1">
      <alignment horizontal="center" vertical="center"/>
    </xf>
    <xf numFmtId="185" fontId="5" fillId="4" borderId="3" xfId="0" applyNumberFormat="1" applyFont="1" applyFill="1" applyBorder="1" applyAlignment="1">
      <alignment horizontal="center" vertical="center"/>
    </xf>
    <xf numFmtId="179" fontId="5" fillId="4" borderId="5" xfId="0" applyNumberFormat="1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85" fontId="5" fillId="2" borderId="3" xfId="0" applyNumberFormat="1" applyFont="1" applyFill="1" applyBorder="1" applyAlignment="1">
      <alignment horizontal="center" vertical="center"/>
    </xf>
    <xf numFmtId="179" fontId="5" fillId="2" borderId="5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85" fontId="5" fillId="3" borderId="3" xfId="0" applyNumberFormat="1" applyFont="1" applyFill="1" applyBorder="1" applyAlignment="1">
      <alignment horizontal="center" vertical="center"/>
    </xf>
    <xf numFmtId="179" fontId="5" fillId="3" borderId="5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85" fontId="8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85" fontId="5" fillId="0" borderId="6" xfId="0" applyNumberFormat="1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190" fontId="5" fillId="0" borderId="2" xfId="0" applyNumberFormat="1" applyFont="1" applyFill="1" applyBorder="1" applyAlignment="1">
      <alignment horizontal="center"/>
    </xf>
    <xf numFmtId="190" fontId="5" fillId="0" borderId="7" xfId="0" applyNumberFormat="1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vertical="center" wrapText="1"/>
    </xf>
    <xf numFmtId="190" fontId="1" fillId="0" borderId="0" xfId="0" applyNumberFormat="1" applyFont="1" applyFill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185" fontId="5" fillId="0" borderId="2" xfId="0" applyNumberFormat="1" applyFont="1" applyFill="1" applyBorder="1" applyAlignment="1"/>
    <xf numFmtId="185" fontId="0" fillId="0" borderId="0" xfId="0" applyNumberFormat="1" applyFill="1">
      <alignment vertical="center"/>
    </xf>
    <xf numFmtId="0" fontId="1" fillId="0" borderId="1" xfId="0" applyFont="1" applyFill="1" applyBorder="1" applyAlignment="1">
      <alignment horizontal="center" vertical="center"/>
    </xf>
    <xf numFmtId="185" fontId="0" fillId="0" borderId="1" xfId="0" applyNumberForma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86" fontId="5" fillId="0" borderId="2" xfId="0" applyNumberFormat="1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/>
    </xf>
    <xf numFmtId="0" fontId="1" fillId="0" borderId="0" xfId="0" applyFont="1" applyFill="1">
      <alignment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 wrapText="1"/>
    </xf>
    <xf numFmtId="191" fontId="5" fillId="5" borderId="1" xfId="0" applyNumberFormat="1" applyFont="1" applyFill="1" applyBorder="1" applyAlignment="1">
      <alignment horizontal="center" vertical="center"/>
    </xf>
    <xf numFmtId="183" fontId="5" fillId="5" borderId="1" xfId="0" applyNumberFormat="1" applyFont="1" applyFill="1" applyBorder="1" applyAlignment="1">
      <alignment horizontal="center" vertical="center"/>
    </xf>
    <xf numFmtId="187" fontId="5" fillId="5" borderId="1" xfId="0" applyNumberFormat="1" applyFont="1" applyFill="1" applyBorder="1" applyAlignment="1">
      <alignment horizontal="center" vertical="center"/>
    </xf>
    <xf numFmtId="179" fontId="5" fillId="5" borderId="1" xfId="0" applyNumberFormat="1" applyFont="1" applyFill="1" applyBorder="1" applyAlignment="1">
      <alignment horizontal="center" vertical="center"/>
    </xf>
    <xf numFmtId="185" fontId="5" fillId="5" borderId="1" xfId="0" applyNumberFormat="1" applyFont="1" applyFill="1" applyBorder="1" applyAlignment="1">
      <alignment horizontal="center" vertical="center"/>
    </xf>
    <xf numFmtId="189" fontId="5" fillId="5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85" fontId="5" fillId="5" borderId="5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85" fontId="5" fillId="5" borderId="3" xfId="0" applyNumberFormat="1" applyFont="1" applyFill="1" applyBorder="1" applyAlignment="1">
      <alignment horizontal="center" vertical="center"/>
    </xf>
    <xf numFmtId="179" fontId="5" fillId="5" borderId="5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84" fontId="5" fillId="5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185" fontId="9" fillId="14" borderId="1" xfId="0" applyNumberFormat="1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4" borderId="1" xfId="0" applyFill="1" applyBorder="1">
      <alignment vertical="center"/>
    </xf>
    <xf numFmtId="0" fontId="6" fillId="2" borderId="1" xfId="0" applyFont="1" applyFill="1" applyBorder="1">
      <alignment vertical="center"/>
    </xf>
    <xf numFmtId="0" fontId="6" fillId="0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0" fillId="5" borderId="1" xfId="0" applyFill="1" applyBorder="1">
      <alignment vertical="center"/>
    </xf>
    <xf numFmtId="185" fontId="0" fillId="0" borderId="0" xfId="0" applyNumberFormat="1">
      <alignment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center"/>
    </xf>
    <xf numFmtId="191" fontId="5" fillId="0" borderId="1" xfId="0" applyNumberFormat="1" applyFont="1" applyFill="1" applyBorder="1" applyAlignment="1">
      <alignment horizontal="center"/>
    </xf>
    <xf numFmtId="183" fontId="5" fillId="0" borderId="1" xfId="0" applyNumberFormat="1" applyFont="1" applyFill="1" applyBorder="1" applyAlignment="1">
      <alignment horizontal="center"/>
    </xf>
    <xf numFmtId="185" fontId="5" fillId="0" borderId="1" xfId="0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94" fontId="6" fillId="0" borderId="1" xfId="0" applyNumberFormat="1" applyFont="1" applyFill="1" applyBorder="1" applyAlignment="1">
      <alignment vertical="center"/>
    </xf>
    <xf numFmtId="183" fontId="9" fillId="0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/>
    </xf>
    <xf numFmtId="179" fontId="5" fillId="0" borderId="1" xfId="0" applyNumberFormat="1" applyFont="1" applyFill="1" applyBorder="1" applyAlignment="1">
      <alignment horizontal="center"/>
    </xf>
    <xf numFmtId="0" fontId="5" fillId="0" borderId="1" xfId="0" applyFont="1" applyFill="1" applyBorder="1" applyAlignment="1"/>
    <xf numFmtId="0" fontId="5" fillId="0" borderId="11" xfId="0" applyFont="1" applyFill="1" applyBorder="1" applyAlignment="1"/>
    <xf numFmtId="0" fontId="5" fillId="6" borderId="1" xfId="0" applyFont="1" applyFill="1" applyBorder="1" applyAlignment="1"/>
    <xf numFmtId="0" fontId="10" fillId="0" borderId="0" xfId="0" applyFont="1" applyFill="1" applyBorder="1" applyAlignment="1"/>
    <xf numFmtId="195" fontId="9" fillId="0" borderId="1" xfId="0" applyNumberFormat="1" applyFont="1" applyFill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195" fontId="9" fillId="0" borderId="12" xfId="0" applyNumberFormat="1" applyFont="1" applyFill="1" applyBorder="1" applyAlignment="1">
      <alignment horizontal="center" vertical="center"/>
    </xf>
    <xf numFmtId="195" fontId="12" fillId="0" borderId="1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191" fontId="0" fillId="0" borderId="0" xfId="0" applyNumberFormat="1">
      <alignment vertical="center"/>
    </xf>
    <xf numFmtId="0" fontId="0" fillId="0" borderId="0" xfId="0" applyAlignment="1">
      <alignment horizontal="center"/>
    </xf>
    <xf numFmtId="191" fontId="0" fillId="0" borderId="0" xfId="0" applyNumberFormat="1" applyAlignment="1">
      <alignment horizontal="center"/>
    </xf>
    <xf numFmtId="191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91" fontId="0" fillId="0" borderId="1" xfId="0" applyNumberFormat="1" applyBorder="1" applyAlignment="1">
      <alignment horizontal="center" vertical="center"/>
    </xf>
    <xf numFmtId="191" fontId="4" fillId="0" borderId="1" xfId="0" applyNumberFormat="1" applyFont="1" applyFill="1" applyBorder="1" applyAlignment="1">
      <alignment horizontal="center" vertical="center"/>
    </xf>
    <xf numFmtId="191" fontId="0" fillId="2" borderId="1" xfId="0" applyNumberFormat="1" applyFill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6" fillId="0" borderId="0" xfId="1" applyFont="1">
      <alignment vertical="center"/>
    </xf>
    <xf numFmtId="0" fontId="6" fillId="15" borderId="1" xfId="1" applyFont="1" applyFill="1" applyBorder="1" applyAlignment="1">
      <alignment horizontal="center" vertical="center"/>
    </xf>
    <xf numFmtId="0" fontId="11" fillId="16" borderId="1" xfId="1" applyFont="1" applyFill="1" applyBorder="1" applyAlignment="1">
      <alignment horizontal="center" vertical="center" wrapText="1"/>
    </xf>
    <xf numFmtId="186" fontId="6" fillId="16" borderId="1" xfId="1" applyNumberFormat="1" applyFont="1" applyFill="1" applyBorder="1" applyAlignment="1">
      <alignment horizontal="center"/>
    </xf>
    <xf numFmtId="186" fontId="6" fillId="17" borderId="1" xfId="1" applyNumberFormat="1" applyFont="1" applyFill="1" applyBorder="1" applyAlignment="1">
      <alignment horizontal="center"/>
    </xf>
    <xf numFmtId="0" fontId="6" fillId="15" borderId="1" xfId="1" applyFont="1" applyFill="1" applyBorder="1">
      <alignment vertical="center"/>
    </xf>
    <xf numFmtId="0" fontId="6" fillId="18" borderId="1" xfId="1" applyFont="1" applyFill="1" applyBorder="1" applyAlignment="1">
      <alignment horizontal="center" vertical="center"/>
    </xf>
    <xf numFmtId="182" fontId="6" fillId="18" borderId="1" xfId="1" applyNumberFormat="1" applyFont="1" applyFill="1" applyBorder="1" applyAlignment="1">
      <alignment horizontal="center"/>
    </xf>
    <xf numFmtId="186" fontId="6" fillId="18" borderId="1" xfId="1" applyNumberFormat="1" applyFont="1" applyFill="1" applyBorder="1" applyAlignment="1">
      <alignment horizontal="center"/>
    </xf>
    <xf numFmtId="182" fontId="6" fillId="0" borderId="1" xfId="1" applyNumberFormat="1" applyFont="1" applyBorder="1" applyAlignment="1">
      <alignment horizontal="center" vertical="center"/>
    </xf>
    <xf numFmtId="0" fontId="6" fillId="19" borderId="1" xfId="1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14" fillId="2" borderId="1" xfId="1" applyFont="1" applyFill="1" applyBorder="1" applyAlignment="1">
      <alignment horizontal="center" vertical="center"/>
    </xf>
    <xf numFmtId="182" fontId="6" fillId="0" borderId="0" xfId="1" applyNumberFormat="1" applyFont="1">
      <alignment vertical="center"/>
    </xf>
    <xf numFmtId="0" fontId="6" fillId="2" borderId="1" xfId="1" applyFont="1" applyFill="1" applyBorder="1">
      <alignment vertical="center"/>
    </xf>
    <xf numFmtId="0" fontId="6" fillId="2" borderId="5" xfId="1" applyFont="1" applyFill="1" applyBorder="1">
      <alignment vertical="center"/>
    </xf>
    <xf numFmtId="0" fontId="6" fillId="2" borderId="1" xfId="1" applyFont="1" applyFill="1" applyBorder="1" applyAlignment="1">
      <alignment horizontal="center" vertical="center"/>
    </xf>
    <xf numFmtId="0" fontId="6" fillId="0" borderId="13" xfId="1" applyFont="1" applyBorder="1" applyAlignment="1">
      <alignment horizontal="left" vertical="center"/>
    </xf>
    <xf numFmtId="0" fontId="6" fillId="0" borderId="14" xfId="1" applyFont="1" applyBorder="1">
      <alignment vertical="center"/>
    </xf>
    <xf numFmtId="0" fontId="6" fillId="0" borderId="15" xfId="1" applyFont="1" applyBorder="1">
      <alignment vertical="center"/>
    </xf>
    <xf numFmtId="0" fontId="6" fillId="15" borderId="16" xfId="1" applyFont="1" applyFill="1" applyBorder="1" applyAlignment="1">
      <alignment horizontal="left"/>
    </xf>
    <xf numFmtId="0" fontId="6" fillId="15" borderId="1" xfId="1" applyFont="1" applyFill="1" applyBorder="1" applyAlignment="1">
      <alignment horizontal="left"/>
    </xf>
    <xf numFmtId="0" fontId="11" fillId="15" borderId="1" xfId="1" applyFont="1" applyFill="1" applyBorder="1" applyAlignment="1">
      <alignment horizontal="center" vertical="center" wrapText="1"/>
    </xf>
    <xf numFmtId="0" fontId="11" fillId="18" borderId="1" xfId="1" applyFont="1" applyFill="1" applyBorder="1" applyAlignment="1">
      <alignment horizontal="center" vertical="center" wrapText="1"/>
    </xf>
    <xf numFmtId="0" fontId="6" fillId="0" borderId="0" xfId="1" applyFont="1" applyBorder="1">
      <alignment vertical="center"/>
    </xf>
    <xf numFmtId="186" fontId="6" fillId="20" borderId="1" xfId="1" applyNumberFormat="1" applyFont="1" applyFill="1" applyBorder="1" applyAlignment="1">
      <alignment horizontal="center"/>
    </xf>
    <xf numFmtId="1" fontId="11" fillId="16" borderId="1" xfId="1" applyNumberFormat="1" applyFont="1" applyFill="1" applyBorder="1" applyAlignment="1">
      <alignment horizontal="center" vertical="center" wrapText="1"/>
    </xf>
    <xf numFmtId="176" fontId="6" fillId="20" borderId="1" xfId="1" applyNumberFormat="1" applyFont="1" applyFill="1" applyBorder="1" applyAlignment="1">
      <alignment horizontal="center"/>
    </xf>
    <xf numFmtId="176" fontId="6" fillId="17" borderId="1" xfId="1" applyNumberFormat="1" applyFont="1" applyFill="1" applyBorder="1" applyAlignment="1">
      <alignment horizontal="center"/>
    </xf>
    <xf numFmtId="2" fontId="11" fillId="16" borderId="1" xfId="1" applyNumberFormat="1" applyFont="1" applyFill="1" applyBorder="1" applyAlignment="1">
      <alignment horizontal="center" vertical="center" wrapText="1"/>
    </xf>
    <xf numFmtId="186" fontId="11" fillId="2" borderId="1" xfId="1" applyNumberFormat="1" applyFont="1" applyFill="1" applyBorder="1" applyAlignment="1">
      <alignment horizontal="center" vertical="center" wrapText="1"/>
    </xf>
    <xf numFmtId="186" fontId="11" fillId="20" borderId="1" xfId="1" applyNumberFormat="1" applyFont="1" applyFill="1" applyBorder="1" applyAlignment="1">
      <alignment horizontal="center" vertical="center" wrapText="1"/>
    </xf>
    <xf numFmtId="0" fontId="6" fillId="18" borderId="1" xfId="1" applyFont="1" applyFill="1" applyBorder="1" applyAlignment="1">
      <alignment horizontal="left"/>
    </xf>
    <xf numFmtId="186" fontId="6" fillId="21" borderId="1" xfId="1" applyNumberFormat="1" applyFont="1" applyFill="1" applyBorder="1" applyAlignment="1">
      <alignment horizontal="center" vertical="center"/>
    </xf>
    <xf numFmtId="0" fontId="6" fillId="21" borderId="1" xfId="1" applyFont="1" applyFill="1" applyBorder="1" applyAlignment="1">
      <alignment horizontal="center" vertical="center"/>
    </xf>
    <xf numFmtId="0" fontId="10" fillId="21" borderId="21" xfId="1" applyFont="1" applyFill="1" applyBorder="1" applyAlignment="1">
      <alignment horizontal="center" vertical="center"/>
    </xf>
    <xf numFmtId="178" fontId="6" fillId="21" borderId="22" xfId="1" applyNumberFormat="1" applyFont="1" applyFill="1" applyBorder="1" applyAlignment="1">
      <alignment horizontal="center" vertical="center"/>
    </xf>
    <xf numFmtId="177" fontId="11" fillId="16" borderId="1" xfId="1" applyNumberFormat="1" applyFont="1" applyFill="1" applyBorder="1" applyAlignment="1">
      <alignment horizontal="center" vertical="center" wrapText="1"/>
    </xf>
    <xf numFmtId="0" fontId="10" fillId="21" borderId="18" xfId="1" applyFont="1" applyFill="1" applyBorder="1" applyAlignment="1">
      <alignment vertical="center" wrapText="1"/>
    </xf>
    <xf numFmtId="0" fontId="10" fillId="21" borderId="1" xfId="1" applyFont="1" applyFill="1" applyBorder="1" applyAlignment="1">
      <alignment vertical="center" wrapText="1"/>
    </xf>
    <xf numFmtId="0" fontId="10" fillId="21" borderId="22" xfId="1" applyFont="1" applyFill="1" applyBorder="1" applyAlignment="1">
      <alignment vertical="center" wrapText="1"/>
    </xf>
    <xf numFmtId="186" fontId="12" fillId="15" borderId="16" xfId="1" applyNumberFormat="1" applyFont="1" applyFill="1" applyBorder="1" applyAlignment="1">
      <alignment horizontal="center"/>
    </xf>
    <xf numFmtId="186" fontId="12" fillId="15" borderId="1" xfId="1" applyNumberFormat="1" applyFont="1" applyFill="1" applyBorder="1" applyAlignment="1">
      <alignment horizontal="center"/>
    </xf>
    <xf numFmtId="186" fontId="12" fillId="2" borderId="1" xfId="1" applyNumberFormat="1" applyFont="1" applyFill="1" applyBorder="1" applyAlignment="1">
      <alignment horizontal="center"/>
    </xf>
    <xf numFmtId="186" fontId="12" fillId="17" borderId="1" xfId="1" applyNumberFormat="1" applyFont="1" applyFill="1" applyBorder="1" applyAlignment="1">
      <alignment horizontal="center"/>
    </xf>
    <xf numFmtId="0" fontId="14" fillId="2" borderId="1" xfId="1" applyFont="1" applyFill="1" applyBorder="1">
      <alignment vertical="center"/>
    </xf>
    <xf numFmtId="186" fontId="6" fillId="15" borderId="16" xfId="1" applyNumberFormat="1" applyFont="1" applyFill="1" applyBorder="1" applyAlignment="1">
      <alignment horizontal="center"/>
    </xf>
    <xf numFmtId="186" fontId="6" fillId="15" borderId="1" xfId="1" applyNumberFormat="1" applyFont="1" applyFill="1" applyBorder="1" applyAlignment="1">
      <alignment horizontal="center"/>
    </xf>
    <xf numFmtId="192" fontId="6" fillId="0" borderId="0" xfId="1" applyNumberFormat="1" applyFont="1">
      <alignment vertical="center"/>
    </xf>
    <xf numFmtId="186" fontId="6" fillId="2" borderId="1" xfId="1" applyNumberFormat="1" applyFont="1" applyFill="1" applyBorder="1" applyAlignment="1">
      <alignment horizontal="center" vertical="center"/>
    </xf>
    <xf numFmtId="0" fontId="6" fillId="0" borderId="23" xfId="1" applyFont="1" applyBorder="1">
      <alignment vertical="center"/>
    </xf>
    <xf numFmtId="0" fontId="6" fillId="0" borderId="24" xfId="1" applyFont="1" applyBorder="1">
      <alignment vertical="center"/>
    </xf>
    <xf numFmtId="0" fontId="6" fillId="21" borderId="26" xfId="1" applyFont="1" applyFill="1" applyBorder="1" applyAlignment="1">
      <alignment horizontal="center" vertical="center"/>
    </xf>
    <xf numFmtId="186" fontId="6" fillId="21" borderId="27" xfId="1" applyNumberFormat="1" applyFont="1" applyFill="1" applyBorder="1" applyAlignment="1">
      <alignment horizontal="center" vertical="center"/>
    </xf>
    <xf numFmtId="177" fontId="1" fillId="21" borderId="27" xfId="1" applyNumberFormat="1" applyFill="1" applyBorder="1" applyAlignment="1">
      <alignment vertical="center"/>
    </xf>
    <xf numFmtId="0" fontId="10" fillId="21" borderId="25" xfId="1" applyFont="1" applyFill="1" applyBorder="1" applyAlignment="1">
      <alignment vertical="center" wrapText="1"/>
    </xf>
    <xf numFmtId="0" fontId="15" fillId="21" borderId="26" xfId="1" applyFont="1" applyFill="1" applyBorder="1" applyAlignment="1">
      <alignment vertical="center" wrapText="1"/>
    </xf>
    <xf numFmtId="0" fontId="10" fillId="21" borderId="26" xfId="1" applyFont="1" applyFill="1" applyBorder="1" applyAlignment="1">
      <alignment vertical="center" wrapText="1"/>
    </xf>
    <xf numFmtId="0" fontId="10" fillId="21" borderId="27" xfId="1" applyFont="1" applyFill="1" applyBorder="1" applyAlignment="1">
      <alignment vertical="center" wrapText="1"/>
    </xf>
    <xf numFmtId="0" fontId="6" fillId="0" borderId="28" xfId="1" applyFont="1" applyBorder="1" applyAlignment="1">
      <alignment horizontal="left" vertical="center"/>
    </xf>
    <xf numFmtId="0" fontId="6" fillId="0" borderId="0" xfId="1" applyFont="1" applyBorder="1" applyAlignment="1">
      <alignment horizontal="left" vertical="center"/>
    </xf>
    <xf numFmtId="0" fontId="6" fillId="15" borderId="16" xfId="1" applyFont="1" applyFill="1" applyBorder="1" applyAlignment="1">
      <alignment horizontal="center"/>
    </xf>
    <xf numFmtId="0" fontId="6" fillId="15" borderId="1" xfId="1" applyFont="1" applyFill="1" applyBorder="1" applyAlignment="1">
      <alignment horizontal="center"/>
    </xf>
    <xf numFmtId="178" fontId="6" fillId="17" borderId="1" xfId="1" applyNumberFormat="1" applyFont="1" applyFill="1" applyBorder="1" applyAlignment="1">
      <alignment horizontal="center"/>
    </xf>
    <xf numFmtId="178" fontId="6" fillId="17" borderId="22" xfId="1" applyNumberFormat="1" applyFont="1" applyFill="1" applyBorder="1" applyAlignment="1">
      <alignment horizontal="center"/>
    </xf>
    <xf numFmtId="0" fontId="6" fillId="15" borderId="26" xfId="1" applyFont="1" applyFill="1" applyBorder="1" applyAlignment="1">
      <alignment horizontal="center"/>
    </xf>
    <xf numFmtId="0" fontId="6" fillId="0" borderId="29" xfId="1" applyFont="1" applyBorder="1">
      <alignment vertical="center"/>
    </xf>
    <xf numFmtId="0" fontId="6" fillId="0" borderId="30" xfId="1" applyFont="1" applyBorder="1">
      <alignment vertical="center"/>
    </xf>
    <xf numFmtId="186" fontId="11" fillId="16" borderId="1" xfId="1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86" fontId="11" fillId="0" borderId="1" xfId="0" applyNumberFormat="1" applyFont="1" applyBorder="1" applyAlignment="1">
      <alignment horizontal="center" vertical="center" wrapText="1"/>
    </xf>
    <xf numFmtId="186" fontId="6" fillId="0" borderId="1" xfId="0" applyNumberFormat="1" applyFont="1" applyBorder="1" applyAlignment="1">
      <alignment horizontal="center" vertical="center" wrapText="1"/>
    </xf>
    <xf numFmtId="186" fontId="11" fillId="13" borderId="1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181" fontId="1" fillId="0" borderId="5" xfId="0" applyNumberFormat="1" applyFont="1" applyBorder="1" applyAlignment="1">
      <alignment horizontal="left" vertical="center"/>
    </xf>
    <xf numFmtId="186" fontId="18" fillId="14" borderId="1" xfId="0" applyNumberFormat="1" applyFont="1" applyFill="1" applyBorder="1" applyAlignment="1">
      <alignment horizontal="center" vertical="center"/>
    </xf>
    <xf numFmtId="178" fontId="19" fillId="14" borderId="1" xfId="0" applyNumberFormat="1" applyFont="1" applyFill="1" applyBorder="1" applyAlignment="1">
      <alignment horizontal="center" vertical="center"/>
    </xf>
    <xf numFmtId="178" fontId="7" fillId="14" borderId="1" xfId="0" applyNumberFormat="1" applyFont="1" applyFill="1" applyBorder="1" applyAlignment="1">
      <alignment horizontal="center" vertical="center"/>
    </xf>
    <xf numFmtId="181" fontId="1" fillId="0" borderId="5" xfId="0" applyNumberFormat="1" applyFont="1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186" fontId="7" fillId="14" borderId="1" xfId="0" applyNumberFormat="1" applyFont="1" applyFill="1" applyBorder="1" applyAlignment="1">
      <alignment horizontal="center" vertical="center"/>
    </xf>
    <xf numFmtId="183" fontId="7" fillId="14" borderId="1" xfId="0" applyNumberFormat="1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178" fontId="0" fillId="14" borderId="1" xfId="0" applyNumberForma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center" vertical="center"/>
    </xf>
    <xf numFmtId="0" fontId="7" fillId="0" borderId="36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179" fontId="7" fillId="14" borderId="1" xfId="0" applyNumberFormat="1" applyFont="1" applyFill="1" applyBorder="1" applyAlignment="1">
      <alignment horizontal="center" vertical="center"/>
    </xf>
    <xf numFmtId="179" fontId="18" fillId="14" borderId="1" xfId="0" applyNumberFormat="1" applyFont="1" applyFill="1" applyBorder="1" applyAlignment="1">
      <alignment horizontal="center" vertical="center"/>
    </xf>
    <xf numFmtId="179" fontId="13" fillId="0" borderId="0" xfId="0" applyNumberFormat="1" applyFont="1" applyFill="1" applyAlignment="1">
      <alignment vertical="center"/>
    </xf>
    <xf numFmtId="0" fontId="13" fillId="0" borderId="1" xfId="0" applyFont="1" applyFill="1" applyBorder="1" applyAlignment="1">
      <alignment horizontal="center" vertical="center"/>
    </xf>
    <xf numFmtId="179" fontId="18" fillId="0" borderId="1" xfId="0" applyNumberFormat="1" applyFont="1" applyFill="1" applyBorder="1" applyAlignment="1">
      <alignment horizontal="center" vertical="center"/>
    </xf>
    <xf numFmtId="186" fontId="7" fillId="0" borderId="1" xfId="0" applyNumberFormat="1" applyFont="1" applyFill="1" applyBorder="1" applyAlignment="1">
      <alignment horizontal="center" vertical="center"/>
    </xf>
    <xf numFmtId="179" fontId="7" fillId="0" borderId="1" xfId="0" applyNumberFormat="1" applyFont="1" applyFill="1" applyBorder="1" applyAlignment="1">
      <alignment horizontal="center" vertical="center"/>
    </xf>
    <xf numFmtId="183" fontId="5" fillId="0" borderId="36" xfId="0" applyNumberFormat="1" applyFont="1" applyFill="1" applyBorder="1" applyAlignment="1">
      <alignment horizontal="center" vertical="center"/>
    </xf>
    <xf numFmtId="0" fontId="7" fillId="0" borderId="39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83" fontId="5" fillId="0" borderId="2" xfId="0" applyNumberFormat="1" applyFont="1" applyFill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0" fontId="5" fillId="0" borderId="40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183" fontId="5" fillId="0" borderId="7" xfId="0" applyNumberFormat="1" applyFont="1" applyFill="1" applyBorder="1" applyAlignment="1">
      <alignment horizontal="center" vertical="center"/>
    </xf>
    <xf numFmtId="0" fontId="5" fillId="0" borderId="41" xfId="0" applyFont="1" applyFill="1" applyBorder="1" applyAlignment="1">
      <alignment horizontal="center" vertical="center"/>
    </xf>
    <xf numFmtId="196" fontId="7" fillId="14" borderId="1" xfId="0" applyNumberFormat="1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178" fontId="0" fillId="0" borderId="0" xfId="0" applyNumberFormat="1" applyAlignment="1">
      <alignment vertical="center"/>
    </xf>
    <xf numFmtId="186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81" fontId="1" fillId="0" borderId="45" xfId="0" applyNumberFormat="1" applyFont="1" applyBorder="1" applyAlignment="1">
      <alignment horizontal="left" vertical="center"/>
    </xf>
    <xf numFmtId="176" fontId="0" fillId="14" borderId="1" xfId="0" applyNumberFormat="1" applyFill="1" applyBorder="1" applyAlignment="1">
      <alignment horizontal="center" vertical="center"/>
    </xf>
    <xf numFmtId="181" fontId="1" fillId="0" borderId="45" xfId="0" applyNumberFormat="1" applyFont="1" applyBorder="1">
      <alignment vertical="center"/>
    </xf>
    <xf numFmtId="181" fontId="1" fillId="0" borderId="46" xfId="0" applyNumberFormat="1" applyFont="1" applyBorder="1">
      <alignment vertical="center"/>
    </xf>
    <xf numFmtId="197" fontId="0" fillId="0" borderId="0" xfId="0" applyNumberFormat="1">
      <alignment vertical="center"/>
    </xf>
    <xf numFmtId="0" fontId="1" fillId="0" borderId="1" xfId="0" applyFont="1" applyBorder="1" applyAlignment="1">
      <alignment vertical="center" wrapText="1"/>
    </xf>
    <xf numFmtId="178" fontId="6" fillId="0" borderId="1" xfId="0" applyNumberFormat="1" applyFont="1" applyBorder="1" applyAlignment="1">
      <alignment horizontal="center" vertical="center"/>
    </xf>
    <xf numFmtId="178" fontId="6" fillId="0" borderId="1" xfId="0" applyNumberFormat="1" applyFont="1" applyFill="1" applyBorder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78" fontId="6" fillId="0" borderId="1" xfId="0" applyNumberFormat="1" applyFont="1" applyFill="1" applyBorder="1" applyAlignment="1">
      <alignment horizontal="center"/>
    </xf>
    <xf numFmtId="176" fontId="6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78" fontId="32" fillId="0" borderId="1" xfId="0" applyNumberFormat="1" applyFont="1" applyBorder="1" applyAlignment="1">
      <alignment horizontal="center" vertical="center" wrapText="1"/>
    </xf>
    <xf numFmtId="178" fontId="32" fillId="0" borderId="1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7" fillId="0" borderId="29" xfId="0" applyFont="1" applyFill="1" applyBorder="1" applyAlignment="1">
      <alignment horizontal="left" vertical="center"/>
    </xf>
    <xf numFmtId="0" fontId="7" fillId="0" borderId="32" xfId="0" applyFont="1" applyFill="1" applyBorder="1" applyAlignment="1">
      <alignment horizontal="center" vertical="center"/>
    </xf>
    <xf numFmtId="0" fontId="7" fillId="0" borderId="33" xfId="0" applyFont="1" applyFill="1" applyBorder="1" applyAlignment="1">
      <alignment horizontal="center" vertical="center"/>
    </xf>
    <xf numFmtId="0" fontId="7" fillId="0" borderId="34" xfId="0" applyFont="1" applyFill="1" applyBorder="1" applyAlignment="1">
      <alignment horizontal="center" vertical="center"/>
    </xf>
    <xf numFmtId="0" fontId="7" fillId="0" borderId="35" xfId="0" applyFont="1" applyFill="1" applyBorder="1" applyAlignment="1">
      <alignment horizontal="center" vertical="center"/>
    </xf>
    <xf numFmtId="0" fontId="7" fillId="0" borderId="37" xfId="0" applyFont="1" applyFill="1" applyBorder="1" applyAlignment="1">
      <alignment horizontal="center" vertical="center"/>
    </xf>
    <xf numFmtId="0" fontId="7" fillId="0" borderId="38" xfId="0" applyFont="1" applyFill="1" applyBorder="1" applyAlignment="1">
      <alignment horizontal="center" vertical="center"/>
    </xf>
    <xf numFmtId="0" fontId="7" fillId="0" borderId="42" xfId="0" applyFont="1" applyFill="1" applyBorder="1" applyAlignment="1">
      <alignment horizontal="center" vertical="center"/>
    </xf>
    <xf numFmtId="0" fontId="7" fillId="0" borderId="43" xfId="0" applyFont="1" applyFill="1" applyBorder="1" applyAlignment="1">
      <alignment horizontal="center" vertical="center"/>
    </xf>
    <xf numFmtId="0" fontId="7" fillId="0" borderId="44" xfId="0" applyFont="1" applyFill="1" applyBorder="1" applyAlignment="1">
      <alignment horizontal="center" vertical="center"/>
    </xf>
    <xf numFmtId="178" fontId="6" fillId="0" borderId="12" xfId="0" applyNumberFormat="1" applyFont="1" applyBorder="1" applyAlignment="1">
      <alignment horizontal="center" vertical="center"/>
    </xf>
    <xf numFmtId="178" fontId="6" fillId="0" borderId="31" xfId="0" applyNumberFormat="1" applyFont="1" applyBorder="1" applyAlignment="1">
      <alignment horizontal="center" vertical="center"/>
    </xf>
    <xf numFmtId="0" fontId="10" fillId="21" borderId="19" xfId="1" applyFont="1" applyFill="1" applyBorder="1" applyAlignment="1">
      <alignment horizontal="center" vertical="center"/>
    </xf>
    <xf numFmtId="0" fontId="6" fillId="21" borderId="20" xfId="1" applyFont="1" applyFill="1" applyBorder="1" applyAlignment="1">
      <alignment horizontal="center" vertical="center"/>
    </xf>
    <xf numFmtId="0" fontId="10" fillId="21" borderId="17" xfId="1" applyFont="1" applyFill="1" applyBorder="1" applyAlignment="1">
      <alignment horizontal="center" vertical="center" wrapText="1"/>
    </xf>
    <xf numFmtId="0" fontId="6" fillId="21" borderId="16" xfId="1" applyFont="1" applyFill="1" applyBorder="1" applyAlignment="1">
      <alignment horizontal="center" vertical="center" wrapText="1"/>
    </xf>
    <xf numFmtId="0" fontId="6" fillId="21" borderId="19" xfId="1" applyFont="1" applyFill="1" applyBorder="1" applyAlignment="1">
      <alignment horizontal="center" vertical="center" wrapText="1"/>
    </xf>
    <xf numFmtId="0" fontId="6" fillId="21" borderId="21" xfId="1" applyFont="1" applyFill="1" applyBorder="1" applyAlignment="1">
      <alignment horizontal="center" vertical="center" wrapText="1"/>
    </xf>
    <xf numFmtId="0" fontId="10" fillId="0" borderId="21" xfId="1" applyFont="1" applyBorder="1" applyAlignment="1">
      <alignment horizontal="center"/>
    </xf>
    <xf numFmtId="0" fontId="10" fillId="0" borderId="22" xfId="1" applyFont="1" applyBorder="1" applyAlignment="1">
      <alignment horizontal="center"/>
    </xf>
    <xf numFmtId="0" fontId="6" fillId="21" borderId="17" xfId="1" applyFont="1" applyFill="1" applyBorder="1" applyAlignment="1">
      <alignment horizontal="center" vertical="center"/>
    </xf>
    <xf numFmtId="0" fontId="6" fillId="21" borderId="18" xfId="1" applyFont="1" applyFill="1" applyBorder="1" applyAlignment="1">
      <alignment horizontal="center" vertical="center"/>
    </xf>
    <xf numFmtId="0" fontId="6" fillId="21" borderId="25" xfId="1" applyFont="1" applyFill="1" applyBorder="1" applyAlignment="1">
      <alignment horizontal="center" vertical="center"/>
    </xf>
    <xf numFmtId="0" fontId="6" fillId="15" borderId="1" xfId="1" applyFont="1" applyFill="1" applyBorder="1" applyAlignment="1">
      <alignment horizontal="center" vertical="center"/>
    </xf>
    <xf numFmtId="0" fontId="6" fillId="18" borderId="1" xfId="1" applyFont="1" applyFill="1" applyBorder="1" applyAlignment="1">
      <alignment horizontal="center" vertical="center"/>
    </xf>
    <xf numFmtId="0" fontId="6" fillId="15" borderId="5" xfId="1" applyFont="1" applyFill="1" applyBorder="1" applyAlignment="1">
      <alignment horizontal="center" vertical="center"/>
    </xf>
    <xf numFmtId="0" fontId="6" fillId="15" borderId="3" xfId="1" applyFont="1" applyFill="1" applyBorder="1" applyAlignment="1">
      <alignment horizontal="center" vertical="center"/>
    </xf>
    <xf numFmtId="193" fontId="7" fillId="0" borderId="5" xfId="0" applyNumberFormat="1" applyFont="1" applyFill="1" applyBorder="1" applyAlignment="1">
      <alignment horizontal="center" vertical="center" wrapText="1"/>
    </xf>
    <xf numFmtId="193" fontId="7" fillId="0" borderId="4" xfId="0" applyNumberFormat="1" applyFont="1" applyFill="1" applyBorder="1" applyAlignment="1">
      <alignment horizontal="center" vertical="center" wrapText="1"/>
    </xf>
    <xf numFmtId="193" fontId="7" fillId="0" borderId="3" xfId="0" applyNumberFormat="1" applyFont="1" applyFill="1" applyBorder="1" applyAlignment="1">
      <alignment horizontal="center" vertical="center" wrapText="1"/>
    </xf>
    <xf numFmtId="185" fontId="5" fillId="0" borderId="8" xfId="0" applyNumberFormat="1" applyFont="1" applyFill="1" applyBorder="1" applyAlignment="1">
      <alignment horizontal="center" vertical="center"/>
    </xf>
    <xf numFmtId="185" fontId="5" fillId="0" borderId="10" xfId="0" applyNumberFormat="1" applyFont="1" applyFill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1" fillId="0" borderId="1" xfId="0" applyFont="1" applyBorder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colors>
    <mruColors>
      <color rgb="FFFF99CC"/>
      <color rgb="FFFF67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194945</xdr:colOff>
      <xdr:row>1</xdr:row>
      <xdr:rowOff>43180</xdr:rowOff>
    </xdr:from>
    <xdr:to>
      <xdr:col>11</xdr:col>
      <xdr:colOff>67310</xdr:colOff>
      <xdr:row>2</xdr:row>
      <xdr:rowOff>112395</xdr:rowOff>
    </xdr:to>
    <xdr:sp macro="[0]!NewMacros.Macro1" textlink="">
      <xdr:nvSpPr>
        <xdr:cNvPr id="4" name="矩形 3"/>
        <xdr:cNvSpPr/>
      </xdr:nvSpPr>
      <xdr:spPr>
        <a:xfrm>
          <a:off x="6679565" y="226060"/>
          <a:ext cx="1083945" cy="2520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100"/>
            <a:t>单变量求解</a:t>
          </a:r>
          <a:r>
            <a:rPr lang="en-US" altLang="zh-CN" sz="1100"/>
            <a:t>1</a:t>
          </a:r>
        </a:p>
      </xdr:txBody>
    </xdr:sp>
    <xdr:clientData/>
  </xdr:twoCellAnchor>
  <xdr:twoCellAnchor>
    <xdr:from>
      <xdr:col>22</xdr:col>
      <xdr:colOff>177165</xdr:colOff>
      <xdr:row>1</xdr:row>
      <xdr:rowOff>114935</xdr:rowOff>
    </xdr:from>
    <xdr:to>
      <xdr:col>23</xdr:col>
      <xdr:colOff>616585</xdr:colOff>
      <xdr:row>2</xdr:row>
      <xdr:rowOff>158750</xdr:rowOff>
    </xdr:to>
    <xdr:sp macro="[0]!Macro2" textlink="">
      <xdr:nvSpPr>
        <xdr:cNvPr id="5" name="矩形 4"/>
        <xdr:cNvSpPr/>
      </xdr:nvSpPr>
      <xdr:spPr>
        <a:xfrm>
          <a:off x="14319885" y="297815"/>
          <a:ext cx="1064260" cy="2266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100"/>
            <a:t>单变量求解</a:t>
          </a:r>
          <a:r>
            <a:rPr lang="en-US" altLang="zh-CN" sz="1100"/>
            <a:t>2</a:t>
          </a:r>
        </a:p>
      </xdr:txBody>
    </xdr:sp>
    <xdr:clientData/>
  </xdr:twoCellAnchor>
  <xdr:twoCellAnchor editAs="oneCell">
    <xdr:from>
      <xdr:col>28</xdr:col>
      <xdr:colOff>26504</xdr:colOff>
      <xdr:row>23</xdr:row>
      <xdr:rowOff>19878</xdr:rowOff>
    </xdr:from>
    <xdr:to>
      <xdr:col>34</xdr:col>
      <xdr:colOff>356579</xdr:colOff>
      <xdr:row>27</xdr:row>
      <xdr:rowOff>168302</xdr:rowOff>
    </xdr:to>
    <xdr:pic>
      <xdr:nvPicPr>
        <xdr:cNvPr id="7" name="图片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56835" y="4483100"/>
          <a:ext cx="4622165" cy="88011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28</xdr:col>
      <xdr:colOff>192156</xdr:colOff>
      <xdr:row>28</xdr:row>
      <xdr:rowOff>46383</xdr:rowOff>
    </xdr:from>
    <xdr:to>
      <xdr:col>34</xdr:col>
      <xdr:colOff>362211</xdr:colOff>
      <xdr:row>32</xdr:row>
      <xdr:rowOff>84953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22570" y="5424170"/>
          <a:ext cx="4462145" cy="7696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28</xdr:col>
      <xdr:colOff>463826</xdr:colOff>
      <xdr:row>33</xdr:row>
      <xdr:rowOff>33130</xdr:rowOff>
    </xdr:from>
    <xdr:to>
      <xdr:col>33</xdr:col>
      <xdr:colOff>506896</xdr:colOff>
      <xdr:row>42</xdr:row>
      <xdr:rowOff>16068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94350" y="6340475"/>
          <a:ext cx="3717290" cy="1628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28</xdr:col>
      <xdr:colOff>331305</xdr:colOff>
      <xdr:row>43</xdr:row>
      <xdr:rowOff>39756</xdr:rowOff>
    </xdr:from>
    <xdr:to>
      <xdr:col>34</xdr:col>
      <xdr:colOff>1082041</xdr:colOff>
      <xdr:row>48</xdr:row>
      <xdr:rowOff>8614</xdr:rowOff>
    </xdr:to>
    <xdr:pic>
      <xdr:nvPicPr>
        <xdr:cNvPr id="10" name="图片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61635" y="8175625"/>
          <a:ext cx="5042535" cy="88328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119062</xdr:colOff>
      <xdr:row>69</xdr:row>
      <xdr:rowOff>57150</xdr:rowOff>
    </xdr:from>
    <xdr:ext cx="65" cy="172227"/>
    <xdr:sp macro="" textlink="">
      <xdr:nvSpPr>
        <xdr:cNvPr id="2" name="文本框 1"/>
        <xdr:cNvSpPr txBox="1"/>
      </xdr:nvSpPr>
      <xdr:spPr>
        <a:xfrm>
          <a:off x="11624945" y="126968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20</xdr:row>
          <xdr:rowOff>7620</xdr:rowOff>
        </xdr:from>
        <xdr:to>
          <xdr:col>5</xdr:col>
          <xdr:colOff>1013460</xdr:colOff>
          <xdr:row>21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单变量求解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119062</xdr:colOff>
      <xdr:row>91</xdr:row>
      <xdr:rowOff>0</xdr:rowOff>
    </xdr:from>
    <xdr:ext cx="65" cy="172227"/>
    <xdr:sp macro="" textlink="">
      <xdr:nvSpPr>
        <xdr:cNvPr id="4" name="文本框 3"/>
        <xdr:cNvSpPr txBox="1"/>
      </xdr:nvSpPr>
      <xdr:spPr>
        <a:xfrm>
          <a:off x="11624945" y="1653730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127</xdr:row>
      <xdr:rowOff>57150</xdr:rowOff>
    </xdr:from>
    <xdr:ext cx="65" cy="172227"/>
    <xdr:sp macro="" textlink="">
      <xdr:nvSpPr>
        <xdr:cNvPr id="5" name="文本框 4"/>
        <xdr:cNvSpPr txBox="1"/>
      </xdr:nvSpPr>
      <xdr:spPr>
        <a:xfrm>
          <a:off x="11624945" y="2341054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149</xdr:row>
      <xdr:rowOff>0</xdr:rowOff>
    </xdr:from>
    <xdr:ext cx="65" cy="172227"/>
    <xdr:sp macro="" textlink="">
      <xdr:nvSpPr>
        <xdr:cNvPr id="6" name="文本框 5"/>
        <xdr:cNvSpPr txBox="1"/>
      </xdr:nvSpPr>
      <xdr:spPr>
        <a:xfrm>
          <a:off x="11624945" y="272510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185</xdr:row>
      <xdr:rowOff>57150</xdr:rowOff>
    </xdr:from>
    <xdr:ext cx="65" cy="172227"/>
    <xdr:sp macro="" textlink="">
      <xdr:nvSpPr>
        <xdr:cNvPr id="7" name="文本框 6"/>
        <xdr:cNvSpPr txBox="1"/>
      </xdr:nvSpPr>
      <xdr:spPr>
        <a:xfrm>
          <a:off x="11624945" y="341242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207</xdr:row>
      <xdr:rowOff>0</xdr:rowOff>
    </xdr:from>
    <xdr:ext cx="65" cy="172227"/>
    <xdr:sp macro="" textlink="">
      <xdr:nvSpPr>
        <xdr:cNvPr id="8" name="文本框 7"/>
        <xdr:cNvSpPr txBox="1"/>
      </xdr:nvSpPr>
      <xdr:spPr>
        <a:xfrm>
          <a:off x="11624945" y="3796474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243</xdr:row>
      <xdr:rowOff>57150</xdr:rowOff>
    </xdr:from>
    <xdr:ext cx="65" cy="172227"/>
    <xdr:sp macro="" textlink="">
      <xdr:nvSpPr>
        <xdr:cNvPr id="9" name="文本框 8"/>
        <xdr:cNvSpPr txBox="1"/>
      </xdr:nvSpPr>
      <xdr:spPr>
        <a:xfrm>
          <a:off x="11624945" y="4483798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265</xdr:row>
      <xdr:rowOff>0</xdr:rowOff>
    </xdr:from>
    <xdr:ext cx="65" cy="172227"/>
    <xdr:sp macro="" textlink="">
      <xdr:nvSpPr>
        <xdr:cNvPr id="10" name="文本框 9"/>
        <xdr:cNvSpPr txBox="1"/>
      </xdr:nvSpPr>
      <xdr:spPr>
        <a:xfrm>
          <a:off x="11624945" y="486784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301</xdr:row>
      <xdr:rowOff>57150</xdr:rowOff>
    </xdr:from>
    <xdr:ext cx="65" cy="172227"/>
    <xdr:sp macro="" textlink="">
      <xdr:nvSpPr>
        <xdr:cNvPr id="11" name="文本框 10"/>
        <xdr:cNvSpPr txBox="1"/>
      </xdr:nvSpPr>
      <xdr:spPr>
        <a:xfrm>
          <a:off x="11624945" y="5555170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323</xdr:row>
      <xdr:rowOff>0</xdr:rowOff>
    </xdr:from>
    <xdr:ext cx="65" cy="172227"/>
    <xdr:sp macro="" textlink="">
      <xdr:nvSpPr>
        <xdr:cNvPr id="12" name="文本框 11"/>
        <xdr:cNvSpPr txBox="1"/>
      </xdr:nvSpPr>
      <xdr:spPr>
        <a:xfrm>
          <a:off x="11624945" y="5939218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359</xdr:row>
      <xdr:rowOff>57150</xdr:rowOff>
    </xdr:from>
    <xdr:ext cx="65" cy="172227"/>
    <xdr:sp macro="" textlink="">
      <xdr:nvSpPr>
        <xdr:cNvPr id="13" name="文本框 12"/>
        <xdr:cNvSpPr txBox="1"/>
      </xdr:nvSpPr>
      <xdr:spPr>
        <a:xfrm>
          <a:off x="11624945" y="662654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381</xdr:row>
      <xdr:rowOff>0</xdr:rowOff>
    </xdr:from>
    <xdr:ext cx="65" cy="172227"/>
    <xdr:sp macro="" textlink="">
      <xdr:nvSpPr>
        <xdr:cNvPr id="14" name="文本框 13"/>
        <xdr:cNvSpPr txBox="1"/>
      </xdr:nvSpPr>
      <xdr:spPr>
        <a:xfrm>
          <a:off x="11624945" y="7010590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417</xdr:row>
      <xdr:rowOff>57150</xdr:rowOff>
    </xdr:from>
    <xdr:ext cx="65" cy="172227"/>
    <xdr:sp macro="" textlink="">
      <xdr:nvSpPr>
        <xdr:cNvPr id="15" name="文本框 14"/>
        <xdr:cNvSpPr txBox="1"/>
      </xdr:nvSpPr>
      <xdr:spPr>
        <a:xfrm>
          <a:off x="11624945" y="7697914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439</xdr:row>
      <xdr:rowOff>0</xdr:rowOff>
    </xdr:from>
    <xdr:ext cx="65" cy="172227"/>
    <xdr:sp macro="" textlink="">
      <xdr:nvSpPr>
        <xdr:cNvPr id="16" name="文本框 15"/>
        <xdr:cNvSpPr txBox="1"/>
      </xdr:nvSpPr>
      <xdr:spPr>
        <a:xfrm>
          <a:off x="11624945" y="808196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439</xdr:row>
      <xdr:rowOff>0</xdr:rowOff>
    </xdr:from>
    <xdr:ext cx="65" cy="172227"/>
    <xdr:sp macro="" textlink="">
      <xdr:nvSpPr>
        <xdr:cNvPr id="17" name="文本框 16"/>
        <xdr:cNvSpPr txBox="1"/>
      </xdr:nvSpPr>
      <xdr:spPr>
        <a:xfrm>
          <a:off x="11624945" y="808196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439</xdr:row>
      <xdr:rowOff>0</xdr:rowOff>
    </xdr:from>
    <xdr:ext cx="65" cy="172227"/>
    <xdr:sp macro="" textlink="">
      <xdr:nvSpPr>
        <xdr:cNvPr id="18" name="文本框 17"/>
        <xdr:cNvSpPr txBox="1"/>
      </xdr:nvSpPr>
      <xdr:spPr>
        <a:xfrm>
          <a:off x="11624945" y="808196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475</xdr:row>
      <xdr:rowOff>57150</xdr:rowOff>
    </xdr:from>
    <xdr:ext cx="65" cy="172227"/>
    <xdr:sp macro="" textlink="">
      <xdr:nvSpPr>
        <xdr:cNvPr id="19" name="文本框 18"/>
        <xdr:cNvSpPr txBox="1"/>
      </xdr:nvSpPr>
      <xdr:spPr>
        <a:xfrm>
          <a:off x="11624945" y="876928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497</xdr:row>
      <xdr:rowOff>0</xdr:rowOff>
    </xdr:from>
    <xdr:ext cx="65" cy="172227"/>
    <xdr:sp macro="" textlink="">
      <xdr:nvSpPr>
        <xdr:cNvPr id="20" name="文本框 19"/>
        <xdr:cNvSpPr txBox="1"/>
      </xdr:nvSpPr>
      <xdr:spPr>
        <a:xfrm>
          <a:off x="11624945" y="9153334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497</xdr:row>
      <xdr:rowOff>0</xdr:rowOff>
    </xdr:from>
    <xdr:ext cx="65" cy="172227"/>
    <xdr:sp macro="" textlink="">
      <xdr:nvSpPr>
        <xdr:cNvPr id="21" name="文本框 20"/>
        <xdr:cNvSpPr txBox="1"/>
      </xdr:nvSpPr>
      <xdr:spPr>
        <a:xfrm>
          <a:off x="11624945" y="9153334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497</xdr:row>
      <xdr:rowOff>0</xdr:rowOff>
    </xdr:from>
    <xdr:ext cx="65" cy="172227"/>
    <xdr:sp macro="" textlink="">
      <xdr:nvSpPr>
        <xdr:cNvPr id="22" name="文本框 21"/>
        <xdr:cNvSpPr txBox="1"/>
      </xdr:nvSpPr>
      <xdr:spPr>
        <a:xfrm>
          <a:off x="11624945" y="9153334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533</xdr:row>
      <xdr:rowOff>57150</xdr:rowOff>
    </xdr:from>
    <xdr:ext cx="65" cy="172227"/>
    <xdr:sp macro="" textlink="">
      <xdr:nvSpPr>
        <xdr:cNvPr id="23" name="文本框 22"/>
        <xdr:cNvSpPr txBox="1"/>
      </xdr:nvSpPr>
      <xdr:spPr>
        <a:xfrm>
          <a:off x="11624945" y="9840658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555</xdr:row>
      <xdr:rowOff>0</xdr:rowOff>
    </xdr:from>
    <xdr:ext cx="65" cy="172227"/>
    <xdr:sp macro="" textlink="">
      <xdr:nvSpPr>
        <xdr:cNvPr id="24" name="文本框 23"/>
        <xdr:cNvSpPr txBox="1"/>
      </xdr:nvSpPr>
      <xdr:spPr>
        <a:xfrm>
          <a:off x="11624945" y="1022470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555</xdr:row>
      <xdr:rowOff>0</xdr:rowOff>
    </xdr:from>
    <xdr:ext cx="65" cy="172227"/>
    <xdr:sp macro="" textlink="">
      <xdr:nvSpPr>
        <xdr:cNvPr id="25" name="文本框 24"/>
        <xdr:cNvSpPr txBox="1"/>
      </xdr:nvSpPr>
      <xdr:spPr>
        <a:xfrm>
          <a:off x="11624945" y="1022470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555</xdr:row>
      <xdr:rowOff>0</xdr:rowOff>
    </xdr:from>
    <xdr:ext cx="65" cy="172227"/>
    <xdr:sp macro="" textlink="">
      <xdr:nvSpPr>
        <xdr:cNvPr id="26" name="文本框 25"/>
        <xdr:cNvSpPr txBox="1"/>
      </xdr:nvSpPr>
      <xdr:spPr>
        <a:xfrm>
          <a:off x="11624945" y="1022470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591</xdr:row>
      <xdr:rowOff>57150</xdr:rowOff>
    </xdr:from>
    <xdr:ext cx="65" cy="172227"/>
    <xdr:sp macro="" textlink="">
      <xdr:nvSpPr>
        <xdr:cNvPr id="27" name="文本框 26"/>
        <xdr:cNvSpPr txBox="1"/>
      </xdr:nvSpPr>
      <xdr:spPr>
        <a:xfrm>
          <a:off x="11624945" y="10912030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631</xdr:row>
      <xdr:rowOff>0</xdr:rowOff>
    </xdr:from>
    <xdr:ext cx="65" cy="172227"/>
    <xdr:sp macro="" textlink="">
      <xdr:nvSpPr>
        <xdr:cNvPr id="28" name="文本框 27"/>
        <xdr:cNvSpPr txBox="1"/>
      </xdr:nvSpPr>
      <xdr:spPr>
        <a:xfrm>
          <a:off x="11624945" y="1161154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631</xdr:row>
      <xdr:rowOff>0</xdr:rowOff>
    </xdr:from>
    <xdr:ext cx="65" cy="172227"/>
    <xdr:sp macro="" textlink="">
      <xdr:nvSpPr>
        <xdr:cNvPr id="29" name="文本框 28"/>
        <xdr:cNvSpPr txBox="1"/>
      </xdr:nvSpPr>
      <xdr:spPr>
        <a:xfrm>
          <a:off x="11624945" y="1161154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631</xdr:row>
      <xdr:rowOff>0</xdr:rowOff>
    </xdr:from>
    <xdr:ext cx="65" cy="172227"/>
    <xdr:sp macro="" textlink="">
      <xdr:nvSpPr>
        <xdr:cNvPr id="30" name="文本框 29"/>
        <xdr:cNvSpPr txBox="1"/>
      </xdr:nvSpPr>
      <xdr:spPr>
        <a:xfrm>
          <a:off x="11624945" y="1161154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667</xdr:row>
      <xdr:rowOff>57150</xdr:rowOff>
    </xdr:from>
    <xdr:ext cx="65" cy="172227"/>
    <xdr:sp macro="" textlink="">
      <xdr:nvSpPr>
        <xdr:cNvPr id="31" name="文本框 30"/>
        <xdr:cNvSpPr txBox="1"/>
      </xdr:nvSpPr>
      <xdr:spPr>
        <a:xfrm>
          <a:off x="11624945" y="12298870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688</xdr:row>
      <xdr:rowOff>0</xdr:rowOff>
    </xdr:from>
    <xdr:ext cx="65" cy="172227"/>
    <xdr:sp macro="" textlink="">
      <xdr:nvSpPr>
        <xdr:cNvPr id="32" name="文本框 31"/>
        <xdr:cNvSpPr txBox="1"/>
      </xdr:nvSpPr>
      <xdr:spPr>
        <a:xfrm>
          <a:off x="11624945" y="1266539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688</xdr:row>
      <xdr:rowOff>0</xdr:rowOff>
    </xdr:from>
    <xdr:ext cx="65" cy="172227"/>
    <xdr:sp macro="" textlink="">
      <xdr:nvSpPr>
        <xdr:cNvPr id="33" name="文本框 32"/>
        <xdr:cNvSpPr txBox="1"/>
      </xdr:nvSpPr>
      <xdr:spPr>
        <a:xfrm>
          <a:off x="11624945" y="1266539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688</xdr:row>
      <xdr:rowOff>0</xdr:rowOff>
    </xdr:from>
    <xdr:ext cx="65" cy="172227"/>
    <xdr:sp macro="" textlink="">
      <xdr:nvSpPr>
        <xdr:cNvPr id="34" name="文本框 33"/>
        <xdr:cNvSpPr txBox="1"/>
      </xdr:nvSpPr>
      <xdr:spPr>
        <a:xfrm>
          <a:off x="11624945" y="1266539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724</xdr:row>
      <xdr:rowOff>57150</xdr:rowOff>
    </xdr:from>
    <xdr:ext cx="65" cy="172227"/>
    <xdr:sp macro="" textlink="">
      <xdr:nvSpPr>
        <xdr:cNvPr id="35" name="文本框 34"/>
        <xdr:cNvSpPr txBox="1"/>
      </xdr:nvSpPr>
      <xdr:spPr>
        <a:xfrm>
          <a:off x="11624945" y="1335271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780</xdr:row>
      <xdr:rowOff>0</xdr:rowOff>
    </xdr:from>
    <xdr:ext cx="65" cy="172227"/>
    <xdr:sp macro="" textlink="">
      <xdr:nvSpPr>
        <xdr:cNvPr id="36" name="文本框 35"/>
        <xdr:cNvSpPr txBox="1"/>
      </xdr:nvSpPr>
      <xdr:spPr>
        <a:xfrm>
          <a:off x="11624945" y="14332648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780</xdr:row>
      <xdr:rowOff>0</xdr:rowOff>
    </xdr:from>
    <xdr:ext cx="65" cy="172227"/>
    <xdr:sp macro="" textlink="">
      <xdr:nvSpPr>
        <xdr:cNvPr id="37" name="文本框 36"/>
        <xdr:cNvSpPr txBox="1"/>
      </xdr:nvSpPr>
      <xdr:spPr>
        <a:xfrm>
          <a:off x="11624945" y="14332648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780</xdr:row>
      <xdr:rowOff>0</xdr:rowOff>
    </xdr:from>
    <xdr:ext cx="65" cy="172227"/>
    <xdr:sp macro="" textlink="">
      <xdr:nvSpPr>
        <xdr:cNvPr id="38" name="文本框 37"/>
        <xdr:cNvSpPr txBox="1"/>
      </xdr:nvSpPr>
      <xdr:spPr>
        <a:xfrm>
          <a:off x="11624945" y="14332648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816</xdr:row>
      <xdr:rowOff>57150</xdr:rowOff>
    </xdr:from>
    <xdr:ext cx="65" cy="172227"/>
    <xdr:sp macro="" textlink="">
      <xdr:nvSpPr>
        <xdr:cNvPr id="39" name="文本框 38"/>
        <xdr:cNvSpPr txBox="1"/>
      </xdr:nvSpPr>
      <xdr:spPr>
        <a:xfrm>
          <a:off x="11624945" y="1501997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835</xdr:row>
      <xdr:rowOff>0</xdr:rowOff>
    </xdr:from>
    <xdr:ext cx="65" cy="172227"/>
    <xdr:sp macro="" textlink="">
      <xdr:nvSpPr>
        <xdr:cNvPr id="40" name="文本框 39"/>
        <xdr:cNvSpPr txBox="1"/>
      </xdr:nvSpPr>
      <xdr:spPr>
        <a:xfrm>
          <a:off x="11624945" y="1535144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835</xdr:row>
      <xdr:rowOff>0</xdr:rowOff>
    </xdr:from>
    <xdr:ext cx="65" cy="172227"/>
    <xdr:sp macro="" textlink="">
      <xdr:nvSpPr>
        <xdr:cNvPr id="41" name="文本框 40"/>
        <xdr:cNvSpPr txBox="1"/>
      </xdr:nvSpPr>
      <xdr:spPr>
        <a:xfrm>
          <a:off x="11624945" y="1535144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835</xdr:row>
      <xdr:rowOff>0</xdr:rowOff>
    </xdr:from>
    <xdr:ext cx="65" cy="172227"/>
    <xdr:sp macro="" textlink="">
      <xdr:nvSpPr>
        <xdr:cNvPr id="42" name="文本框 41"/>
        <xdr:cNvSpPr txBox="1"/>
      </xdr:nvSpPr>
      <xdr:spPr>
        <a:xfrm>
          <a:off x="11624945" y="15351442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871</xdr:row>
      <xdr:rowOff>57150</xdr:rowOff>
    </xdr:from>
    <xdr:ext cx="65" cy="172227"/>
    <xdr:sp macro="" textlink="">
      <xdr:nvSpPr>
        <xdr:cNvPr id="43" name="文本框 42"/>
        <xdr:cNvSpPr txBox="1"/>
      </xdr:nvSpPr>
      <xdr:spPr>
        <a:xfrm>
          <a:off x="11624945" y="1603876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890</xdr:row>
      <xdr:rowOff>0</xdr:rowOff>
    </xdr:from>
    <xdr:ext cx="65" cy="172227"/>
    <xdr:sp macro="" textlink="">
      <xdr:nvSpPr>
        <xdr:cNvPr id="44" name="文本框 43"/>
        <xdr:cNvSpPr txBox="1"/>
      </xdr:nvSpPr>
      <xdr:spPr>
        <a:xfrm>
          <a:off x="11624945" y="1637023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890</xdr:row>
      <xdr:rowOff>0</xdr:rowOff>
    </xdr:from>
    <xdr:ext cx="65" cy="172227"/>
    <xdr:sp macro="" textlink="">
      <xdr:nvSpPr>
        <xdr:cNvPr id="45" name="文本框 44"/>
        <xdr:cNvSpPr txBox="1"/>
      </xdr:nvSpPr>
      <xdr:spPr>
        <a:xfrm>
          <a:off x="11624945" y="1637023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890</xdr:row>
      <xdr:rowOff>0</xdr:rowOff>
    </xdr:from>
    <xdr:ext cx="65" cy="172227"/>
    <xdr:sp macro="" textlink="">
      <xdr:nvSpPr>
        <xdr:cNvPr id="46" name="文本框 45"/>
        <xdr:cNvSpPr txBox="1"/>
      </xdr:nvSpPr>
      <xdr:spPr>
        <a:xfrm>
          <a:off x="11624945" y="16370236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926</xdr:row>
      <xdr:rowOff>57150</xdr:rowOff>
    </xdr:from>
    <xdr:ext cx="65" cy="172227"/>
    <xdr:sp macro="" textlink="">
      <xdr:nvSpPr>
        <xdr:cNvPr id="47" name="文本框 46"/>
        <xdr:cNvSpPr txBox="1"/>
      </xdr:nvSpPr>
      <xdr:spPr>
        <a:xfrm>
          <a:off x="11624945" y="17057560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945</xdr:row>
      <xdr:rowOff>0</xdr:rowOff>
    </xdr:from>
    <xdr:ext cx="65" cy="172227"/>
    <xdr:sp macro="" textlink="">
      <xdr:nvSpPr>
        <xdr:cNvPr id="48" name="文本框 47"/>
        <xdr:cNvSpPr txBox="1"/>
      </xdr:nvSpPr>
      <xdr:spPr>
        <a:xfrm>
          <a:off x="11624945" y="17389030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945</xdr:row>
      <xdr:rowOff>0</xdr:rowOff>
    </xdr:from>
    <xdr:ext cx="65" cy="172227"/>
    <xdr:sp macro="" textlink="">
      <xdr:nvSpPr>
        <xdr:cNvPr id="49" name="文本框 48"/>
        <xdr:cNvSpPr txBox="1"/>
      </xdr:nvSpPr>
      <xdr:spPr>
        <a:xfrm>
          <a:off x="11624945" y="17389030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945</xdr:row>
      <xdr:rowOff>0</xdr:rowOff>
    </xdr:from>
    <xdr:ext cx="65" cy="172227"/>
    <xdr:sp macro="" textlink="">
      <xdr:nvSpPr>
        <xdr:cNvPr id="50" name="文本框 49"/>
        <xdr:cNvSpPr txBox="1"/>
      </xdr:nvSpPr>
      <xdr:spPr>
        <a:xfrm>
          <a:off x="11624945" y="17389030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  <xdr:oneCellAnchor>
    <xdr:from>
      <xdr:col>8</xdr:col>
      <xdr:colOff>119062</xdr:colOff>
      <xdr:row>981</xdr:row>
      <xdr:rowOff>57150</xdr:rowOff>
    </xdr:from>
    <xdr:ext cx="65" cy="172227"/>
    <xdr:sp macro="" textlink="">
      <xdr:nvSpPr>
        <xdr:cNvPr id="51" name="文本框 50"/>
        <xdr:cNvSpPr txBox="1"/>
      </xdr:nvSpPr>
      <xdr:spPr>
        <a:xfrm>
          <a:off x="11624945" y="18076354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1143663</xdr:colOff>
      <xdr:row>27</xdr:row>
      <xdr:rowOff>137160</xdr:rowOff>
    </xdr:from>
    <xdr:to>
      <xdr:col>21</xdr:col>
      <xdr:colOff>181847</xdr:colOff>
      <xdr:row>51</xdr:row>
      <xdr:rowOff>18448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8243" y="5219700"/>
          <a:ext cx="7260164" cy="423230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桩号坐标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23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3:AU50"/>
  <sheetViews>
    <sheetView topLeftCell="T1" zoomScale="115" zoomScaleNormal="115" workbookViewId="0">
      <selection activeCell="T7" sqref="A7:XFD10"/>
    </sheetView>
  </sheetViews>
  <sheetFormatPr defaultColWidth="9" defaultRowHeight="14.4" x14ac:dyDescent="0.25"/>
  <cols>
    <col min="1" max="1" width="19" customWidth="1"/>
    <col min="2" max="2" width="7.21875" customWidth="1"/>
    <col min="3" max="3" width="9.109375" customWidth="1"/>
    <col min="4" max="5" width="6.5546875" customWidth="1"/>
    <col min="6" max="6" width="9.109375" customWidth="1"/>
    <col min="7" max="7" width="9.21875" customWidth="1"/>
    <col min="8" max="9" width="13.88671875" customWidth="1"/>
    <col min="10" max="10" width="8.5546875" customWidth="1"/>
    <col min="11" max="15" width="9.109375" customWidth="1"/>
    <col min="16" max="16" width="9.5546875" customWidth="1"/>
    <col min="17" max="17" width="6.5546875" customWidth="1"/>
    <col min="18" max="18" width="9.109375" customWidth="1"/>
    <col min="19" max="19" width="6.5546875" customWidth="1"/>
    <col min="20" max="20" width="9.109375" customWidth="1"/>
    <col min="21" max="21" width="7.5546875" customWidth="1"/>
    <col min="22" max="23" width="9.109375" customWidth="1"/>
    <col min="24" max="24" width="9.5546875" customWidth="1"/>
    <col min="25" max="25" width="9" customWidth="1"/>
    <col min="26" max="26" width="7.77734375" customWidth="1"/>
    <col min="27" max="27" width="8.6640625" customWidth="1"/>
    <col min="28" max="28" width="9.6640625" customWidth="1"/>
    <col min="29" max="29" width="9" customWidth="1"/>
    <col min="31" max="31" width="9.5546875" bestFit="1" customWidth="1"/>
    <col min="32" max="33" width="13"/>
    <col min="35" max="35" width="20.109375" customWidth="1"/>
    <col min="37" max="37" width="3.5546875" customWidth="1"/>
    <col min="38" max="38" width="3.6640625" customWidth="1"/>
    <col min="39" max="39" width="4.6640625" customWidth="1"/>
    <col min="40" max="40" width="8.44140625" customWidth="1"/>
    <col min="41" max="41" width="8.6640625" customWidth="1"/>
    <col min="43" max="44" width="26" customWidth="1"/>
    <col min="46" max="46" width="21.5546875" customWidth="1"/>
    <col min="47" max="47" width="16" customWidth="1"/>
  </cols>
  <sheetData>
    <row r="3" spans="1:47" ht="15.6" x14ac:dyDescent="0.25">
      <c r="B3" s="366" t="s">
        <v>0</v>
      </c>
      <c r="C3" s="366"/>
      <c r="D3" s="366"/>
      <c r="E3" s="307"/>
      <c r="F3" s="307"/>
      <c r="G3" s="307"/>
      <c r="H3" s="307"/>
      <c r="I3" s="307"/>
      <c r="J3" s="307"/>
      <c r="K3" s="307"/>
      <c r="L3" s="307"/>
      <c r="M3" s="318"/>
      <c r="N3" s="307"/>
      <c r="O3" s="307"/>
      <c r="P3" s="307"/>
      <c r="Q3" s="307"/>
      <c r="R3" s="307"/>
      <c r="S3" s="307"/>
      <c r="T3" s="307"/>
      <c r="U3" s="307"/>
      <c r="V3" s="307"/>
      <c r="W3" s="307"/>
      <c r="X3" s="307"/>
    </row>
    <row r="4" spans="1:47" ht="15.6" x14ac:dyDescent="0.25">
      <c r="A4" s="370" t="s">
        <v>1</v>
      </c>
      <c r="B4" s="365" t="s">
        <v>2</v>
      </c>
      <c r="C4" s="65" t="s">
        <v>3</v>
      </c>
      <c r="D4" s="65" t="s">
        <v>4</v>
      </c>
      <c r="E4" s="65" t="s">
        <v>5</v>
      </c>
      <c r="F4" s="65" t="s">
        <v>6</v>
      </c>
      <c r="G4" s="65" t="s">
        <v>7</v>
      </c>
      <c r="H4" s="65" t="s">
        <v>8</v>
      </c>
      <c r="I4" s="65" t="s">
        <v>9</v>
      </c>
      <c r="J4" s="85" t="s">
        <v>10</v>
      </c>
      <c r="K4" s="65" t="s">
        <v>11</v>
      </c>
      <c r="L4" s="65" t="s">
        <v>12</v>
      </c>
      <c r="M4" s="318"/>
      <c r="N4" s="373" t="s">
        <v>2</v>
      </c>
      <c r="O4" s="319" t="s">
        <v>13</v>
      </c>
      <c r="P4" s="319" t="s">
        <v>4</v>
      </c>
      <c r="Q4" s="319" t="s">
        <v>5</v>
      </c>
      <c r="R4" s="319" t="s">
        <v>6</v>
      </c>
      <c r="S4" s="319" t="s">
        <v>7</v>
      </c>
      <c r="T4" s="319" t="s">
        <v>8</v>
      </c>
      <c r="U4" s="319" t="s">
        <v>9</v>
      </c>
      <c r="V4" s="329" t="s">
        <v>10</v>
      </c>
      <c r="W4" s="319" t="s">
        <v>14</v>
      </c>
      <c r="X4" s="330" t="s">
        <v>12</v>
      </c>
      <c r="AB4" s="13" t="s">
        <v>15</v>
      </c>
      <c r="AC4" s="13" t="s">
        <v>16</v>
      </c>
      <c r="AD4" s="13" t="s">
        <v>17</v>
      </c>
      <c r="AE4" s="407" t="s">
        <v>999</v>
      </c>
      <c r="AI4" s="376" t="s">
        <v>1</v>
      </c>
      <c r="AL4" s="344"/>
      <c r="AN4" s="367" t="s">
        <v>18</v>
      </c>
      <c r="AO4" s="367"/>
      <c r="AQ4" s="368" t="s">
        <v>19</v>
      </c>
      <c r="AR4" s="367"/>
      <c r="AT4" s="368" t="s">
        <v>20</v>
      </c>
      <c r="AU4" s="367"/>
    </row>
    <row r="5" spans="1:47" ht="15.6" x14ac:dyDescent="0.25">
      <c r="A5" s="371"/>
      <c r="B5" s="365"/>
      <c r="C5" s="80" t="s">
        <v>21</v>
      </c>
      <c r="D5" s="80" t="s">
        <v>22</v>
      </c>
      <c r="E5" s="80" t="s">
        <v>23</v>
      </c>
      <c r="F5" s="80" t="s">
        <v>24</v>
      </c>
      <c r="G5" s="80" t="s">
        <v>25</v>
      </c>
      <c r="H5" s="80" t="s">
        <v>26</v>
      </c>
      <c r="I5" s="313" t="s">
        <v>27</v>
      </c>
      <c r="J5" s="85" t="s">
        <v>28</v>
      </c>
      <c r="K5" s="320" t="s">
        <v>29</v>
      </c>
      <c r="L5" s="80" t="s">
        <v>30</v>
      </c>
      <c r="M5" s="318"/>
      <c r="N5" s="374"/>
      <c r="O5" s="51" t="s">
        <v>21</v>
      </c>
      <c r="P5" s="51" t="s">
        <v>22</v>
      </c>
      <c r="Q5" s="51" t="s">
        <v>23</v>
      </c>
      <c r="R5" s="51" t="s">
        <v>24</v>
      </c>
      <c r="S5" s="51" t="s">
        <v>25</v>
      </c>
      <c r="T5" s="51" t="s">
        <v>26</v>
      </c>
      <c r="U5" s="331" t="s">
        <v>27</v>
      </c>
      <c r="V5" s="332" t="s">
        <v>28</v>
      </c>
      <c r="W5" s="333" t="s">
        <v>29</v>
      </c>
      <c r="X5" s="334" t="s">
        <v>30</v>
      </c>
      <c r="AB5" s="13" t="s">
        <v>31</v>
      </c>
      <c r="AC5" s="13" t="s">
        <v>32</v>
      </c>
      <c r="AD5" s="13" t="s">
        <v>33</v>
      </c>
      <c r="AE5" s="359" t="s">
        <v>33</v>
      </c>
      <c r="AF5" s="13" t="s">
        <v>34</v>
      </c>
      <c r="AG5" s="13" t="s">
        <v>35</v>
      </c>
      <c r="AH5" s="17"/>
      <c r="AI5" s="377"/>
      <c r="AJ5" s="17"/>
      <c r="AN5" s="13" t="s">
        <v>36</v>
      </c>
      <c r="AO5" s="13" t="s">
        <v>37</v>
      </c>
      <c r="AQ5" s="13" t="s">
        <v>36</v>
      </c>
      <c r="AR5" s="13" t="s">
        <v>37</v>
      </c>
      <c r="AT5" s="13" t="s">
        <v>36</v>
      </c>
      <c r="AU5" s="13" t="s">
        <v>37</v>
      </c>
    </row>
    <row r="6" spans="1:47" ht="15.6" customHeight="1" x14ac:dyDescent="0.25">
      <c r="A6" s="372"/>
      <c r="B6" s="365"/>
      <c r="C6" s="80" t="s">
        <v>23</v>
      </c>
      <c r="D6" s="80" t="s">
        <v>23</v>
      </c>
      <c r="E6" s="80"/>
      <c r="F6" s="80" t="s">
        <v>38</v>
      </c>
      <c r="G6" s="80" t="s">
        <v>23</v>
      </c>
      <c r="H6" s="80"/>
      <c r="I6" s="313"/>
      <c r="J6" s="85"/>
      <c r="K6" s="313" t="s">
        <v>39</v>
      </c>
      <c r="L6" s="80" t="s">
        <v>40</v>
      </c>
      <c r="M6" s="318"/>
      <c r="N6" s="375"/>
      <c r="O6" s="321" t="s">
        <v>23</v>
      </c>
      <c r="P6" s="321" t="s">
        <v>23</v>
      </c>
      <c r="Q6" s="321"/>
      <c r="R6" s="321" t="s">
        <v>38</v>
      </c>
      <c r="S6" s="321" t="s">
        <v>23</v>
      </c>
      <c r="T6" s="321"/>
      <c r="U6" s="335"/>
      <c r="V6" s="336"/>
      <c r="W6" s="335" t="s">
        <v>39</v>
      </c>
      <c r="X6" s="337" t="s">
        <v>40</v>
      </c>
      <c r="AB6" s="13" t="s">
        <v>23</v>
      </c>
      <c r="AC6" s="13" t="s">
        <v>23</v>
      </c>
      <c r="AD6" s="13" t="s">
        <v>23</v>
      </c>
      <c r="AE6" s="359" t="s">
        <v>23</v>
      </c>
      <c r="AF6" s="13" t="s">
        <v>23</v>
      </c>
      <c r="AG6" s="13" t="s">
        <v>23</v>
      </c>
      <c r="AH6" s="17"/>
      <c r="AI6" s="378"/>
      <c r="AJ6" s="17"/>
      <c r="AK6" s="13">
        <v>11</v>
      </c>
      <c r="AL6" s="13">
        <v>18</v>
      </c>
      <c r="AM6" s="13">
        <v>8</v>
      </c>
      <c r="AN6" s="13"/>
      <c r="AO6" s="13"/>
      <c r="AQ6" s="352" t="s">
        <v>41</v>
      </c>
      <c r="AR6" s="352" t="s">
        <v>42</v>
      </c>
      <c r="AT6" s="352" t="s">
        <v>43</v>
      </c>
      <c r="AU6" s="352" t="s">
        <v>44</v>
      </c>
    </row>
    <row r="7" spans="1:47" ht="15.6" x14ac:dyDescent="0.25">
      <c r="A7" s="308" t="s">
        <v>45</v>
      </c>
      <c r="B7" s="65">
        <v>1</v>
      </c>
      <c r="C7" s="309">
        <v>1.5999458363997501</v>
      </c>
      <c r="D7" s="310">
        <v>1.5</v>
      </c>
      <c r="E7" s="311">
        <v>1.2</v>
      </c>
      <c r="F7" s="311">
        <f>(D7+E7*C7)*C7</f>
        <v>5.4717107698950995</v>
      </c>
      <c r="G7" s="311">
        <f>D7+2*C7*(1+E7*E7)^(1/2)</f>
        <v>6.4983905800837398</v>
      </c>
      <c r="H7" s="311">
        <f>F7/G7</f>
        <v>0.84201014119785178</v>
      </c>
      <c r="I7" s="314">
        <v>1.4999999999999999E-2</v>
      </c>
      <c r="J7" s="315">
        <v>5000</v>
      </c>
      <c r="K7" s="322">
        <f t="shared" ref="K7:K16" si="0">F7*H7^(2/3)/J7^(1/2)/I7</f>
        <v>4.6000062290098596</v>
      </c>
      <c r="L7" s="323">
        <f t="shared" ref="L7:L16" si="1">K7/F7</f>
        <v>0.84068884896451646</v>
      </c>
      <c r="M7" s="324">
        <v>4.5999999999999996</v>
      </c>
      <c r="N7" s="325">
        <v>1</v>
      </c>
      <c r="O7" s="309">
        <v>1.77885902028985</v>
      </c>
      <c r="P7" s="310">
        <f t="shared" ref="P7:Q16" si="2">D7</f>
        <v>1.5</v>
      </c>
      <c r="Q7" s="311">
        <f t="shared" si="2"/>
        <v>1.2</v>
      </c>
      <c r="R7" s="311">
        <f t="shared" ref="R7:R16" si="3">(P7+Q7*O7)*O7</f>
        <v>6.465495827314653</v>
      </c>
      <c r="S7" s="311">
        <f t="shared" ref="S7:S16" si="4">P7+2*O7*(1+Q7*Q7)^(1/2)</f>
        <v>7.0573332346809714</v>
      </c>
      <c r="T7" s="311">
        <f t="shared" ref="T7:T16" si="5">R7/S7</f>
        <v>0.91613866205751404</v>
      </c>
      <c r="U7" s="314">
        <f t="shared" ref="U7:V16" si="6">I7</f>
        <v>1.4999999999999999E-2</v>
      </c>
      <c r="V7" s="315">
        <f t="shared" si="6"/>
        <v>5000</v>
      </c>
      <c r="W7" s="322">
        <f t="shared" ref="W7:W16" si="7">R7*T7^(2/3)/V7^(1/2)/U7</f>
        <v>5.7499806345545599</v>
      </c>
      <c r="X7" s="323">
        <f t="shared" ref="X7:X16" si="8">W7/R7</f>
        <v>0.88933328365362641</v>
      </c>
      <c r="Y7" s="340">
        <f>M7*1.25</f>
        <v>5.75</v>
      </c>
      <c r="Z7" s="44">
        <f>K7-M7</f>
        <v>6.2290098599149246E-6</v>
      </c>
      <c r="AA7" s="341">
        <f>W7-Y7</f>
        <v>-1.9365445440122642E-5</v>
      </c>
      <c r="AB7" s="24">
        <f>O7/4+0.2</f>
        <v>0.64471475507246256</v>
      </c>
      <c r="AC7" s="24">
        <f>O7+AB7</f>
        <v>2.4235737753623123</v>
      </c>
      <c r="AD7" s="18">
        <v>2.5</v>
      </c>
      <c r="AE7" s="359">
        <v>2.2999999999999998</v>
      </c>
      <c r="AF7" s="24">
        <f t="shared" ref="AF7:AF16" si="9">D7+2*E7*C7</f>
        <v>5.3398700073593997</v>
      </c>
      <c r="AG7" s="345">
        <f>AF7*2.5</f>
        <v>13.3496750183985</v>
      </c>
      <c r="AH7" s="346"/>
      <c r="AI7" s="347" t="s">
        <v>45</v>
      </c>
      <c r="AJ7" s="346"/>
      <c r="AK7" s="345"/>
      <c r="AL7" s="345"/>
      <c r="AM7" s="345"/>
      <c r="AN7" s="348"/>
      <c r="AO7" s="348"/>
      <c r="AQ7" s="24">
        <f t="shared" ref="AQ7:AQ16" si="10">4*C7</f>
        <v>6.3997833455990003</v>
      </c>
      <c r="AR7" s="24">
        <f t="shared" ref="AR7:AR16" si="11">5*C7</f>
        <v>7.9997291819987506</v>
      </c>
      <c r="AT7" s="24"/>
      <c r="AU7" s="24"/>
    </row>
    <row r="8" spans="1:47" ht="15.6" x14ac:dyDescent="0.25">
      <c r="A8" s="312" t="s">
        <v>46</v>
      </c>
      <c r="B8" s="65">
        <v>2</v>
      </c>
      <c r="C8" s="309">
        <v>1.58308906639964</v>
      </c>
      <c r="D8" s="310">
        <v>1.5</v>
      </c>
      <c r="E8" s="311">
        <v>1.2</v>
      </c>
      <c r="F8" s="311">
        <f t="shared" ref="F8:F16" si="12">(D8+E8*C8)*C8</f>
        <v>5.3820387901843603</v>
      </c>
      <c r="G8" s="311">
        <f t="shared" ref="G8:G16" si="13">D8+2*C8*(1+E8*E8)^(1/2)</f>
        <v>6.445728347111662</v>
      </c>
      <c r="H8" s="311">
        <f t="shared" ref="H8:H16" si="14">F8/G8</f>
        <v>0.83497760072312976</v>
      </c>
      <c r="I8" s="314">
        <v>1.4999999999999999E-2</v>
      </c>
      <c r="J8" s="315">
        <v>5000</v>
      </c>
      <c r="K8" s="323">
        <f t="shared" si="0"/>
        <v>4.4993914540329225</v>
      </c>
      <c r="L8" s="323">
        <f t="shared" si="1"/>
        <v>0.8360013053489711</v>
      </c>
      <c r="M8" s="324">
        <v>4.5</v>
      </c>
      <c r="N8" s="325">
        <v>2</v>
      </c>
      <c r="O8" s="309">
        <v>1.7604800744479501</v>
      </c>
      <c r="P8" s="310">
        <f t="shared" si="2"/>
        <v>1.5</v>
      </c>
      <c r="Q8" s="311">
        <f t="shared" si="2"/>
        <v>1.2</v>
      </c>
      <c r="R8" s="311">
        <f t="shared" si="3"/>
        <v>6.3598682227058365</v>
      </c>
      <c r="S8" s="311">
        <f t="shared" si="4"/>
        <v>6.9999155723588897</v>
      </c>
      <c r="T8" s="311">
        <f t="shared" si="5"/>
        <v>0.90856356151201911</v>
      </c>
      <c r="U8" s="314">
        <f t="shared" si="6"/>
        <v>1.4999999999999999E-2</v>
      </c>
      <c r="V8" s="315">
        <f t="shared" si="6"/>
        <v>5000</v>
      </c>
      <c r="W8" s="323">
        <f t="shared" si="7"/>
        <v>5.6248213409257461</v>
      </c>
      <c r="X8" s="323">
        <f t="shared" si="8"/>
        <v>0.88442419621905921</v>
      </c>
      <c r="Y8" s="340">
        <f t="shared" ref="Y8:Y15" si="15">M8*1.25</f>
        <v>5.625</v>
      </c>
      <c r="Z8" s="44">
        <f>K8-M8</f>
        <v>-6.0854596707748954E-4</v>
      </c>
      <c r="AA8" s="341">
        <f>W8-Y8</f>
        <v>-1.7865907425385075E-4</v>
      </c>
      <c r="AB8" s="24">
        <f t="shared" ref="AB8:AB16" si="16">O8/4+0.2</f>
        <v>0.64012001861198753</v>
      </c>
      <c r="AC8" s="24">
        <f>O8+AB8</f>
        <v>2.4006000930599374</v>
      </c>
      <c r="AD8" s="20">
        <v>2.4</v>
      </c>
      <c r="AE8" s="359">
        <v>2.2999999999999998</v>
      </c>
      <c r="AF8" s="24">
        <f t="shared" si="9"/>
        <v>5.2994137593591359</v>
      </c>
      <c r="AG8" s="345">
        <f t="shared" ref="AG8:AG16" si="17">AF8*2.5</f>
        <v>13.24853439839784</v>
      </c>
      <c r="AH8" s="346"/>
      <c r="AI8" s="349" t="s">
        <v>46</v>
      </c>
      <c r="AJ8" s="346"/>
      <c r="AK8" s="345">
        <f>(AF8/2-$D$22)/TAN($AK$6/180*PI())</f>
        <v>7.2008676490367938</v>
      </c>
      <c r="AL8" s="345">
        <f>(AF8/2-$D$22)/TAN($AL$6/180*PI())</f>
        <v>4.3078548204607499</v>
      </c>
      <c r="AM8" s="345">
        <f>(AF8/2-$D$22)/TAN($AM$6/180*PI())</f>
        <v>9.9594319518848735</v>
      </c>
      <c r="AN8" s="348">
        <f t="shared" ref="AN8:AN9" si="18">MAX(AK8,AL8)</f>
        <v>7.2008676490367938</v>
      </c>
      <c r="AO8" s="348">
        <f t="shared" ref="AO8:AO9" si="19">MAX(AK8,AM8)</f>
        <v>9.9594319518848735</v>
      </c>
      <c r="AQ8" s="24">
        <f t="shared" si="10"/>
        <v>6.3323562655985599</v>
      </c>
      <c r="AR8" s="24">
        <f t="shared" si="11"/>
        <v>7.9154453319981997</v>
      </c>
      <c r="AT8" s="24"/>
      <c r="AU8" s="24"/>
    </row>
    <row r="9" spans="1:47" ht="15.6" x14ac:dyDescent="0.25">
      <c r="A9" s="312" t="s">
        <v>47</v>
      </c>
      <c r="B9" s="65">
        <v>3</v>
      </c>
      <c r="C9" s="309">
        <v>1.5491171243039099</v>
      </c>
      <c r="D9" s="310">
        <v>1.5</v>
      </c>
      <c r="E9" s="311">
        <v>1.2</v>
      </c>
      <c r="F9" s="311">
        <f t="shared" si="12"/>
        <v>5.2033923242298039</v>
      </c>
      <c r="G9" s="311">
        <f t="shared" si="13"/>
        <v>6.3395966072144239</v>
      </c>
      <c r="H9" s="311">
        <f t="shared" si="14"/>
        <v>0.8207765646016616</v>
      </c>
      <c r="I9" s="314">
        <v>1.4999999999999999E-2</v>
      </c>
      <c r="J9" s="315">
        <v>5000</v>
      </c>
      <c r="K9" s="323">
        <f t="shared" si="0"/>
        <v>4.3005791249620255</v>
      </c>
      <c r="L9" s="323">
        <f t="shared" si="1"/>
        <v>0.82649526635464465</v>
      </c>
      <c r="M9" s="324">
        <v>4.3</v>
      </c>
      <c r="N9" s="325">
        <v>3</v>
      </c>
      <c r="O9" s="309">
        <v>1.7230932964226899</v>
      </c>
      <c r="P9" s="310">
        <f t="shared" si="2"/>
        <v>1.5</v>
      </c>
      <c r="Q9" s="311">
        <f t="shared" si="2"/>
        <v>1.2</v>
      </c>
      <c r="R9" s="311">
        <f t="shared" si="3"/>
        <v>6.1475005544462089</v>
      </c>
      <c r="S9" s="311">
        <f t="shared" si="4"/>
        <v>6.8831155439768974</v>
      </c>
      <c r="T9" s="311">
        <f t="shared" si="5"/>
        <v>0.89312761280400244</v>
      </c>
      <c r="U9" s="314">
        <f t="shared" si="6"/>
        <v>1.4999999999999999E-2</v>
      </c>
      <c r="V9" s="315">
        <f t="shared" si="6"/>
        <v>5000</v>
      </c>
      <c r="W9" s="323">
        <f t="shared" si="7"/>
        <v>5.3752416487541881</v>
      </c>
      <c r="X9" s="323">
        <f t="shared" si="8"/>
        <v>0.874378391859846</v>
      </c>
      <c r="Y9" s="340">
        <f t="shared" si="15"/>
        <v>5.375</v>
      </c>
      <c r="Z9" s="44">
        <f>K9-M9</f>
        <v>5.7912496202572328E-4</v>
      </c>
      <c r="AA9" s="341">
        <f>W9-Y9</f>
        <v>2.4164875418808407E-4</v>
      </c>
      <c r="AB9" s="24">
        <f t="shared" si="16"/>
        <v>0.63077332410567255</v>
      </c>
      <c r="AC9" s="24">
        <f>O9+AB9</f>
        <v>2.3538666205283625</v>
      </c>
      <c r="AD9" s="20">
        <v>2.4</v>
      </c>
      <c r="AE9" s="359">
        <v>2.2999999999999998</v>
      </c>
      <c r="AF9" s="24">
        <f t="shared" si="9"/>
        <v>5.217881098329384</v>
      </c>
      <c r="AG9" s="345">
        <f t="shared" si="17"/>
        <v>13.044702745823461</v>
      </c>
      <c r="AH9" s="346"/>
      <c r="AI9" s="349" t="s">
        <v>48</v>
      </c>
      <c r="AJ9" s="346"/>
      <c r="AK9" s="345">
        <f>(AF9/2-$D$23)/TAN($AK$6/180*PI())</f>
        <v>6.9911430596701152</v>
      </c>
      <c r="AL9" s="345">
        <f>(AF9/2-$D$23)/TAN($AL$6/180*PI())</f>
        <v>4.182388956164071</v>
      </c>
      <c r="AM9" s="345">
        <f>(AF9/2-$D$23)/TAN($AM$6/180*PI())</f>
        <v>9.6693644380466175</v>
      </c>
      <c r="AN9" s="348">
        <f t="shared" si="18"/>
        <v>6.9911430596701152</v>
      </c>
      <c r="AO9" s="348">
        <f t="shared" si="19"/>
        <v>9.6693644380466175</v>
      </c>
      <c r="AQ9" s="24">
        <f t="shared" si="10"/>
        <v>6.1964684972156396</v>
      </c>
      <c r="AR9" s="24">
        <f t="shared" si="11"/>
        <v>7.7455856215195498</v>
      </c>
      <c r="AT9" s="24"/>
      <c r="AU9" s="24"/>
    </row>
    <row r="10" spans="1:47" ht="15.6" x14ac:dyDescent="0.25">
      <c r="A10" s="312" t="s">
        <v>49</v>
      </c>
      <c r="B10" s="65">
        <v>4</v>
      </c>
      <c r="C10" s="309">
        <v>1.4961164896839501</v>
      </c>
      <c r="D10" s="310">
        <v>1.5</v>
      </c>
      <c r="E10" s="311">
        <v>1.2</v>
      </c>
      <c r="F10" s="311">
        <f t="shared" si="12"/>
        <v>4.930212195370995</v>
      </c>
      <c r="G10" s="311">
        <f t="shared" si="13"/>
        <v>6.1740173314690692</v>
      </c>
      <c r="H10" s="311">
        <f t="shared" si="14"/>
        <v>0.79854200768786654</v>
      </c>
      <c r="I10" s="314">
        <v>1.4999999999999999E-2</v>
      </c>
      <c r="J10" s="315">
        <v>5000</v>
      </c>
      <c r="K10" s="323">
        <f t="shared" si="0"/>
        <v>4.0008708155654071</v>
      </c>
      <c r="L10" s="323">
        <f t="shared" si="1"/>
        <v>0.81150073404991541</v>
      </c>
      <c r="M10" s="324">
        <v>4</v>
      </c>
      <c r="N10" s="325">
        <v>4</v>
      </c>
      <c r="O10" s="309">
        <v>1.66490169866282</v>
      </c>
      <c r="P10" s="310">
        <f t="shared" si="2"/>
        <v>1.5</v>
      </c>
      <c r="Q10" s="311">
        <f t="shared" si="2"/>
        <v>1.2</v>
      </c>
      <c r="R10" s="311">
        <f t="shared" si="3"/>
        <v>5.8236297474466419</v>
      </c>
      <c r="S10" s="311">
        <f t="shared" si="4"/>
        <v>6.7013191809590911</v>
      </c>
      <c r="T10" s="311">
        <f t="shared" si="5"/>
        <v>0.86902736464093711</v>
      </c>
      <c r="U10" s="314">
        <f t="shared" si="6"/>
        <v>1.4999999999999999E-2</v>
      </c>
      <c r="V10" s="315">
        <f t="shared" si="6"/>
        <v>5000</v>
      </c>
      <c r="W10" s="323">
        <f t="shared" si="7"/>
        <v>5.0000359772417227</v>
      </c>
      <c r="X10" s="323">
        <f t="shared" si="8"/>
        <v>0.85857724376004119</v>
      </c>
      <c r="Y10" s="340">
        <f t="shared" si="15"/>
        <v>5</v>
      </c>
      <c r="Z10" s="44">
        <f>K10-M10</f>
        <v>8.7081556540713478E-4</v>
      </c>
      <c r="AA10" s="341">
        <f>W10-Y10</f>
        <v>3.5977241722662257E-5</v>
      </c>
      <c r="AB10" s="24">
        <f t="shared" si="16"/>
        <v>0.61622542466570507</v>
      </c>
      <c r="AC10" s="24">
        <f>O10+AB10</f>
        <v>2.2811271233285249</v>
      </c>
      <c r="AD10" s="22">
        <v>2.2999999999999998</v>
      </c>
      <c r="AE10" s="359">
        <v>2.2999999999999998</v>
      </c>
      <c r="AF10" s="24">
        <f t="shared" si="9"/>
        <v>5.09067957524148</v>
      </c>
      <c r="AG10" s="345">
        <f t="shared" si="17"/>
        <v>12.7266989381037</v>
      </c>
      <c r="AH10" s="346"/>
      <c r="AI10" s="349" t="s">
        <v>49</v>
      </c>
      <c r="AJ10" s="346"/>
      <c r="AK10" s="345"/>
      <c r="AL10" s="345"/>
      <c r="AM10" s="345"/>
      <c r="AN10" s="348"/>
      <c r="AO10" s="348"/>
      <c r="AQ10" s="24">
        <f t="shared" si="10"/>
        <v>5.9844659587358002</v>
      </c>
      <c r="AR10" s="24">
        <f t="shared" si="11"/>
        <v>7.4805824484197503</v>
      </c>
      <c r="AT10" s="24"/>
      <c r="AU10" s="24"/>
    </row>
    <row r="11" spans="1:47" ht="15.6" x14ac:dyDescent="0.25">
      <c r="A11" s="312" t="s">
        <v>50</v>
      </c>
      <c r="B11" s="65">
        <v>5</v>
      </c>
      <c r="C11" s="309">
        <v>1.4906129304215501</v>
      </c>
      <c r="D11" s="310">
        <v>1.2</v>
      </c>
      <c r="E11" s="311">
        <v>1.2</v>
      </c>
      <c r="F11" s="311">
        <f t="shared" si="12"/>
        <v>4.4550478065137646</v>
      </c>
      <c r="G11" s="311">
        <f t="shared" si="13"/>
        <v>5.8568236626908723</v>
      </c>
      <c r="H11" s="311">
        <f t="shared" si="14"/>
        <v>0.76065937154524599</v>
      </c>
      <c r="I11" s="314">
        <v>1.4999999999999999E-2</v>
      </c>
      <c r="J11" s="315">
        <v>5000</v>
      </c>
      <c r="K11" s="323">
        <f t="shared" si="0"/>
        <v>3.5000124380332474</v>
      </c>
      <c r="L11" s="323">
        <f t="shared" si="1"/>
        <v>0.78562848033097388</v>
      </c>
      <c r="M11" s="324">
        <v>3.5</v>
      </c>
      <c r="N11" s="325">
        <v>5</v>
      </c>
      <c r="O11" s="309">
        <v>1.65369775266875</v>
      </c>
      <c r="P11" s="310">
        <f t="shared" si="2"/>
        <v>1.2</v>
      </c>
      <c r="Q11" s="311">
        <f t="shared" si="2"/>
        <v>1.2</v>
      </c>
      <c r="R11" s="311">
        <f t="shared" si="3"/>
        <v>5.2660968118205078</v>
      </c>
      <c r="S11" s="311">
        <f t="shared" si="4"/>
        <v>6.3663169347314668</v>
      </c>
      <c r="T11" s="311">
        <f t="shared" si="5"/>
        <v>0.82718106336982633</v>
      </c>
      <c r="U11" s="314">
        <f t="shared" si="6"/>
        <v>1.4999999999999999E-2</v>
      </c>
      <c r="V11" s="315">
        <f t="shared" si="6"/>
        <v>5000</v>
      </c>
      <c r="W11" s="323">
        <f t="shared" si="7"/>
        <v>4.3750158767404033</v>
      </c>
      <c r="X11" s="323">
        <f t="shared" si="8"/>
        <v>0.83078910872281231</v>
      </c>
      <c r="Y11" s="340">
        <f t="shared" si="15"/>
        <v>4.375</v>
      </c>
      <c r="Z11" s="44">
        <f>K11-M11</f>
        <v>1.243803324735282E-5</v>
      </c>
      <c r="AA11" s="341">
        <f>W11-Y11</f>
        <v>1.5876740403264478E-5</v>
      </c>
      <c r="AB11" s="24">
        <f t="shared" si="16"/>
        <v>0.6134244381671875</v>
      </c>
      <c r="AC11" s="24">
        <f>O11+AB11</f>
        <v>2.2671221908359374</v>
      </c>
      <c r="AD11" s="20">
        <v>2.2999999999999998</v>
      </c>
      <c r="AE11" s="359">
        <v>2.2000000000000002</v>
      </c>
      <c r="AF11" s="24">
        <f t="shared" si="9"/>
        <v>4.7774710330117198</v>
      </c>
      <c r="AG11" s="345">
        <f t="shared" si="17"/>
        <v>11.9436775825293</v>
      </c>
      <c r="AH11" s="346"/>
      <c r="AI11" s="349" t="s">
        <v>50</v>
      </c>
      <c r="AJ11" s="346"/>
      <c r="AK11" s="345"/>
      <c r="AL11" s="345"/>
      <c r="AM11" s="345"/>
      <c r="AN11" s="348"/>
      <c r="AO11" s="348"/>
      <c r="AQ11" s="24">
        <f t="shared" si="10"/>
        <v>5.9624517216862003</v>
      </c>
      <c r="AR11" s="24">
        <f t="shared" si="11"/>
        <v>7.4530646521077504</v>
      </c>
      <c r="AT11" s="24">
        <f>3*C11</f>
        <v>4.4718387912646502</v>
      </c>
      <c r="AU11" s="24"/>
    </row>
    <row r="12" spans="1:47" ht="15.6" x14ac:dyDescent="0.25">
      <c r="A12" s="312" t="s">
        <v>51</v>
      </c>
      <c r="B12" s="65">
        <v>6</v>
      </c>
      <c r="C12" s="309">
        <v>1.40797130701961</v>
      </c>
      <c r="D12" s="310">
        <v>1.2</v>
      </c>
      <c r="E12" s="311">
        <v>1.2</v>
      </c>
      <c r="F12" s="311">
        <f t="shared" si="12"/>
        <v>4.0684254100921429</v>
      </c>
      <c r="G12" s="311">
        <f t="shared" si="13"/>
        <v>5.5986429777343112</v>
      </c>
      <c r="H12" s="311">
        <f t="shared" si="14"/>
        <v>0.72668063069429278</v>
      </c>
      <c r="I12" s="314">
        <v>1.4999999999999999E-2</v>
      </c>
      <c r="J12" s="315">
        <v>5000</v>
      </c>
      <c r="K12" s="323">
        <f t="shared" si="0"/>
        <v>3.1003625801059727</v>
      </c>
      <c r="L12" s="323">
        <f t="shared" si="1"/>
        <v>0.76205466921310838</v>
      </c>
      <c r="M12" s="324">
        <v>3.1</v>
      </c>
      <c r="N12" s="325">
        <v>6</v>
      </c>
      <c r="O12" s="309">
        <v>1.56326875864555</v>
      </c>
      <c r="P12" s="310">
        <f t="shared" ref="P12:P16" si="20">D12</f>
        <v>1.2</v>
      </c>
      <c r="Q12" s="311">
        <f t="shared" si="2"/>
        <v>1.2</v>
      </c>
      <c r="R12" s="311">
        <f t="shared" si="3"/>
        <v>4.8084935644832987</v>
      </c>
      <c r="S12" s="311">
        <f t="shared" si="4"/>
        <v>6.0838077262265617</v>
      </c>
      <c r="T12" s="311">
        <f t="shared" si="5"/>
        <v>0.79037566288534444</v>
      </c>
      <c r="U12" s="314">
        <f t="shared" si="6"/>
        <v>1.4999999999999999E-2</v>
      </c>
      <c r="V12" s="315">
        <f t="shared" si="6"/>
        <v>5000</v>
      </c>
      <c r="W12" s="323">
        <f t="shared" si="7"/>
        <v>3.8754471371257879</v>
      </c>
      <c r="X12" s="323">
        <f t="shared" si="8"/>
        <v>0.80595868230973244</v>
      </c>
      <c r="Y12" s="340">
        <f t="shared" si="15"/>
        <v>3.875</v>
      </c>
      <c r="Z12" s="44">
        <f t="shared" ref="Z12:Z16" si="21">K12-M12</f>
        <v>3.6258010597256529E-4</v>
      </c>
      <c r="AA12" s="341">
        <f t="shared" ref="AA12:AA16" si="22">W12-Y12</f>
        <v>4.4713712578792197E-4</v>
      </c>
      <c r="AB12" s="24">
        <f t="shared" si="16"/>
        <v>0.59081718966138752</v>
      </c>
      <c r="AC12" s="24">
        <f t="shared" ref="AC12:AC16" si="23">O12+AB12</f>
        <v>2.1540859483069377</v>
      </c>
      <c r="AD12" s="22">
        <v>2.2000000000000002</v>
      </c>
      <c r="AE12" s="359">
        <v>2.2000000000000002</v>
      </c>
      <c r="AF12" s="24">
        <f t="shared" si="9"/>
        <v>4.5791311368470637</v>
      </c>
      <c r="AG12" s="345">
        <f t="shared" si="17"/>
        <v>11.447827842117659</v>
      </c>
      <c r="AH12" s="346"/>
      <c r="AI12" s="349" t="s">
        <v>51</v>
      </c>
      <c r="AJ12" s="346"/>
      <c r="AK12" s="345">
        <f>(AF12/2-$D$24)/TAN($AK$6/180*PI())</f>
        <v>6.1197843222932855</v>
      </c>
      <c r="AL12" s="345">
        <f>(AF12/2-$D$24)/TAN($AL$6/180*PI())</f>
        <v>3.6611063663276266</v>
      </c>
      <c r="AM12" s="345">
        <f>(AF12/2-$D$24)/TAN($AM$6/180*PI())</f>
        <v>8.4641988283515577</v>
      </c>
      <c r="AN12" s="348">
        <f t="shared" ref="AN12" si="24">MAX(AK12,AL12)</f>
        <v>6.1197843222932855</v>
      </c>
      <c r="AO12" s="348">
        <f t="shared" ref="AO12" si="25">MAX(AK12,AM12)</f>
        <v>8.4641988283515577</v>
      </c>
      <c r="AQ12" s="24">
        <f t="shared" si="10"/>
        <v>5.6318852280784402</v>
      </c>
      <c r="AR12" s="24">
        <f t="shared" si="11"/>
        <v>7.0398565350980498</v>
      </c>
      <c r="AT12" s="24">
        <f t="shared" ref="AT12:AT13" si="26">3*C12</f>
        <v>4.2239139210588306</v>
      </c>
      <c r="AU12" s="24"/>
    </row>
    <row r="13" spans="1:47" ht="15.6" x14ac:dyDescent="0.25">
      <c r="A13" s="312" t="s">
        <v>52</v>
      </c>
      <c r="B13" s="65">
        <v>7</v>
      </c>
      <c r="C13" s="309">
        <v>1.38033020658117</v>
      </c>
      <c r="D13" s="310">
        <v>1</v>
      </c>
      <c r="E13" s="311">
        <v>1.2</v>
      </c>
      <c r="F13" s="311">
        <f t="shared" si="12"/>
        <v>3.6667039816216684</v>
      </c>
      <c r="G13" s="311">
        <f t="shared" si="13"/>
        <v>5.3122894194378993</v>
      </c>
      <c r="H13" s="311">
        <f t="shared" si="14"/>
        <v>0.69023046225701445</v>
      </c>
      <c r="I13" s="314">
        <v>1.4999999999999999E-2</v>
      </c>
      <c r="J13" s="315">
        <v>5000</v>
      </c>
      <c r="K13" s="323">
        <f t="shared" si="0"/>
        <v>2.6999911281428886</v>
      </c>
      <c r="L13" s="323">
        <f t="shared" si="1"/>
        <v>0.73635372303732216</v>
      </c>
      <c r="M13" s="324">
        <v>2.7</v>
      </c>
      <c r="N13" s="325">
        <v>7</v>
      </c>
      <c r="O13" s="309">
        <v>1.52906708214987</v>
      </c>
      <c r="P13" s="310">
        <f t="shared" si="20"/>
        <v>1</v>
      </c>
      <c r="Q13" s="311">
        <f t="shared" si="2"/>
        <v>1.2</v>
      </c>
      <c r="R13" s="311">
        <f t="shared" si="3"/>
        <v>4.3347224522070507</v>
      </c>
      <c r="S13" s="311">
        <f t="shared" si="4"/>
        <v>5.776958273120222</v>
      </c>
      <c r="T13" s="311">
        <f t="shared" si="5"/>
        <v>0.75034685162539727</v>
      </c>
      <c r="U13" s="314">
        <f t="shared" si="6"/>
        <v>1.4999999999999999E-2</v>
      </c>
      <c r="V13" s="315">
        <f t="shared" si="6"/>
        <v>5000</v>
      </c>
      <c r="W13" s="323">
        <f t="shared" si="7"/>
        <v>3.3746319228243125</v>
      </c>
      <c r="X13" s="323">
        <f t="shared" si="8"/>
        <v>0.77851164867685996</v>
      </c>
      <c r="Y13" s="340">
        <f t="shared" si="15"/>
        <v>3.375</v>
      </c>
      <c r="Z13" s="44">
        <f t="shared" si="21"/>
        <v>-8.8718571116253031E-6</v>
      </c>
      <c r="AA13" s="341">
        <f t="shared" si="22"/>
        <v>-3.6807717568754228E-4</v>
      </c>
      <c r="AB13" s="24">
        <f t="shared" si="16"/>
        <v>0.58226677053746756</v>
      </c>
      <c r="AC13" s="24">
        <f t="shared" si="23"/>
        <v>2.1113338526873378</v>
      </c>
      <c r="AD13" s="20">
        <v>2.2000000000000002</v>
      </c>
      <c r="AE13" s="359">
        <v>2</v>
      </c>
      <c r="AF13" s="24">
        <f t="shared" si="9"/>
        <v>4.3127924957948078</v>
      </c>
      <c r="AG13" s="345">
        <f t="shared" si="17"/>
        <v>10.78198123948702</v>
      </c>
      <c r="AH13" s="346"/>
      <c r="AI13" s="349" t="s">
        <v>52</v>
      </c>
      <c r="AJ13" s="346"/>
      <c r="AK13" s="345"/>
      <c r="AL13" s="345"/>
      <c r="AM13" s="345"/>
      <c r="AN13" s="348"/>
      <c r="AO13" s="348"/>
      <c r="AQ13" s="24">
        <f t="shared" si="10"/>
        <v>5.52132082632468</v>
      </c>
      <c r="AR13" s="24">
        <f t="shared" si="11"/>
        <v>6.9016510329058498</v>
      </c>
      <c r="AT13" s="24">
        <f t="shared" si="26"/>
        <v>4.1409906197435102</v>
      </c>
      <c r="AU13" s="24"/>
    </row>
    <row r="14" spans="1:47" ht="15.6" x14ac:dyDescent="0.25">
      <c r="A14" s="312" t="s">
        <v>53</v>
      </c>
      <c r="B14" s="65">
        <v>8</v>
      </c>
      <c r="C14" s="309">
        <v>1.22814064333749</v>
      </c>
      <c r="D14" s="310">
        <v>1</v>
      </c>
      <c r="E14" s="311">
        <v>1.2</v>
      </c>
      <c r="F14" s="311">
        <f t="shared" si="12"/>
        <v>3.0381359711183982</v>
      </c>
      <c r="G14" s="311">
        <f t="shared" si="13"/>
        <v>4.8368340246377688</v>
      </c>
      <c r="H14" s="311">
        <f t="shared" si="14"/>
        <v>0.62812491717573971</v>
      </c>
      <c r="I14" s="314">
        <v>1.4999999999999999E-2</v>
      </c>
      <c r="J14" s="315">
        <v>5000</v>
      </c>
      <c r="K14" s="323">
        <f t="shared" si="0"/>
        <v>2.1008495889219181</v>
      </c>
      <c r="L14" s="323">
        <f t="shared" si="1"/>
        <v>0.69149294465203071</v>
      </c>
      <c r="M14" s="324">
        <v>2.1</v>
      </c>
      <c r="N14" s="325">
        <v>8</v>
      </c>
      <c r="O14" s="309">
        <v>1.3625695974033201</v>
      </c>
      <c r="P14" s="310">
        <f t="shared" si="20"/>
        <v>1</v>
      </c>
      <c r="Q14" s="311">
        <f t="shared" si="2"/>
        <v>1.2</v>
      </c>
      <c r="R14" s="311">
        <f t="shared" si="3"/>
        <v>3.5904846867247353</v>
      </c>
      <c r="S14" s="311">
        <f t="shared" si="4"/>
        <v>5.2568035026078164</v>
      </c>
      <c r="T14" s="311">
        <f t="shared" si="5"/>
        <v>0.68301672013107451</v>
      </c>
      <c r="U14" s="314">
        <f t="shared" si="6"/>
        <v>1.4999999999999999E-2</v>
      </c>
      <c r="V14" s="315">
        <f t="shared" si="6"/>
        <v>5000</v>
      </c>
      <c r="W14" s="323">
        <f t="shared" si="7"/>
        <v>2.625413461891029</v>
      </c>
      <c r="X14" s="323">
        <f t="shared" si="8"/>
        <v>0.73121422063101715</v>
      </c>
      <c r="Y14" s="340">
        <f t="shared" si="15"/>
        <v>2.625</v>
      </c>
      <c r="Z14" s="44">
        <f t="shared" si="21"/>
        <v>8.4958892191799862E-4</v>
      </c>
      <c r="AA14" s="341">
        <f t="shared" si="22"/>
        <v>4.1346189102897668E-4</v>
      </c>
      <c r="AB14" s="24">
        <f t="shared" si="16"/>
        <v>0.54064239935083003</v>
      </c>
      <c r="AC14" s="24">
        <f t="shared" si="23"/>
        <v>1.9032119967541501</v>
      </c>
      <c r="AD14" s="22">
        <v>2</v>
      </c>
      <c r="AE14" s="359">
        <v>2</v>
      </c>
      <c r="AF14" s="24">
        <f t="shared" si="9"/>
        <v>3.9475375440099758</v>
      </c>
      <c r="AG14" s="345">
        <f t="shared" si="17"/>
        <v>9.8688438600249402</v>
      </c>
      <c r="AH14" s="346"/>
      <c r="AI14" s="349" t="s">
        <v>54</v>
      </c>
      <c r="AJ14" s="346"/>
      <c r="AK14" s="345"/>
      <c r="AL14" s="345"/>
      <c r="AM14" s="345"/>
      <c r="AN14" s="348"/>
      <c r="AO14" s="348"/>
      <c r="AQ14" s="24">
        <f t="shared" si="10"/>
        <v>4.9125625733499598</v>
      </c>
      <c r="AR14" s="24">
        <f t="shared" si="11"/>
        <v>6.1407032166874496</v>
      </c>
      <c r="AT14" s="24"/>
      <c r="AU14" s="24"/>
    </row>
    <row r="15" spans="1:47" ht="15.6" x14ac:dyDescent="0.25">
      <c r="A15" s="312" t="s">
        <v>55</v>
      </c>
      <c r="B15" s="65">
        <v>9</v>
      </c>
      <c r="C15" s="309">
        <v>0.999</v>
      </c>
      <c r="D15" s="310">
        <v>0.8</v>
      </c>
      <c r="E15" s="311">
        <v>1.2</v>
      </c>
      <c r="F15" s="311">
        <f t="shared" si="12"/>
        <v>1.9968011999999999</v>
      </c>
      <c r="G15" s="311">
        <f t="shared" si="13"/>
        <v>3.9209757704922987</v>
      </c>
      <c r="H15" s="311">
        <f t="shared" si="14"/>
        <v>0.50926129537120068</v>
      </c>
      <c r="I15" s="314">
        <v>1.4999999999999999E-2</v>
      </c>
      <c r="J15" s="315">
        <v>5000</v>
      </c>
      <c r="K15" s="323">
        <f t="shared" si="0"/>
        <v>1.2005650086383313</v>
      </c>
      <c r="L15" s="323">
        <f t="shared" si="1"/>
        <v>0.60124413418738498</v>
      </c>
      <c r="M15" s="324">
        <v>1.2</v>
      </c>
      <c r="N15" s="325">
        <v>9</v>
      </c>
      <c r="O15" s="309">
        <v>1.1079667038621901</v>
      </c>
      <c r="P15" s="310">
        <f t="shared" si="20"/>
        <v>0.8</v>
      </c>
      <c r="Q15" s="311">
        <f t="shared" si="2"/>
        <v>1.2</v>
      </c>
      <c r="R15" s="311">
        <f t="shared" si="3"/>
        <v>2.3594816233304474</v>
      </c>
      <c r="S15" s="311">
        <f t="shared" si="4"/>
        <v>4.2613986359020135</v>
      </c>
      <c r="T15" s="311">
        <f t="shared" si="5"/>
        <v>0.55368714005114761</v>
      </c>
      <c r="U15" s="314">
        <f t="shared" si="6"/>
        <v>1.4999999999999999E-2</v>
      </c>
      <c r="V15" s="315">
        <f t="shared" si="6"/>
        <v>5000</v>
      </c>
      <c r="W15" s="323">
        <f t="shared" si="7"/>
        <v>1.4999724961129155</v>
      </c>
      <c r="X15" s="323">
        <f t="shared" si="8"/>
        <v>0.63572120303089263</v>
      </c>
      <c r="Y15" s="340">
        <f t="shared" si="15"/>
        <v>1.5</v>
      </c>
      <c r="Z15" s="44">
        <f t="shared" si="21"/>
        <v>5.6500863833131021E-4</v>
      </c>
      <c r="AA15" s="341">
        <f t="shared" si="22"/>
        <v>-2.7503887084501244E-5</v>
      </c>
      <c r="AB15" s="24">
        <f t="shared" si="16"/>
        <v>0.47699167596554753</v>
      </c>
      <c r="AC15" s="24">
        <f t="shared" si="23"/>
        <v>1.5849583798277376</v>
      </c>
      <c r="AD15" s="20">
        <v>1.6</v>
      </c>
      <c r="AE15" s="359">
        <v>1.5</v>
      </c>
      <c r="AF15" s="24">
        <f t="shared" si="9"/>
        <v>3.1975999999999996</v>
      </c>
      <c r="AG15" s="345">
        <f t="shared" si="17"/>
        <v>7.9939999999999989</v>
      </c>
      <c r="AH15" s="346"/>
      <c r="AI15" s="349" t="s">
        <v>56</v>
      </c>
      <c r="AJ15" s="346"/>
      <c r="AK15" s="345"/>
      <c r="AL15" s="345"/>
      <c r="AM15" s="345"/>
      <c r="AN15" s="348"/>
      <c r="AO15" s="348"/>
      <c r="AQ15" s="24">
        <f t="shared" si="10"/>
        <v>3.996</v>
      </c>
      <c r="AR15" s="24">
        <f t="shared" si="11"/>
        <v>4.9950000000000001</v>
      </c>
      <c r="AT15" s="24">
        <f>3*C15</f>
        <v>2.9969999999999999</v>
      </c>
      <c r="AU15" s="24"/>
    </row>
    <row r="16" spans="1:47" ht="15.6" x14ac:dyDescent="0.25">
      <c r="A16" s="312" t="s">
        <v>57</v>
      </c>
      <c r="B16" s="65">
        <v>10</v>
      </c>
      <c r="C16" s="309">
        <v>0.55500000000000005</v>
      </c>
      <c r="D16" s="310">
        <v>0.8</v>
      </c>
      <c r="E16" s="311">
        <v>1.2</v>
      </c>
      <c r="F16" s="311">
        <f t="shared" si="12"/>
        <v>0.81363000000000019</v>
      </c>
      <c r="G16" s="311">
        <f t="shared" si="13"/>
        <v>2.5338754280512772</v>
      </c>
      <c r="H16" s="311">
        <f t="shared" si="14"/>
        <v>0.32110102611703256</v>
      </c>
      <c r="I16" s="314">
        <v>1.4999999999999999E-2</v>
      </c>
      <c r="J16" s="315">
        <v>5000</v>
      </c>
      <c r="K16" s="323">
        <f t="shared" si="0"/>
        <v>0.35970390654561929</v>
      </c>
      <c r="L16" s="323">
        <f t="shared" si="1"/>
        <v>0.44209764456278555</v>
      </c>
      <c r="M16" s="324">
        <v>0.36</v>
      </c>
      <c r="N16" s="325">
        <v>10</v>
      </c>
      <c r="O16" s="309">
        <v>0.64571422729322603</v>
      </c>
      <c r="P16" s="310">
        <f t="shared" si="20"/>
        <v>0.8</v>
      </c>
      <c r="Q16" s="311">
        <f t="shared" si="2"/>
        <v>1.2</v>
      </c>
      <c r="R16" s="311">
        <f t="shared" si="3"/>
        <v>1.0169076178292464</v>
      </c>
      <c r="S16" s="311">
        <f t="shared" si="4"/>
        <v>2.8172757337780938</v>
      </c>
      <c r="T16" s="311">
        <f t="shared" si="5"/>
        <v>0.36095423874805732</v>
      </c>
      <c r="U16" s="314">
        <f t="shared" si="6"/>
        <v>1.4999999999999999E-2</v>
      </c>
      <c r="V16" s="315">
        <f t="shared" si="6"/>
        <v>5000</v>
      </c>
      <c r="W16" s="323">
        <f t="shared" si="7"/>
        <v>0.48604148259821334</v>
      </c>
      <c r="X16" s="323">
        <f t="shared" si="8"/>
        <v>0.47796031230029273</v>
      </c>
      <c r="Y16" s="340">
        <f>M16*1.35</f>
        <v>0.48599999999999999</v>
      </c>
      <c r="Z16" s="44">
        <f t="shared" si="21"/>
        <v>-2.9609345438069701E-4</v>
      </c>
      <c r="AA16" s="341">
        <f t="shared" si="22"/>
        <v>4.148259821334932E-5</v>
      </c>
      <c r="AB16" s="24">
        <f t="shared" si="16"/>
        <v>0.36142855682330655</v>
      </c>
      <c r="AC16" s="24">
        <f t="shared" si="23"/>
        <v>1.0071427841165326</v>
      </c>
      <c r="AD16" s="22">
        <v>1</v>
      </c>
      <c r="AE16" s="359">
        <v>1</v>
      </c>
      <c r="AF16" s="24">
        <f t="shared" si="9"/>
        <v>2.1320000000000001</v>
      </c>
      <c r="AG16" s="345">
        <f t="shared" si="17"/>
        <v>5.33</v>
      </c>
      <c r="AH16" s="346"/>
      <c r="AI16" s="350" t="s">
        <v>58</v>
      </c>
      <c r="AJ16" s="346"/>
      <c r="AK16" s="345"/>
      <c r="AL16" s="345"/>
      <c r="AM16" s="345"/>
      <c r="AN16" s="348"/>
      <c r="AO16" s="348"/>
      <c r="AQ16" s="24">
        <f t="shared" si="10"/>
        <v>2.2200000000000002</v>
      </c>
      <c r="AR16" s="24">
        <f t="shared" si="11"/>
        <v>2.7750000000000004</v>
      </c>
      <c r="AT16" s="24">
        <f>3*C16</f>
        <v>1.665</v>
      </c>
      <c r="AU16" s="24"/>
    </row>
    <row r="18" spans="2:37" x14ac:dyDescent="0.25">
      <c r="AK18" s="351"/>
    </row>
    <row r="19" spans="2:37" ht="15.6" x14ac:dyDescent="0.25">
      <c r="B19" s="369" t="s">
        <v>59</v>
      </c>
      <c r="C19" s="369"/>
      <c r="D19" s="369"/>
    </row>
    <row r="20" spans="2:37" x14ac:dyDescent="0.25">
      <c r="B20" s="365" t="s">
        <v>2</v>
      </c>
      <c r="C20" s="65" t="s">
        <v>3</v>
      </c>
      <c r="D20" s="65" t="s">
        <v>60</v>
      </c>
      <c r="E20" s="65" t="s">
        <v>6</v>
      </c>
      <c r="F20" s="65" t="s">
        <v>8</v>
      </c>
      <c r="G20" s="65" t="s">
        <v>9</v>
      </c>
      <c r="H20" s="85" t="s">
        <v>10</v>
      </c>
      <c r="I20" s="326" t="s">
        <v>11</v>
      </c>
      <c r="J20" s="327" t="s">
        <v>61</v>
      </c>
      <c r="K20" s="328" t="s">
        <v>62</v>
      </c>
      <c r="L20" s="65" t="s">
        <v>63</v>
      </c>
      <c r="M20" s="328" t="s">
        <v>64</v>
      </c>
      <c r="N20" s="65" t="s">
        <v>65</v>
      </c>
      <c r="O20" s="1"/>
      <c r="P20" s="13" t="s">
        <v>35</v>
      </c>
      <c r="R20" s="65" t="s">
        <v>7</v>
      </c>
    </row>
    <row r="21" spans="2:37" x14ac:dyDescent="0.25">
      <c r="B21" s="365"/>
      <c r="C21" s="80" t="s">
        <v>21</v>
      </c>
      <c r="D21" s="80" t="s">
        <v>26</v>
      </c>
      <c r="E21" s="80" t="s">
        <v>24</v>
      </c>
      <c r="F21" s="80" t="s">
        <v>26</v>
      </c>
      <c r="G21" s="313" t="s">
        <v>27</v>
      </c>
      <c r="H21" s="85" t="s">
        <v>28</v>
      </c>
      <c r="I21" s="326" t="s">
        <v>29</v>
      </c>
      <c r="J21" s="80" t="s">
        <v>30</v>
      </c>
      <c r="K21" s="328"/>
      <c r="L21" s="65"/>
      <c r="M21" s="328"/>
      <c r="N21" s="65"/>
      <c r="O21" s="1"/>
      <c r="P21" s="13" t="s">
        <v>23</v>
      </c>
      <c r="R21" s="51" t="s">
        <v>25</v>
      </c>
    </row>
    <row r="22" spans="2:37" x14ac:dyDescent="0.25">
      <c r="B22" s="65">
        <v>2</v>
      </c>
      <c r="C22" s="314">
        <v>1.65569614266399</v>
      </c>
      <c r="D22" s="311">
        <v>1.25</v>
      </c>
      <c r="E22" s="311">
        <f>PI()*D22^2/2+(C22-D22)*2*D22</f>
        <v>3.4686096172770009</v>
      </c>
      <c r="F22" s="311">
        <f>E22/(PI()*D22+2*(C22-D22))</f>
        <v>0.73202388713192124</v>
      </c>
      <c r="G22" s="314">
        <v>1.4E-2</v>
      </c>
      <c r="H22" s="315">
        <v>2000</v>
      </c>
      <c r="I22" s="323">
        <f>E22*F22^(2/3)/H22^(1/2)/G22</f>
        <v>4.4998277788998262</v>
      </c>
      <c r="J22" s="311">
        <f>I22/E22</f>
        <v>1.2973001506097344</v>
      </c>
      <c r="K22" s="322">
        <f>K28</f>
        <v>2.1740300349947397</v>
      </c>
      <c r="L22" s="322">
        <f>K22/D22/2</f>
        <v>0.86961201399789589</v>
      </c>
      <c r="M22" s="322">
        <f>(K22-D22)/D22</f>
        <v>0.73922402799579179</v>
      </c>
      <c r="N22" s="322">
        <f>M8</f>
        <v>4.5</v>
      </c>
      <c r="O22" s="3">
        <f>I22-N22</f>
        <v>-1.7222110017378611E-4</v>
      </c>
      <c r="P22" s="13">
        <f>5*D22*2</f>
        <v>12.5</v>
      </c>
      <c r="R22" s="322">
        <f>E22/F22</f>
        <v>4.7383831023152219</v>
      </c>
      <c r="S22">
        <f>D22*2</f>
        <v>2.5</v>
      </c>
      <c r="AA22" s="342"/>
    </row>
    <row r="23" spans="2:37" x14ac:dyDescent="0.25">
      <c r="B23" s="65">
        <v>3</v>
      </c>
      <c r="C23" s="314">
        <v>1.6073166549589899</v>
      </c>
      <c r="D23" s="311">
        <v>1.25</v>
      </c>
      <c r="E23" s="311">
        <f>PI()*D23^2/2+(C23-D23)*2*D23</f>
        <v>3.3476608980145008</v>
      </c>
      <c r="F23" s="311">
        <f>E23/(PI()*D23+2*(C23-D23))</f>
        <v>0.72122619292022183</v>
      </c>
      <c r="G23" s="314">
        <v>1.4E-2</v>
      </c>
      <c r="H23" s="315">
        <v>2000</v>
      </c>
      <c r="I23" s="323">
        <f>E23*F23^(2/3)/H23^(1/2)/G23</f>
        <v>4.300108560289738</v>
      </c>
      <c r="J23" s="311">
        <f>I23/E23</f>
        <v>1.284511392070844</v>
      </c>
      <c r="K23" s="322">
        <f>K29</f>
        <v>2.1149849089949102</v>
      </c>
      <c r="L23" s="322">
        <f>K23/D23/2</f>
        <v>0.84599396359796408</v>
      </c>
      <c r="M23" s="322">
        <f>(K23-D23)/D23</f>
        <v>0.69198792719592817</v>
      </c>
      <c r="N23" s="322">
        <f>M9</f>
        <v>4.3</v>
      </c>
      <c r="O23" s="3">
        <f t="shared" ref="O23:O24" si="27">I23-N23</f>
        <v>1.0856028973815768E-4</v>
      </c>
      <c r="P23" s="13">
        <f t="shared" ref="P23:P24" si="28">5*D23*2</f>
        <v>12.5</v>
      </c>
      <c r="R23" s="322">
        <f t="shared" ref="R23:R24" si="29">E23/F23</f>
        <v>4.6416241269052207</v>
      </c>
      <c r="S23">
        <f t="shared" ref="S23:S24" si="30">D23*2</f>
        <v>2.5</v>
      </c>
      <c r="AA23" s="342"/>
    </row>
    <row r="24" spans="2:37" x14ac:dyDescent="0.25">
      <c r="B24" s="65">
        <v>6</v>
      </c>
      <c r="C24" s="314">
        <v>1.4272096431532699</v>
      </c>
      <c r="D24" s="311">
        <v>1.1000000000000001</v>
      </c>
      <c r="E24" s="311">
        <f t="shared" ref="E24" si="31">PI()*D24^2/2+(C24-D24)*2*D24</f>
        <v>2.6205247703590189</v>
      </c>
      <c r="F24" s="311">
        <f t="shared" ref="F24" si="32">E24/(PI()*D24+2*(C24-D24))</f>
        <v>0.63757070922213299</v>
      </c>
      <c r="G24" s="314">
        <v>1.4E-2</v>
      </c>
      <c r="H24" s="315">
        <v>2000</v>
      </c>
      <c r="I24" s="323">
        <f t="shared" ref="I24" si="33">E24*F24^(2/3)/H24^(1/2)/G24</f>
        <v>3.1004933693379417</v>
      </c>
      <c r="J24" s="311">
        <f t="shared" ref="J24" si="34">I24/E24</f>
        <v>1.1831574364065889</v>
      </c>
      <c r="K24" s="322">
        <f>K30</f>
        <v>1.8766768279305199</v>
      </c>
      <c r="L24" s="322">
        <f t="shared" ref="L24" si="35">K24/D24/2</f>
        <v>0.8530349217865999</v>
      </c>
      <c r="M24" s="322">
        <f t="shared" ref="M24" si="36">(K24-D24)/D24</f>
        <v>0.7060698435731998</v>
      </c>
      <c r="N24" s="322">
        <f>M12</f>
        <v>3.1</v>
      </c>
      <c r="O24" s="3">
        <f t="shared" si="27"/>
        <v>4.933693379416404E-4</v>
      </c>
      <c r="P24" s="13">
        <f t="shared" si="28"/>
        <v>11</v>
      </c>
      <c r="R24" s="322">
        <f t="shared" si="29"/>
        <v>4.1101712052553125</v>
      </c>
      <c r="S24">
        <f t="shared" si="30"/>
        <v>2.2000000000000002</v>
      </c>
      <c r="AA24" s="342"/>
    </row>
    <row r="25" spans="2:37" x14ac:dyDescent="0.25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1"/>
    </row>
    <row r="26" spans="2:37" x14ac:dyDescent="0.25">
      <c r="B26" s="365" t="s">
        <v>2</v>
      </c>
      <c r="C26" s="65" t="s">
        <v>13</v>
      </c>
      <c r="D26" s="65" t="s">
        <v>60</v>
      </c>
      <c r="E26" s="65" t="s">
        <v>6</v>
      </c>
      <c r="F26" s="65" t="s">
        <v>8</v>
      </c>
      <c r="G26" s="65" t="s">
        <v>9</v>
      </c>
      <c r="H26" s="85" t="s">
        <v>10</v>
      </c>
      <c r="I26" s="326" t="s">
        <v>11</v>
      </c>
      <c r="J26" s="327" t="s">
        <v>61</v>
      </c>
      <c r="K26" s="328" t="s">
        <v>62</v>
      </c>
      <c r="L26" s="65" t="s">
        <v>63</v>
      </c>
      <c r="M26" s="328" t="s">
        <v>64</v>
      </c>
      <c r="N26" s="65" t="s">
        <v>14</v>
      </c>
      <c r="O26" s="1"/>
    </row>
    <row r="27" spans="2:37" x14ac:dyDescent="0.25">
      <c r="B27" s="365"/>
      <c r="C27" s="80" t="s">
        <v>21</v>
      </c>
      <c r="D27" s="80" t="s">
        <v>26</v>
      </c>
      <c r="E27" s="80" t="s">
        <v>24</v>
      </c>
      <c r="F27" s="80" t="s">
        <v>26</v>
      </c>
      <c r="G27" s="313" t="s">
        <v>27</v>
      </c>
      <c r="H27" s="85" t="s">
        <v>28</v>
      </c>
      <c r="I27" s="326" t="s">
        <v>29</v>
      </c>
      <c r="J27" s="80" t="s">
        <v>30</v>
      </c>
      <c r="K27" s="328"/>
      <c r="L27" s="328"/>
      <c r="M27" s="328"/>
      <c r="N27" s="65"/>
      <c r="O27" s="1"/>
    </row>
    <row r="28" spans="2:37" x14ac:dyDescent="0.25">
      <c r="B28" s="65">
        <v>2</v>
      </c>
      <c r="C28" s="314">
        <v>1.9240300349947399</v>
      </c>
      <c r="D28" s="311">
        <f>D22</f>
        <v>1.25</v>
      </c>
      <c r="E28" s="311">
        <f>PI()*D28^2/2+(C28-D28)*2*D28</f>
        <v>4.1394443481038756</v>
      </c>
      <c r="F28" s="311">
        <f>E28/(PI()*D28+2*(C28-D28))</f>
        <v>0.78472121630589731</v>
      </c>
      <c r="G28" s="314">
        <v>1.4E-2</v>
      </c>
      <c r="H28" s="315">
        <f>H22</f>
        <v>2000</v>
      </c>
      <c r="I28" s="323">
        <f>E28*F28^(2/3)/H28^(1/2)/G28</f>
        <v>5.6248284011602276</v>
      </c>
      <c r="J28" s="311">
        <f>I28/E28</f>
        <v>1.3588365800199127</v>
      </c>
      <c r="K28" s="322">
        <f>C28+D28/5</f>
        <v>2.1740300349947397</v>
      </c>
      <c r="L28" s="322">
        <f>K28/D28/2</f>
        <v>0.86961201399789589</v>
      </c>
      <c r="M28" s="322">
        <f>(K28-D28)/D28</f>
        <v>0.73922402799579179</v>
      </c>
      <c r="N28" s="311">
        <f>N22*1.25</f>
        <v>5.625</v>
      </c>
      <c r="O28" s="3">
        <f>I28-N28</f>
        <v>-1.7159883977235779E-4</v>
      </c>
    </row>
    <row r="29" spans="2:37" x14ac:dyDescent="0.25">
      <c r="B29" s="65">
        <v>3</v>
      </c>
      <c r="C29" s="314">
        <v>1.86498490899491</v>
      </c>
      <c r="D29" s="311">
        <f t="shared" ref="D29:D30" si="37">D23</f>
        <v>1.25</v>
      </c>
      <c r="E29" s="311">
        <f>PI()*D29^2/2+(C29-D29)*2*D29</f>
        <v>3.9918315331043011</v>
      </c>
      <c r="F29" s="311">
        <f>E29/(PI()*D29+2*(C29-D29))</f>
        <v>0.77406670627456853</v>
      </c>
      <c r="G29" s="314">
        <v>1.4E-2</v>
      </c>
      <c r="H29" s="315">
        <f>H23</f>
        <v>2000</v>
      </c>
      <c r="I29" s="323">
        <f t="shared" ref="I29:I30" si="38">E29*F29^(2/3)/H29^(1/2)/G29</f>
        <v>5.375036649502384</v>
      </c>
      <c r="J29" s="311">
        <f t="shared" ref="J29:J30" si="39">I29/E29</f>
        <v>1.3465088907002083</v>
      </c>
      <c r="K29" s="322">
        <f t="shared" ref="K29:K30" si="40">C29+D29/5</f>
        <v>2.1149849089949102</v>
      </c>
      <c r="L29" s="322">
        <f t="shared" ref="L29:L30" si="41">K29/D29/2</f>
        <v>0.84599396359796408</v>
      </c>
      <c r="M29" s="322">
        <f t="shared" ref="M29:M30" si="42">(K29-D29)/D29</f>
        <v>0.69198792719592817</v>
      </c>
      <c r="N29" s="311">
        <f>N23*1.25</f>
        <v>5.375</v>
      </c>
      <c r="O29" s="3">
        <f t="shared" ref="O29:O30" si="43">I29-N29</f>
        <v>3.6649502384022981E-5</v>
      </c>
    </row>
    <row r="30" spans="2:37" x14ac:dyDescent="0.25">
      <c r="B30" s="65">
        <v>6</v>
      </c>
      <c r="C30" s="314">
        <v>1.65667682793052</v>
      </c>
      <c r="D30" s="311">
        <f t="shared" si="37"/>
        <v>1.1000000000000001</v>
      </c>
      <c r="E30" s="311">
        <f t="shared" ref="E30" si="44">PI()*D30^2/2+(C30-D30)*2*D30</f>
        <v>3.1253525768689689</v>
      </c>
      <c r="F30" s="311">
        <f t="shared" ref="F30" si="45">E30/(PI()*D30+2*(C30-D30))</f>
        <v>0.6840184639417225</v>
      </c>
      <c r="G30" s="314">
        <v>1.4E-2</v>
      </c>
      <c r="H30" s="315">
        <f>H24</f>
        <v>2000</v>
      </c>
      <c r="I30" s="323">
        <f t="shared" si="38"/>
        <v>3.8752631722299351</v>
      </c>
      <c r="J30" s="311">
        <f t="shared" si="39"/>
        <v>1.2399443188941708</v>
      </c>
      <c r="K30" s="322">
        <f t="shared" si="40"/>
        <v>1.8766768279305199</v>
      </c>
      <c r="L30" s="322">
        <f t="shared" si="41"/>
        <v>0.8530349217865999</v>
      </c>
      <c r="M30" s="322">
        <f t="shared" si="42"/>
        <v>0.7060698435731998</v>
      </c>
      <c r="N30" s="311">
        <f>N24*1.25</f>
        <v>3.875</v>
      </c>
      <c r="O30" s="3">
        <f t="shared" si="43"/>
        <v>2.631722299351047E-4</v>
      </c>
    </row>
    <row r="33" spans="2:25" ht="15.6" x14ac:dyDescent="0.25">
      <c r="B33" s="366" t="s">
        <v>66</v>
      </c>
      <c r="C33" s="366"/>
      <c r="D33" s="366"/>
      <c r="E33" s="366"/>
      <c r="F33" s="366"/>
      <c r="G33" s="366"/>
      <c r="H33" s="366"/>
      <c r="I33" s="366"/>
      <c r="J33" s="366"/>
      <c r="K33" s="307"/>
      <c r="L33" s="307"/>
      <c r="M33" s="318"/>
      <c r="N33" s="307"/>
      <c r="O33" s="307"/>
      <c r="P33" s="307"/>
      <c r="Q33" s="307"/>
      <c r="R33" s="307"/>
    </row>
    <row r="34" spans="2:25" x14ac:dyDescent="0.25">
      <c r="B34" s="365" t="s">
        <v>2</v>
      </c>
      <c r="C34" s="65" t="s">
        <v>3</v>
      </c>
      <c r="D34" s="65" t="s">
        <v>4</v>
      </c>
      <c r="E34" s="65" t="s">
        <v>67</v>
      </c>
      <c r="F34" s="127" t="s">
        <v>68</v>
      </c>
      <c r="G34" s="127" t="s">
        <v>69</v>
      </c>
      <c r="H34" s="127" t="s">
        <v>70</v>
      </c>
      <c r="I34" s="127" t="s">
        <v>71</v>
      </c>
      <c r="J34" s="65" t="s">
        <v>72</v>
      </c>
      <c r="K34" s="65" t="s">
        <v>6</v>
      </c>
      <c r="L34" s="65" t="s">
        <v>7</v>
      </c>
      <c r="M34" s="65" t="s">
        <v>8</v>
      </c>
      <c r="N34" s="65" t="s">
        <v>9</v>
      </c>
      <c r="O34" s="85" t="s">
        <v>10</v>
      </c>
      <c r="P34" s="65" t="s">
        <v>11</v>
      </c>
      <c r="Q34" s="65" t="s">
        <v>61</v>
      </c>
      <c r="R34" s="65" t="s">
        <v>73</v>
      </c>
      <c r="S34" s="65" t="s">
        <v>74</v>
      </c>
      <c r="T34" s="65" t="s">
        <v>65</v>
      </c>
      <c r="U34" s="65" t="s">
        <v>63</v>
      </c>
      <c r="V34" s="65" t="s">
        <v>75</v>
      </c>
      <c r="Y34" s="13" t="s">
        <v>35</v>
      </c>
    </row>
    <row r="35" spans="2:25" x14ac:dyDescent="0.25">
      <c r="B35" s="365"/>
      <c r="C35" s="80" t="s">
        <v>21</v>
      </c>
      <c r="D35" s="80" t="s">
        <v>22</v>
      </c>
      <c r="E35" s="80"/>
      <c r="F35" s="127" t="s">
        <v>26</v>
      </c>
      <c r="G35" s="127"/>
      <c r="H35" s="127"/>
      <c r="I35" s="127"/>
      <c r="J35" s="65"/>
      <c r="K35" s="80" t="s">
        <v>24</v>
      </c>
      <c r="L35" s="80" t="s">
        <v>25</v>
      </c>
      <c r="M35" s="80" t="s">
        <v>26</v>
      </c>
      <c r="N35" s="313" t="s">
        <v>27</v>
      </c>
      <c r="O35" s="85" t="s">
        <v>28</v>
      </c>
      <c r="P35" s="320" t="s">
        <v>29</v>
      </c>
      <c r="Q35" s="80" t="s">
        <v>30</v>
      </c>
      <c r="R35" s="328"/>
      <c r="S35" s="328"/>
      <c r="T35" s="328"/>
      <c r="U35" s="328"/>
      <c r="V35" s="328"/>
      <c r="Y35" s="13" t="s">
        <v>23</v>
      </c>
    </row>
    <row r="36" spans="2:25" ht="15.6" x14ac:dyDescent="0.25">
      <c r="B36" s="365"/>
      <c r="C36" s="80" t="s">
        <v>23</v>
      </c>
      <c r="D36" s="80" t="s">
        <v>23</v>
      </c>
      <c r="E36" s="80" t="s">
        <v>23</v>
      </c>
      <c r="F36" s="127" t="s">
        <v>23</v>
      </c>
      <c r="G36" s="127" t="s">
        <v>23</v>
      </c>
      <c r="H36" s="127" t="s">
        <v>23</v>
      </c>
      <c r="I36" s="127" t="s">
        <v>23</v>
      </c>
      <c r="J36" s="65"/>
      <c r="K36" s="80" t="s">
        <v>38</v>
      </c>
      <c r="L36" s="80" t="s">
        <v>23</v>
      </c>
      <c r="M36" s="80"/>
      <c r="N36" s="313"/>
      <c r="O36" s="85"/>
      <c r="P36" s="313" t="s">
        <v>39</v>
      </c>
      <c r="Q36" s="80" t="s">
        <v>40</v>
      </c>
      <c r="R36" s="328" t="s">
        <v>76</v>
      </c>
      <c r="S36" s="328"/>
      <c r="T36" s="328" t="s">
        <v>77</v>
      </c>
      <c r="U36" s="328"/>
      <c r="V36" s="328" t="s">
        <v>23</v>
      </c>
      <c r="Y36" s="343"/>
    </row>
    <row r="37" spans="2:25" x14ac:dyDescent="0.25">
      <c r="B37" s="65">
        <v>5</v>
      </c>
      <c r="C37" s="309">
        <v>1.53170056586367</v>
      </c>
      <c r="D37" s="310">
        <v>2</v>
      </c>
      <c r="E37" s="310">
        <v>2.4</v>
      </c>
      <c r="F37" s="316">
        <v>1.1499999999999999</v>
      </c>
      <c r="G37" s="317">
        <f>E37-(F37-(F37^2-(D37/2)^2)^0.5)</f>
        <v>1.8178908345800271</v>
      </c>
      <c r="H37" s="316">
        <f>G37-(F37^2-(D37/2)^2)^0.5</f>
        <v>1.25</v>
      </c>
      <c r="I37" s="317">
        <f>G37-H37</f>
        <v>0.56789083458002709</v>
      </c>
      <c r="J37" s="314">
        <f>ASIN((C37-H37)/F37)-ASIN((G37-H37)/F37)</f>
        <v>-0.26899978553994641</v>
      </c>
      <c r="K37" s="311">
        <f>IF(C37&gt;G37,H37*D37+I37*D37/2+PI()*F37^2*J37/(2*PI())*2+(F37^2-(C37-H37)^2)^0.5*(C37-H37),C37*D37)</f>
        <v>3.06340113172734</v>
      </c>
      <c r="L37" s="311">
        <f>IF(C37&gt;G37,D37+2*G37+F37*J37,D37+2*C37)</f>
        <v>5.06340113172734</v>
      </c>
      <c r="M37" s="311">
        <f>K37/L37</f>
        <v>0.60500858060247831</v>
      </c>
      <c r="N37" s="314">
        <v>1.4E-2</v>
      </c>
      <c r="O37" s="315">
        <v>2000</v>
      </c>
      <c r="P37" s="323">
        <f>K37*M37^(2/3)/O37^(1/2)/N37</f>
        <v>3.5000038685236667</v>
      </c>
      <c r="Q37" s="323">
        <f>P37/K37</f>
        <v>1.1425222222040972</v>
      </c>
      <c r="R37" s="322">
        <f>D37*H37+I37*D37/2+(PI()-2*ASIN(I37/F37))/(2*PI())*PI()*F37^2</f>
        <v>4.4622306029962839</v>
      </c>
      <c r="S37" s="338">
        <f>1-K37/R37</f>
        <v>0.31348211146453586</v>
      </c>
      <c r="T37" s="322">
        <f>M11</f>
        <v>3.5</v>
      </c>
      <c r="U37" s="322">
        <f>(E37+D37/2)/D37</f>
        <v>1.7</v>
      </c>
      <c r="V37" s="322">
        <f>E37-C37</f>
        <v>0.86829943413632993</v>
      </c>
      <c r="W37" s="339">
        <f>P37-T37</f>
        <v>3.8685236667390654E-6</v>
      </c>
      <c r="Y37" s="13">
        <f>5*D37</f>
        <v>10</v>
      </c>
    </row>
    <row r="38" spans="2:25" x14ac:dyDescent="0.25">
      <c r="B38" s="65">
        <v>6</v>
      </c>
      <c r="C38" s="309">
        <v>1.3922113918338499</v>
      </c>
      <c r="D38" s="310">
        <v>2</v>
      </c>
      <c r="E38" s="310">
        <v>2.4</v>
      </c>
      <c r="F38" s="316">
        <v>1.1499999999999999</v>
      </c>
      <c r="G38" s="317">
        <f t="shared" ref="G38:G41" si="46">E38-(F38-(F38^2-(D38/2)^2)^0.5)</f>
        <v>1.8178908345800271</v>
      </c>
      <c r="H38" s="316">
        <f t="shared" ref="H38:H41" si="47">G38-(F38^2-(D38/2)^2)^0.5</f>
        <v>1.25</v>
      </c>
      <c r="I38" s="317">
        <f t="shared" ref="I38:I41" si="48">G38-H38</f>
        <v>0.56789083458002709</v>
      </c>
      <c r="J38" s="314">
        <f t="shared" ref="J38:J41" si="49">ASIN((C38-H38)/F38)-ASIN((G38-H38)/F38)</f>
        <v>-0.39249569230852982</v>
      </c>
      <c r="K38" s="311">
        <f t="shared" ref="K38:K41" si="50">IF(C38&gt;G38,H38*D38+I38*D38/2+PI()*F38^2*J38/(2*PI())*2+(F38^2-(C38-H38)^2)^0.5*(C38-H38),C38*D38)</f>
        <v>2.7844227836676998</v>
      </c>
      <c r="L38" s="311">
        <f t="shared" ref="L38:L41" si="51">IF(C38&gt;G38,D38+2*G38+F38*J38,D38+2*C38)</f>
        <v>4.7844227836676998</v>
      </c>
      <c r="M38" s="311">
        <f t="shared" ref="M38:M41" si="52">K38/L38</f>
        <v>0.58197674193274029</v>
      </c>
      <c r="N38" s="314">
        <v>1.4E-2</v>
      </c>
      <c r="O38" s="315">
        <v>2000</v>
      </c>
      <c r="P38" s="323">
        <f t="shared" ref="P38:P41" si="53">K38*M38^(2/3)/O38^(1/2)/N38</f>
        <v>3.1000062147434044</v>
      </c>
      <c r="Q38" s="323">
        <f t="shared" ref="Q38:Q41" si="54">P38/K38</f>
        <v>1.1133389056169163</v>
      </c>
      <c r="R38" s="322">
        <f t="shared" ref="R38:R41" si="55">D38*H38+I38*D38/2+(PI()-2*ASIN(I38/F38))/(2*PI())*PI()*F38^2</f>
        <v>4.4622306029962839</v>
      </c>
      <c r="S38" s="338">
        <f t="shared" ref="S38:S41" si="56">1-K38/R38</f>
        <v>0.3760020421629432</v>
      </c>
      <c r="T38" s="322">
        <f>M12</f>
        <v>3.1</v>
      </c>
      <c r="U38" s="322">
        <f t="shared" ref="U38:U41" si="57">(E38+D38/2)/D38</f>
        <v>1.7</v>
      </c>
      <c r="V38" s="322">
        <f t="shared" ref="V38:V41" si="58">E38-C38</f>
        <v>1.00778860816615</v>
      </c>
      <c r="W38" s="339">
        <f t="shared" ref="W38:W41" si="59">P38-T38</f>
        <v>6.214743404342471E-6</v>
      </c>
      <c r="Y38" s="13">
        <f>5*D38</f>
        <v>10</v>
      </c>
    </row>
    <row r="39" spans="2:25" x14ac:dyDescent="0.25">
      <c r="B39" s="65">
        <v>7</v>
      </c>
      <c r="C39" s="309">
        <v>1.2505987457580501</v>
      </c>
      <c r="D39" s="310">
        <v>2</v>
      </c>
      <c r="E39" s="310">
        <v>2.4</v>
      </c>
      <c r="F39" s="316">
        <v>1.1499999999999999</v>
      </c>
      <c r="G39" s="317">
        <f t="shared" si="46"/>
        <v>1.8178908345800271</v>
      </c>
      <c r="H39" s="316">
        <f t="shared" si="47"/>
        <v>1.25</v>
      </c>
      <c r="I39" s="317">
        <f t="shared" si="48"/>
        <v>0.56789083458002709</v>
      </c>
      <c r="J39" s="314">
        <f t="shared" si="49"/>
        <v>-0.51595449233809221</v>
      </c>
      <c r="K39" s="311">
        <f t="shared" si="50"/>
        <v>2.5011974915161002</v>
      </c>
      <c r="L39" s="311">
        <f t="shared" si="51"/>
        <v>4.5011974915161002</v>
      </c>
      <c r="M39" s="311">
        <f t="shared" si="52"/>
        <v>0.55567379485800861</v>
      </c>
      <c r="N39" s="314">
        <v>1.4E-2</v>
      </c>
      <c r="O39" s="315">
        <v>2000</v>
      </c>
      <c r="P39" s="323">
        <f t="shared" si="53"/>
        <v>2.7001313739872299</v>
      </c>
      <c r="Q39" s="323">
        <f t="shared" si="54"/>
        <v>1.0795354557750441</v>
      </c>
      <c r="R39" s="322">
        <f t="shared" si="55"/>
        <v>4.4622306029962839</v>
      </c>
      <c r="S39" s="338">
        <f t="shared" si="56"/>
        <v>0.43947372647289806</v>
      </c>
      <c r="T39" s="322">
        <f>M13</f>
        <v>2.7</v>
      </c>
      <c r="U39" s="322">
        <f t="shared" si="57"/>
        <v>1.7</v>
      </c>
      <c r="V39" s="322">
        <f t="shared" si="58"/>
        <v>1.1494012542419498</v>
      </c>
      <c r="W39" s="339">
        <f t="shared" si="59"/>
        <v>1.3137398722973259E-4</v>
      </c>
      <c r="Y39" s="13">
        <f>5*D39</f>
        <v>10</v>
      </c>
    </row>
    <row r="40" spans="2:25" x14ac:dyDescent="0.25">
      <c r="B40" s="65">
        <v>9</v>
      </c>
      <c r="C40" s="309">
        <v>0.75544172988763603</v>
      </c>
      <c r="D40" s="310">
        <v>1.8</v>
      </c>
      <c r="E40" s="310">
        <v>2.4</v>
      </c>
      <c r="F40" s="316">
        <v>1.04</v>
      </c>
      <c r="G40" s="317">
        <f t="shared" si="46"/>
        <v>1.8811525688318151</v>
      </c>
      <c r="H40" s="316">
        <f t="shared" si="47"/>
        <v>1.3599999999999999</v>
      </c>
      <c r="I40" s="317">
        <f t="shared" si="48"/>
        <v>0.52115256883181527</v>
      </c>
      <c r="J40" s="314">
        <f t="shared" si="49"/>
        <v>-1.1452117849319339</v>
      </c>
      <c r="K40" s="311">
        <f t="shared" si="50"/>
        <v>1.3597951137977449</v>
      </c>
      <c r="L40" s="311">
        <f t="shared" si="51"/>
        <v>3.3108834597752721</v>
      </c>
      <c r="M40" s="311">
        <f t="shared" si="52"/>
        <v>0.4107046141364461</v>
      </c>
      <c r="N40" s="314">
        <v>1.4E-2</v>
      </c>
      <c r="O40" s="315">
        <v>2000</v>
      </c>
      <c r="P40" s="323">
        <f t="shared" si="53"/>
        <v>1.2000062208956281</v>
      </c>
      <c r="Q40" s="323">
        <f t="shared" si="54"/>
        <v>0.88249046398185271</v>
      </c>
      <c r="R40" s="322">
        <f t="shared" si="55"/>
        <v>4.048301564534583</v>
      </c>
      <c r="S40" s="338">
        <f t="shared" si="56"/>
        <v>0.664107257791682</v>
      </c>
      <c r="T40" s="322">
        <f>M15</f>
        <v>1.2</v>
      </c>
      <c r="U40" s="322">
        <f t="shared" si="57"/>
        <v>1.8333333333333333</v>
      </c>
      <c r="V40" s="322">
        <f t="shared" si="58"/>
        <v>1.644558270112364</v>
      </c>
      <c r="W40" s="339">
        <f t="shared" si="59"/>
        <v>6.2208956281839534E-6</v>
      </c>
      <c r="Y40" s="13">
        <f>5*D40</f>
        <v>9</v>
      </c>
    </row>
    <row r="41" spans="2:25" x14ac:dyDescent="0.25">
      <c r="B41" s="65">
        <v>10</v>
      </c>
      <c r="C41" s="309">
        <v>0.32526259717275602</v>
      </c>
      <c r="D41" s="310">
        <v>1.8</v>
      </c>
      <c r="E41" s="310">
        <v>2.4</v>
      </c>
      <c r="F41" s="316">
        <v>1.04</v>
      </c>
      <c r="G41" s="317">
        <f t="shared" si="46"/>
        <v>1.8811525688318151</v>
      </c>
      <c r="H41" s="316">
        <f t="shared" si="47"/>
        <v>1.3599999999999999</v>
      </c>
      <c r="I41" s="317">
        <f t="shared" si="48"/>
        <v>0.52115256883181527</v>
      </c>
      <c r="J41" s="314">
        <f t="shared" si="49"/>
        <v>-1.9950326953090807</v>
      </c>
      <c r="K41" s="311">
        <f t="shared" si="50"/>
        <v>0.58547267491096089</v>
      </c>
      <c r="L41" s="311">
        <f t="shared" si="51"/>
        <v>2.450525194345512</v>
      </c>
      <c r="M41" s="311">
        <f t="shared" si="52"/>
        <v>0.23891722323929396</v>
      </c>
      <c r="N41" s="314">
        <v>1.4E-2</v>
      </c>
      <c r="O41" s="315">
        <v>2000</v>
      </c>
      <c r="P41" s="323">
        <f t="shared" si="53"/>
        <v>0.36004924352496354</v>
      </c>
      <c r="Q41" s="323">
        <f t="shared" si="54"/>
        <v>0.61497190040460914</v>
      </c>
      <c r="R41" s="322">
        <f t="shared" si="55"/>
        <v>4.048301564534583</v>
      </c>
      <c r="S41" s="338">
        <f t="shared" si="56"/>
        <v>0.85537819612055743</v>
      </c>
      <c r="T41" s="322">
        <f>M16</f>
        <v>0.36</v>
      </c>
      <c r="U41" s="322">
        <f t="shared" si="57"/>
        <v>1.8333333333333333</v>
      </c>
      <c r="V41" s="322">
        <f t="shared" si="58"/>
        <v>2.0747374028272438</v>
      </c>
      <c r="W41" s="339">
        <f t="shared" si="59"/>
        <v>4.9243524963549223E-5</v>
      </c>
      <c r="Y41" s="13">
        <f>5*D41</f>
        <v>9</v>
      </c>
    </row>
    <row r="43" spans="2:25" x14ac:dyDescent="0.25">
      <c r="B43" s="365" t="s">
        <v>2</v>
      </c>
      <c r="C43" s="65" t="s">
        <v>13</v>
      </c>
      <c r="D43" s="65" t="s">
        <v>4</v>
      </c>
      <c r="E43" s="65" t="s">
        <v>67</v>
      </c>
      <c r="F43" s="127" t="s">
        <v>68</v>
      </c>
      <c r="G43" s="127" t="s">
        <v>69</v>
      </c>
      <c r="H43" s="127" t="s">
        <v>70</v>
      </c>
      <c r="I43" s="127" t="s">
        <v>71</v>
      </c>
      <c r="J43" s="65" t="s">
        <v>72</v>
      </c>
      <c r="K43" s="65" t="s">
        <v>6</v>
      </c>
      <c r="L43" s="65" t="s">
        <v>7</v>
      </c>
      <c r="M43" s="65" t="s">
        <v>8</v>
      </c>
      <c r="N43" s="65" t="s">
        <v>9</v>
      </c>
      <c r="O43" s="85" t="s">
        <v>10</v>
      </c>
      <c r="P43" s="65" t="s">
        <v>11</v>
      </c>
      <c r="Q43" s="65" t="s">
        <v>61</v>
      </c>
      <c r="R43" s="65" t="s">
        <v>73</v>
      </c>
      <c r="S43" s="65" t="s">
        <v>74</v>
      </c>
      <c r="T43" s="65" t="s">
        <v>14</v>
      </c>
      <c r="U43" s="65" t="s">
        <v>63</v>
      </c>
      <c r="V43" s="65" t="s">
        <v>75</v>
      </c>
    </row>
    <row r="44" spans="2:25" x14ac:dyDescent="0.25">
      <c r="B44" s="365"/>
      <c r="C44" s="80" t="s">
        <v>21</v>
      </c>
      <c r="D44" s="80" t="s">
        <v>22</v>
      </c>
      <c r="E44" s="80"/>
      <c r="F44" s="127" t="s">
        <v>26</v>
      </c>
      <c r="G44" s="127"/>
      <c r="H44" s="127"/>
      <c r="I44" s="127"/>
      <c r="J44" s="65"/>
      <c r="K44" s="80" t="s">
        <v>24</v>
      </c>
      <c r="L44" s="80" t="s">
        <v>25</v>
      </c>
      <c r="M44" s="80" t="s">
        <v>26</v>
      </c>
      <c r="N44" s="313" t="s">
        <v>27</v>
      </c>
      <c r="O44" s="85" t="s">
        <v>28</v>
      </c>
      <c r="P44" s="320" t="s">
        <v>29</v>
      </c>
      <c r="Q44" s="80" t="s">
        <v>30</v>
      </c>
      <c r="R44" s="328"/>
      <c r="S44" s="328"/>
      <c r="T44" s="328"/>
      <c r="U44" s="328"/>
      <c r="V44" s="328"/>
    </row>
    <row r="45" spans="2:25" ht="15.6" x14ac:dyDescent="0.25">
      <c r="B45" s="365"/>
      <c r="C45" s="80" t="s">
        <v>23</v>
      </c>
      <c r="D45" s="80" t="s">
        <v>23</v>
      </c>
      <c r="E45" s="80" t="s">
        <v>23</v>
      </c>
      <c r="F45" s="127" t="s">
        <v>23</v>
      </c>
      <c r="G45" s="127" t="s">
        <v>23</v>
      </c>
      <c r="H45" s="127" t="s">
        <v>23</v>
      </c>
      <c r="I45" s="127" t="s">
        <v>23</v>
      </c>
      <c r="J45" s="65"/>
      <c r="K45" s="80" t="s">
        <v>38</v>
      </c>
      <c r="L45" s="80" t="s">
        <v>23</v>
      </c>
      <c r="M45" s="80"/>
      <c r="N45" s="313"/>
      <c r="O45" s="85"/>
      <c r="P45" s="313" t="s">
        <v>39</v>
      </c>
      <c r="Q45" s="80" t="s">
        <v>40</v>
      </c>
      <c r="R45" s="328" t="s">
        <v>76</v>
      </c>
      <c r="S45" s="328"/>
      <c r="T45" s="328" t="s">
        <v>77</v>
      </c>
      <c r="U45" s="328"/>
      <c r="V45" s="328" t="s">
        <v>23</v>
      </c>
    </row>
    <row r="46" spans="2:25" x14ac:dyDescent="0.25">
      <c r="B46" s="65">
        <v>5</v>
      </c>
      <c r="C46" s="309">
        <v>1.8297793878902</v>
      </c>
      <c r="D46" s="310">
        <f>D37</f>
        <v>2</v>
      </c>
      <c r="E46" s="310">
        <f t="shared" ref="E46:F46" si="60">E37</f>
        <v>2.4</v>
      </c>
      <c r="F46" s="310">
        <f t="shared" si="60"/>
        <v>1.1499999999999999</v>
      </c>
      <c r="G46" s="317">
        <f>E46-(F46-(F46^2-(D46/2)^2)^0.5)</f>
        <v>1.8178908345800271</v>
      </c>
      <c r="H46" s="316">
        <f>G46-(F46^2-(D46/2)^2)^0.5</f>
        <v>1.25</v>
      </c>
      <c r="I46" s="317">
        <f>G46-H46</f>
        <v>0.56789083458002709</v>
      </c>
      <c r="J46" s="314">
        <f>ASIN((C46-H46)/F46)-ASIN((G46-H46)/F46)</f>
        <v>1.1929243140066048E-2</v>
      </c>
      <c r="K46" s="311">
        <f>IF(C46&gt;G46,H46*D46+I46*D46/2+PI()*F46^2*J46/(2*PI())*2+(F46^2-(C46-H46)^2)^0.5*(C46-H46),C46*D46)</f>
        <v>3.6594777668712704</v>
      </c>
      <c r="L46" s="311">
        <f>IF(C46&gt;G46,D46+2*G46+F46*J46,D46+2*C46)</f>
        <v>5.6495002987711302</v>
      </c>
      <c r="M46" s="311">
        <f>K46/L46</f>
        <v>0.64775246895150596</v>
      </c>
      <c r="N46" s="314">
        <v>1.4E-2</v>
      </c>
      <c r="O46" s="315">
        <f>O37</f>
        <v>2000</v>
      </c>
      <c r="P46" s="323">
        <f>K46*M46^(2/3)/O46^(1/2)/N46</f>
        <v>4.3757126801817057</v>
      </c>
      <c r="Q46" s="323">
        <f>P46/K46</f>
        <v>1.1957205259707842</v>
      </c>
      <c r="R46" s="322">
        <f>D46*H46+I46*D46/2+(PI()-2*ASIN(I46/F46))/(2*PI())*PI()*F46^2</f>
        <v>4.4622306029962839</v>
      </c>
      <c r="S46" s="338">
        <f>1-K46/R46</f>
        <v>0.179899451092013</v>
      </c>
      <c r="T46" s="322">
        <f>T37*1.25</f>
        <v>4.375</v>
      </c>
      <c r="U46" s="322">
        <f>(E46+D46/2)/D46</f>
        <v>1.7</v>
      </c>
      <c r="V46" s="322">
        <f>E46-C46</f>
        <v>0.57022061210979991</v>
      </c>
      <c r="W46" s="339">
        <f>P46-T46</f>
        <v>7.126801817056716E-4</v>
      </c>
    </row>
    <row r="47" spans="2:25" x14ac:dyDescent="0.25">
      <c r="B47" s="65">
        <v>6</v>
      </c>
      <c r="C47" s="309">
        <v>1.6609063989755299</v>
      </c>
      <c r="D47" s="310">
        <f t="shared" ref="D47:F47" si="61">D38</f>
        <v>2</v>
      </c>
      <c r="E47" s="310">
        <f t="shared" si="61"/>
        <v>2.4</v>
      </c>
      <c r="F47" s="310">
        <f t="shared" si="61"/>
        <v>1.1499999999999999</v>
      </c>
      <c r="G47" s="317">
        <f t="shared" ref="G47:G50" si="62">E47-(F47-(F47^2-(D47/2)^2)^0.5)</f>
        <v>1.8178908345800271</v>
      </c>
      <c r="H47" s="316">
        <f t="shared" ref="H47:H50" si="63">G47-(F47^2-(D47/2)^2)^0.5</f>
        <v>1.25</v>
      </c>
      <c r="I47" s="317">
        <f t="shared" ref="I47:I50" si="64">G47-H47</f>
        <v>0.56789083458002709</v>
      </c>
      <c r="J47" s="314">
        <f t="shared" ref="J47:J50" si="65">ASIN((C47-H47)/F47)-ASIN((G47-H47)/F47)</f>
        <v>-0.15108906321735643</v>
      </c>
      <c r="K47" s="311">
        <f t="shared" ref="K47:K50" si="66">IF(C47&gt;G47,H47*D47+I47*D47/2+PI()*F47^2*J47/(2*PI())*2+(F47^2-(C47-H47)^2)^0.5*(C47-H47),C47*D47)</f>
        <v>3.3218127979510599</v>
      </c>
      <c r="L47" s="311">
        <f t="shared" ref="L47:L50" si="67">IF(C47&gt;G47,D47+2*G47+F47*J47,D47+2*C47)</f>
        <v>5.3218127979510594</v>
      </c>
      <c r="M47" s="311">
        <f t="shared" ref="M47:M50" si="68">K47/L47</f>
        <v>0.62418820880546277</v>
      </c>
      <c r="N47" s="314">
        <v>1.4E-2</v>
      </c>
      <c r="O47" s="315">
        <f t="shared" ref="O47:O50" si="69">O38</f>
        <v>2000</v>
      </c>
      <c r="P47" s="323">
        <f t="shared" ref="P47:P50" si="70">K47*M47^(2/3)/O47^(1/2)/N47</f>
        <v>3.8750367658073692</v>
      </c>
      <c r="Q47" s="323">
        <f t="shared" ref="Q47:Q50" si="71">P47/K47</f>
        <v>1.1665427889848414</v>
      </c>
      <c r="R47" s="322">
        <f t="shared" ref="R47:R50" si="72">D47*H47+I47*D47/2+(PI()-2*ASIN(I47/F47))/(2*PI())*PI()*F47^2</f>
        <v>4.4622306029962839</v>
      </c>
      <c r="S47" s="338">
        <f t="shared" ref="S47:S50" si="73">1-K47/R47</f>
        <v>0.25557123925407621</v>
      </c>
      <c r="T47" s="322">
        <f t="shared" ref="T47:T49" si="74">T38*1.25</f>
        <v>3.875</v>
      </c>
      <c r="U47" s="322">
        <f t="shared" ref="U47:U50" si="75">(E47+D47/2)/D47</f>
        <v>1.7</v>
      </c>
      <c r="V47" s="322">
        <f t="shared" ref="V47:V50" si="76">E47-C47</f>
        <v>0.73909360102446997</v>
      </c>
      <c r="W47" s="339">
        <f t="shared" ref="W47:W50" si="77">P47-T47</f>
        <v>3.6765807369221193E-5</v>
      </c>
    </row>
    <row r="48" spans="2:25" x14ac:dyDescent="0.25">
      <c r="B48" s="65">
        <v>7</v>
      </c>
      <c r="C48" s="309">
        <v>1.4884890849155199</v>
      </c>
      <c r="D48" s="310">
        <f t="shared" ref="D48:F48" si="78">D39</f>
        <v>2</v>
      </c>
      <c r="E48" s="310">
        <f t="shared" si="78"/>
        <v>2.4</v>
      </c>
      <c r="F48" s="310">
        <f t="shared" si="78"/>
        <v>1.1499999999999999</v>
      </c>
      <c r="G48" s="317">
        <f t="shared" si="62"/>
        <v>1.8178908345800271</v>
      </c>
      <c r="H48" s="316">
        <f t="shared" si="63"/>
        <v>1.25</v>
      </c>
      <c r="I48" s="317">
        <f t="shared" si="64"/>
        <v>0.56789083458002709</v>
      </c>
      <c r="J48" s="314">
        <f t="shared" si="65"/>
        <v>-0.30757731508372022</v>
      </c>
      <c r="K48" s="311">
        <f t="shared" si="66"/>
        <v>2.9769781698310398</v>
      </c>
      <c r="L48" s="311">
        <f t="shared" si="67"/>
        <v>4.9769781698310398</v>
      </c>
      <c r="M48" s="311">
        <f t="shared" si="68"/>
        <v>0.59814973428587559</v>
      </c>
      <c r="N48" s="314">
        <v>1.4E-2</v>
      </c>
      <c r="O48" s="315">
        <f t="shared" si="69"/>
        <v>2000</v>
      </c>
      <c r="P48" s="323">
        <f t="shared" si="70"/>
        <v>3.3755086551283795</v>
      </c>
      <c r="Q48" s="323">
        <f t="shared" si="71"/>
        <v>1.1338708121329484</v>
      </c>
      <c r="R48" s="322">
        <f t="shared" si="72"/>
        <v>4.4622306029962839</v>
      </c>
      <c r="S48" s="338">
        <f t="shared" si="73"/>
        <v>0.33284977073303468</v>
      </c>
      <c r="T48" s="322">
        <f t="shared" si="74"/>
        <v>3.375</v>
      </c>
      <c r="U48" s="322">
        <f t="shared" si="75"/>
        <v>1.7</v>
      </c>
      <c r="V48" s="322">
        <f t="shared" si="76"/>
        <v>0.91151091508448001</v>
      </c>
      <c r="W48" s="339">
        <f t="shared" si="77"/>
        <v>5.0865512837949822E-4</v>
      </c>
    </row>
    <row r="49" spans="2:23" x14ac:dyDescent="0.25">
      <c r="B49" s="65">
        <v>9</v>
      </c>
      <c r="C49" s="309">
        <v>0.89136226309933098</v>
      </c>
      <c r="D49" s="310">
        <f t="shared" ref="D49:F49" si="79">D40</f>
        <v>1.8</v>
      </c>
      <c r="E49" s="310">
        <f t="shared" si="79"/>
        <v>2.4</v>
      </c>
      <c r="F49" s="310">
        <f t="shared" si="79"/>
        <v>1.04</v>
      </c>
      <c r="G49" s="317">
        <f t="shared" si="62"/>
        <v>1.8811525688318151</v>
      </c>
      <c r="H49" s="316">
        <f t="shared" si="63"/>
        <v>1.3599999999999999</v>
      </c>
      <c r="I49" s="317">
        <f t="shared" si="64"/>
        <v>0.52115256883181527</v>
      </c>
      <c r="J49" s="314">
        <f t="shared" si="65"/>
        <v>-0.99233105319932358</v>
      </c>
      <c r="K49" s="311">
        <f t="shared" si="66"/>
        <v>1.6044520735787957</v>
      </c>
      <c r="L49" s="311">
        <f t="shared" si="67"/>
        <v>3.5827245261986622</v>
      </c>
      <c r="M49" s="311">
        <f t="shared" si="68"/>
        <v>0.44783015323847669</v>
      </c>
      <c r="N49" s="314">
        <v>1.4E-2</v>
      </c>
      <c r="O49" s="315">
        <f t="shared" si="69"/>
        <v>2000</v>
      </c>
      <c r="P49" s="323">
        <f t="shared" si="70"/>
        <v>1.5000046432276823</v>
      </c>
      <c r="Q49" s="323">
        <f t="shared" si="71"/>
        <v>0.93490149561268032</v>
      </c>
      <c r="R49" s="322">
        <f t="shared" si="72"/>
        <v>4.048301564534583</v>
      </c>
      <c r="S49" s="338">
        <f t="shared" si="73"/>
        <v>0.60367278771060295</v>
      </c>
      <c r="T49" s="322">
        <f t="shared" si="74"/>
        <v>1.5</v>
      </c>
      <c r="U49" s="322">
        <f t="shared" si="75"/>
        <v>1.8333333333333333</v>
      </c>
      <c r="V49" s="322">
        <f t="shared" si="76"/>
        <v>1.5086377369006689</v>
      </c>
      <c r="W49" s="339">
        <f t="shared" si="77"/>
        <v>4.6432276823438201E-6</v>
      </c>
    </row>
    <row r="50" spans="2:23" x14ac:dyDescent="0.25">
      <c r="B50" s="65">
        <v>10</v>
      </c>
      <c r="C50" s="309">
        <v>0.39857629202704697</v>
      </c>
      <c r="D50" s="310">
        <f t="shared" ref="D50:F50" si="80">D41</f>
        <v>1.8</v>
      </c>
      <c r="E50" s="310">
        <f t="shared" si="80"/>
        <v>2.4</v>
      </c>
      <c r="F50" s="310">
        <f t="shared" si="80"/>
        <v>1.04</v>
      </c>
      <c r="G50" s="317">
        <f t="shared" si="62"/>
        <v>1.8811525688318151</v>
      </c>
      <c r="H50" s="316">
        <f t="shared" si="63"/>
        <v>1.3599999999999999</v>
      </c>
      <c r="I50" s="317">
        <f t="shared" si="64"/>
        <v>0.52115256883181527</v>
      </c>
      <c r="J50" s="314">
        <f t="shared" si="65"/>
        <v>-1.7044587515375493</v>
      </c>
      <c r="K50" s="311">
        <f t="shared" si="66"/>
        <v>0.71743732564868457</v>
      </c>
      <c r="L50" s="311">
        <f t="shared" si="67"/>
        <v>2.5971525840540939</v>
      </c>
      <c r="M50" s="311">
        <f t="shared" si="68"/>
        <v>0.27623995989052819</v>
      </c>
      <c r="N50" s="314">
        <v>1.4E-2</v>
      </c>
      <c r="O50" s="315">
        <f t="shared" si="69"/>
        <v>2000</v>
      </c>
      <c r="P50" s="323">
        <f t="shared" si="70"/>
        <v>0.486032453459396</v>
      </c>
      <c r="Q50" s="323">
        <f t="shared" si="71"/>
        <v>0.67745632417429713</v>
      </c>
      <c r="R50" s="322">
        <f t="shared" si="72"/>
        <v>4.048301564534583</v>
      </c>
      <c r="S50" s="338">
        <f t="shared" si="73"/>
        <v>0.82278066141765671</v>
      </c>
      <c r="T50" s="322">
        <f>T41*1.35</f>
        <v>0.48599999999999999</v>
      </c>
      <c r="U50" s="322">
        <f t="shared" si="75"/>
        <v>1.8333333333333333</v>
      </c>
      <c r="V50" s="322">
        <f t="shared" si="76"/>
        <v>2.0014237079729531</v>
      </c>
      <c r="W50" s="339">
        <f t="shared" si="77"/>
        <v>3.2453459396009077E-5</v>
      </c>
    </row>
  </sheetData>
  <mergeCells count="14">
    <mergeCell ref="AN4:AO4"/>
    <mergeCell ref="AQ4:AR4"/>
    <mergeCell ref="AT4:AU4"/>
    <mergeCell ref="B19:D19"/>
    <mergeCell ref="A4:A6"/>
    <mergeCell ref="B4:B6"/>
    <mergeCell ref="N4:N6"/>
    <mergeCell ref="AI4:AI6"/>
    <mergeCell ref="B20:B21"/>
    <mergeCell ref="B26:B27"/>
    <mergeCell ref="B3:D3"/>
    <mergeCell ref="B34:B36"/>
    <mergeCell ref="B43:B45"/>
    <mergeCell ref="B33:J33"/>
  </mergeCells>
  <phoneticPr fontId="31" type="noConversion"/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C3:M21"/>
  <sheetViews>
    <sheetView workbookViewId="0">
      <selection activeCell="H34" sqref="H34"/>
    </sheetView>
  </sheetViews>
  <sheetFormatPr defaultColWidth="12.44140625" defaultRowHeight="13.8" x14ac:dyDescent="0.25"/>
  <cols>
    <col min="1" max="3" width="12.44140625" style="198"/>
    <col min="4" max="5" width="9.5546875" style="296" customWidth="1"/>
    <col min="6" max="6" width="12.109375" style="296" customWidth="1"/>
    <col min="7" max="8" width="9.5546875" style="296" customWidth="1"/>
    <col min="9" max="10" width="10.109375" style="296" customWidth="1"/>
    <col min="11" max="11" width="13.21875" style="297" customWidth="1"/>
    <col min="12" max="13" width="10.21875" style="296" customWidth="1"/>
    <col min="14" max="16384" width="12.44140625" style="198"/>
  </cols>
  <sheetData>
    <row r="3" spans="3:13" ht="43.2" x14ac:dyDescent="0.25">
      <c r="C3" s="379" t="s">
        <v>78</v>
      </c>
      <c r="D3" s="298" t="s">
        <v>79</v>
      </c>
      <c r="E3" s="298" t="s">
        <v>80</v>
      </c>
      <c r="F3" s="298" t="s">
        <v>81</v>
      </c>
      <c r="G3" s="299" t="s">
        <v>82</v>
      </c>
      <c r="H3" s="299" t="s">
        <v>83</v>
      </c>
      <c r="I3" s="299" t="s">
        <v>84</v>
      </c>
      <c r="J3" s="299" t="s">
        <v>85</v>
      </c>
      <c r="K3" s="302" t="s">
        <v>86</v>
      </c>
      <c r="L3" s="299" t="s">
        <v>87</v>
      </c>
      <c r="M3" s="299" t="s">
        <v>88</v>
      </c>
    </row>
    <row r="4" spans="3:13" ht="14.4" x14ac:dyDescent="0.25">
      <c r="C4" s="380"/>
      <c r="D4" s="298" t="s">
        <v>23</v>
      </c>
      <c r="E4" s="298" t="s">
        <v>23</v>
      </c>
      <c r="F4" s="298" t="s">
        <v>23</v>
      </c>
      <c r="G4" s="298" t="s">
        <v>77</v>
      </c>
      <c r="H4" s="298" t="s">
        <v>77</v>
      </c>
      <c r="I4" s="299" t="s">
        <v>89</v>
      </c>
      <c r="J4" s="298" t="s">
        <v>23</v>
      </c>
      <c r="K4" s="303" t="s">
        <v>23</v>
      </c>
      <c r="L4" s="298" t="s">
        <v>23</v>
      </c>
      <c r="M4" s="298" t="s">
        <v>23</v>
      </c>
    </row>
    <row r="5" spans="3:13" x14ac:dyDescent="0.25">
      <c r="C5" s="206" t="s">
        <v>90</v>
      </c>
      <c r="D5" s="298">
        <v>0.12</v>
      </c>
      <c r="E5" s="298">
        <v>2</v>
      </c>
      <c r="F5" s="298">
        <v>2</v>
      </c>
      <c r="G5" s="298">
        <v>4.5</v>
      </c>
      <c r="H5" s="298">
        <v>4.5</v>
      </c>
      <c r="I5" s="300">
        <v>0.01</v>
      </c>
      <c r="J5" s="298">
        <v>0.12</v>
      </c>
      <c r="K5" s="304">
        <f ca="1">M5</f>
        <v>0.49407221994887363</v>
      </c>
      <c r="L5" s="305">
        <f ca="1">倒虹管水头损失计算!C62</f>
        <v>0.31620622076727911</v>
      </c>
      <c r="M5" s="305">
        <f ca="1">倒虹管水头损失计算!D62</f>
        <v>0.49407221994887363</v>
      </c>
    </row>
    <row r="6" spans="3:13" x14ac:dyDescent="0.25">
      <c r="C6" s="206" t="s">
        <v>91</v>
      </c>
      <c r="D6" s="298">
        <v>0.4</v>
      </c>
      <c r="E6" s="298">
        <v>2</v>
      </c>
      <c r="F6" s="298">
        <v>2</v>
      </c>
      <c r="G6" s="298">
        <v>4.5</v>
      </c>
      <c r="H6" s="298">
        <v>4.5</v>
      </c>
      <c r="I6" s="300">
        <v>0.01</v>
      </c>
      <c r="J6" s="298">
        <v>0.4</v>
      </c>
      <c r="K6" s="304">
        <f t="shared" ref="K6:K15" ca="1" si="0">M6</f>
        <v>0.63886852223508583</v>
      </c>
      <c r="L6" s="305">
        <f ca="1">倒虹管水头损失计算!C120</f>
        <v>0.40887585423045486</v>
      </c>
      <c r="M6" s="305">
        <f ca="1">倒虹管水头损失计算!D120</f>
        <v>0.63886852223508583</v>
      </c>
    </row>
    <row r="7" spans="3:13" x14ac:dyDescent="0.25">
      <c r="C7" s="206" t="s">
        <v>92</v>
      </c>
      <c r="D7" s="298">
        <v>0.12</v>
      </c>
      <c r="E7" s="298">
        <v>2</v>
      </c>
      <c r="F7" s="298">
        <v>2</v>
      </c>
      <c r="G7" s="298">
        <v>4.5</v>
      </c>
      <c r="H7" s="298">
        <v>4.5</v>
      </c>
      <c r="I7" s="298">
        <v>1.0999999999999999E-2</v>
      </c>
      <c r="J7" s="298">
        <v>0.12</v>
      </c>
      <c r="K7" s="304">
        <f t="shared" ca="1" si="0"/>
        <v>0.46318120187586354</v>
      </c>
      <c r="L7" s="305">
        <f ca="1">倒虹管水头损失计算!C178</f>
        <v>0.2964359692005526</v>
      </c>
      <c r="M7" s="305">
        <f ca="1">倒虹管水头损失计算!D178</f>
        <v>0.46318120187586354</v>
      </c>
    </row>
    <row r="8" spans="3:13" x14ac:dyDescent="0.25">
      <c r="C8" s="206" t="s">
        <v>93</v>
      </c>
      <c r="D8" s="298">
        <v>0.18</v>
      </c>
      <c r="E8" s="298">
        <v>2</v>
      </c>
      <c r="F8" s="298">
        <v>2</v>
      </c>
      <c r="G8" s="298">
        <v>4.5</v>
      </c>
      <c r="H8" s="298">
        <v>4.5</v>
      </c>
      <c r="I8" s="298">
        <v>1.0999999999999999E-2</v>
      </c>
      <c r="J8" s="298">
        <v>0.18</v>
      </c>
      <c r="K8" s="304">
        <f t="shared" ca="1" si="0"/>
        <v>0.42079264403125616</v>
      </c>
      <c r="L8" s="305">
        <f ca="1">倒虹管水头损失计算!C236</f>
        <v>0.26930729218000393</v>
      </c>
      <c r="M8" s="305">
        <f ca="1">倒虹管水头损失计算!D236</f>
        <v>0.42079264403125616</v>
      </c>
    </row>
    <row r="9" spans="3:13" x14ac:dyDescent="0.25">
      <c r="C9" s="206" t="s">
        <v>94</v>
      </c>
      <c r="D9" s="298">
        <v>0.12</v>
      </c>
      <c r="E9" s="298">
        <v>2</v>
      </c>
      <c r="F9" s="298">
        <v>2</v>
      </c>
      <c r="G9" s="298">
        <v>4.3</v>
      </c>
      <c r="H9" s="298">
        <v>4.3</v>
      </c>
      <c r="I9" s="298">
        <v>1.0999999999999999E-2</v>
      </c>
      <c r="J9" s="298">
        <v>0.12</v>
      </c>
      <c r="K9" s="304">
        <f t="shared" ca="1" si="0"/>
        <v>0.43068227428798622</v>
      </c>
      <c r="L9" s="305">
        <f ca="1">倒虹管水头损失计算!C294</f>
        <v>0.27563665554431116</v>
      </c>
      <c r="M9" s="305">
        <f ca="1">倒虹管水头损失计算!D294</f>
        <v>0.43068227428798622</v>
      </c>
    </row>
    <row r="10" spans="3:13" x14ac:dyDescent="0.25">
      <c r="C10" s="206" t="s">
        <v>95</v>
      </c>
      <c r="D10" s="298">
        <v>0.55000000000000004</v>
      </c>
      <c r="E10" s="298">
        <v>2</v>
      </c>
      <c r="F10" s="298">
        <v>2</v>
      </c>
      <c r="G10" s="298">
        <v>4</v>
      </c>
      <c r="H10" s="298">
        <v>4</v>
      </c>
      <c r="I10" s="300">
        <v>0.01</v>
      </c>
      <c r="J10" s="298">
        <v>0.55000000000000004</v>
      </c>
      <c r="K10" s="304">
        <f t="shared" ca="1" si="0"/>
        <v>0.63085047222617496</v>
      </c>
      <c r="L10" s="305">
        <f ca="1">倒虹管水头损失计算!C352</f>
        <v>0.40374430222475199</v>
      </c>
      <c r="M10" s="305">
        <f ca="1">倒虹管水头损失计算!D352</f>
        <v>0.63085047222617496</v>
      </c>
    </row>
    <row r="11" spans="3:13" x14ac:dyDescent="0.25">
      <c r="C11" s="206" t="s">
        <v>96</v>
      </c>
      <c r="D11" s="298">
        <v>0.73</v>
      </c>
      <c r="E11" s="298">
        <v>2</v>
      </c>
      <c r="F11" s="298">
        <v>2</v>
      </c>
      <c r="G11" s="298">
        <v>4</v>
      </c>
      <c r="H11" s="298">
        <v>4</v>
      </c>
      <c r="I11" s="300">
        <v>0.01</v>
      </c>
      <c r="J11" s="298">
        <v>0.73</v>
      </c>
      <c r="K11" s="304">
        <f t="shared" ca="1" si="0"/>
        <v>0.62990168653530965</v>
      </c>
      <c r="L11" s="305">
        <f ca="1">倒虹管水头损失计算!C410</f>
        <v>0.40313707938259818</v>
      </c>
      <c r="M11" s="305">
        <f ca="1">倒虹管水头损失计算!D410</f>
        <v>0.62990168653530965</v>
      </c>
    </row>
    <row r="12" spans="3:13" x14ac:dyDescent="0.25">
      <c r="C12" s="206" t="s">
        <v>97</v>
      </c>
      <c r="D12" s="298">
        <v>3.95</v>
      </c>
      <c r="E12" s="298">
        <v>2</v>
      </c>
      <c r="F12" s="300">
        <v>1.8</v>
      </c>
      <c r="G12" s="298">
        <v>4</v>
      </c>
      <c r="H12" s="298">
        <v>4</v>
      </c>
      <c r="I12" s="300">
        <v>0.01</v>
      </c>
      <c r="J12" s="206">
        <v>3.95</v>
      </c>
      <c r="K12" s="304">
        <f t="shared" ca="1" si="0"/>
        <v>3.4960573534913677</v>
      </c>
      <c r="L12" s="305">
        <f ca="1">倒虹管水头损失计算!C468</f>
        <v>2.2374767062344749</v>
      </c>
      <c r="M12" s="305">
        <f ca="1">倒虹管水头损失计算!D468</f>
        <v>3.4960573534913677</v>
      </c>
    </row>
    <row r="13" spans="3:13" x14ac:dyDescent="0.25">
      <c r="C13" s="206" t="s">
        <v>98</v>
      </c>
      <c r="D13" s="298">
        <v>0.89</v>
      </c>
      <c r="E13" s="298">
        <v>1.8</v>
      </c>
      <c r="F13" s="298">
        <v>1.8</v>
      </c>
      <c r="G13" s="298">
        <v>3.1</v>
      </c>
      <c r="H13" s="298">
        <v>3.1</v>
      </c>
      <c r="I13" s="300">
        <v>0.01</v>
      </c>
      <c r="J13" s="206">
        <v>0.89</v>
      </c>
      <c r="K13" s="304">
        <f t="shared" ca="1" si="0"/>
        <v>0.7622108635333027</v>
      </c>
      <c r="L13" s="305">
        <f ca="1">倒虹管水头损失计算!C526</f>
        <v>0.48781495266131397</v>
      </c>
      <c r="M13" s="305">
        <f ca="1">倒虹管水头损失计算!D526</f>
        <v>0.7622108635333027</v>
      </c>
    </row>
    <row r="14" spans="3:13" x14ac:dyDescent="0.25">
      <c r="C14" s="206" t="s">
        <v>99</v>
      </c>
      <c r="D14" s="298">
        <v>2.4</v>
      </c>
      <c r="E14" s="298">
        <v>1.6</v>
      </c>
      <c r="F14" s="298">
        <v>1.6</v>
      </c>
      <c r="G14" s="298">
        <v>3.1</v>
      </c>
      <c r="H14" s="300">
        <v>2.7</v>
      </c>
      <c r="I14" s="300">
        <v>0.01</v>
      </c>
      <c r="J14" s="206">
        <v>2.4</v>
      </c>
      <c r="K14" s="304">
        <f t="shared" ca="1" si="0"/>
        <v>1.9896833061844377</v>
      </c>
      <c r="L14" s="305">
        <f ca="1">倒虹管水头损失计算!C584</f>
        <v>1.2733973159580401</v>
      </c>
      <c r="M14" s="305">
        <f ca="1">倒虹管水头损失计算!D584</f>
        <v>1.9896833061844377</v>
      </c>
    </row>
    <row r="15" spans="3:13" x14ac:dyDescent="0.25">
      <c r="C15" s="206" t="s">
        <v>100</v>
      </c>
      <c r="D15" s="298">
        <v>0.48</v>
      </c>
      <c r="E15" s="298">
        <v>1.6</v>
      </c>
      <c r="F15" s="298">
        <v>1.6</v>
      </c>
      <c r="G15" s="298">
        <v>2.7</v>
      </c>
      <c r="H15" s="298">
        <v>2.7</v>
      </c>
      <c r="I15" s="300">
        <v>0.01</v>
      </c>
      <c r="J15" s="206">
        <v>0.48</v>
      </c>
      <c r="K15" s="304">
        <f t="shared" ca="1" si="0"/>
        <v>0.5744598497042096</v>
      </c>
      <c r="L15" s="305">
        <f ca="1">倒虹管水头损失计算!C660</f>
        <v>0.36765430381069414</v>
      </c>
      <c r="M15" s="305">
        <f ca="1">倒虹管水头损失计算!D660</f>
        <v>0.5744598497042096</v>
      </c>
    </row>
    <row r="16" spans="3:13" x14ac:dyDescent="0.25">
      <c r="C16" s="206" t="s">
        <v>101</v>
      </c>
      <c r="D16" s="298">
        <v>2.85</v>
      </c>
      <c r="E16" s="298">
        <v>1.6</v>
      </c>
      <c r="F16" s="298">
        <v>1.6</v>
      </c>
      <c r="G16" s="298">
        <v>2.7</v>
      </c>
      <c r="H16" s="300">
        <v>2.1</v>
      </c>
      <c r="I16" s="298">
        <v>1.0999999999999999E-2</v>
      </c>
      <c r="J16" s="298">
        <v>2.85</v>
      </c>
      <c r="K16" s="306">
        <f ca="1">M16+1.2</f>
        <v>2.7528444777619638</v>
      </c>
      <c r="L16" s="305">
        <f ca="1">倒虹管水头损失计算!C717</f>
        <v>0.99382046576765681</v>
      </c>
      <c r="M16" s="305">
        <f ca="1">倒虹管水头损失计算!D717</f>
        <v>1.5528444777619639</v>
      </c>
    </row>
    <row r="17" spans="3:13" x14ac:dyDescent="0.25">
      <c r="C17" s="206" t="s">
        <v>102</v>
      </c>
      <c r="D17" s="298">
        <v>0.12</v>
      </c>
      <c r="E17" s="298">
        <v>1.4</v>
      </c>
      <c r="F17" s="298">
        <v>1.4</v>
      </c>
      <c r="G17" s="298">
        <v>1.2</v>
      </c>
      <c r="H17" s="298">
        <v>1.2</v>
      </c>
      <c r="I17" s="298">
        <v>1.0999999999999999E-2</v>
      </c>
      <c r="J17" s="298">
        <v>0.12</v>
      </c>
      <c r="K17" s="304">
        <f ca="1">M17</f>
        <v>0.20261694697208638</v>
      </c>
      <c r="L17" s="305">
        <f ca="1">倒虹管水头损失计算!C809</f>
        <v>0.12967484606213528</v>
      </c>
      <c r="M17" s="305">
        <f ca="1">倒虹管水头损失计算!D809</f>
        <v>0.20261694697208638</v>
      </c>
    </row>
    <row r="18" spans="3:13" x14ac:dyDescent="0.25">
      <c r="C18" s="206" t="s">
        <v>103</v>
      </c>
      <c r="D18" s="298">
        <v>0.2</v>
      </c>
      <c r="E18" s="298">
        <v>1.4</v>
      </c>
      <c r="F18" s="298">
        <v>1.4</v>
      </c>
      <c r="G18" s="298">
        <v>1.2</v>
      </c>
      <c r="H18" s="298">
        <v>1.2</v>
      </c>
      <c r="I18" s="298">
        <v>1.0999999999999999E-2</v>
      </c>
      <c r="J18" s="298">
        <v>0.2</v>
      </c>
      <c r="K18" s="304">
        <f t="shared" ref="K18:K19" ca="1" si="1">M18</f>
        <v>0.26433008066372554</v>
      </c>
      <c r="L18" s="305">
        <f ca="1">倒虹管水头损失计算!C864</f>
        <v>0.16917125162478436</v>
      </c>
      <c r="M18" s="305">
        <f ca="1">倒虹管水头损失计算!D864</f>
        <v>0.26433008066372554</v>
      </c>
    </row>
    <row r="19" spans="3:13" x14ac:dyDescent="0.25">
      <c r="C19" s="206" t="s">
        <v>104</v>
      </c>
      <c r="D19" s="298">
        <v>0.12</v>
      </c>
      <c r="E19" s="298">
        <v>1.2</v>
      </c>
      <c r="F19" s="300">
        <v>1.4</v>
      </c>
      <c r="G19" s="298">
        <v>1.2</v>
      </c>
      <c r="H19" s="298">
        <v>1.2</v>
      </c>
      <c r="I19" s="298">
        <v>1.0999999999999999E-2</v>
      </c>
      <c r="J19" s="298">
        <v>0.12</v>
      </c>
      <c r="K19" s="304">
        <f t="shared" ca="1" si="1"/>
        <v>0.21679643586329214</v>
      </c>
      <c r="L19" s="305">
        <f ca="1">倒虹管水头损失计算!C919</f>
        <v>0.13874971895250698</v>
      </c>
      <c r="M19" s="305">
        <f ca="1">倒虹管水头损失计算!D919</f>
        <v>0.21679643586329214</v>
      </c>
    </row>
    <row r="20" spans="3:13" x14ac:dyDescent="0.25">
      <c r="C20" s="206" t="s">
        <v>105</v>
      </c>
      <c r="D20" s="298">
        <v>0.36</v>
      </c>
      <c r="E20" s="298">
        <v>1</v>
      </c>
      <c r="F20" s="298">
        <v>1</v>
      </c>
      <c r="G20" s="298">
        <v>1.23</v>
      </c>
      <c r="H20" s="300">
        <v>0.36</v>
      </c>
      <c r="I20" s="298">
        <v>1.0999999999999999E-2</v>
      </c>
      <c r="J20" s="298">
        <v>0.36</v>
      </c>
      <c r="K20" s="306">
        <f ca="1">M20+0.61</f>
        <v>0.84588306290890292</v>
      </c>
      <c r="L20" s="305">
        <f ca="1">倒虹管水头损失计算!C974</f>
        <v>0.12942829240543366</v>
      </c>
      <c r="M20" s="305">
        <f ca="1">倒虹管水头损失计算!D974</f>
        <v>0.23588306290890287</v>
      </c>
    </row>
    <row r="21" spans="3:13" ht="14.4" x14ac:dyDescent="0.25">
      <c r="C21" s="301" t="s">
        <v>106</v>
      </c>
      <c r="D21" s="298">
        <f>SUM(D5:D20)</f>
        <v>13.589999999999996</v>
      </c>
      <c r="E21" s="298"/>
      <c r="F21" s="298"/>
      <c r="G21" s="298"/>
      <c r="H21" s="298"/>
      <c r="I21" s="298">
        <v>1.0999999999999999E-2</v>
      </c>
      <c r="J21" s="305">
        <f>SUM(J5:J20)</f>
        <v>13.589999999999996</v>
      </c>
      <c r="K21" s="304">
        <f ca="1">SUM(K5:K20)</f>
        <v>14.81323139822384</v>
      </c>
      <c r="L21" s="305">
        <f ca="1">SUM(L5:L20)</f>
        <v>8.3005312270069922</v>
      </c>
      <c r="M21" s="305">
        <f ca="1">SUM(M5:M20)</f>
        <v>13.003231398223837</v>
      </c>
    </row>
  </sheetData>
  <mergeCells count="1">
    <mergeCell ref="C3:C4"/>
  </mergeCells>
  <phoneticPr fontId="3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B0F0"/>
  </sheetPr>
  <dimension ref="A2:O998"/>
  <sheetViews>
    <sheetView topLeftCell="A193" workbookViewId="0">
      <selection activeCell="C215" sqref="C215"/>
    </sheetView>
  </sheetViews>
  <sheetFormatPr defaultColWidth="9" defaultRowHeight="13.8" x14ac:dyDescent="0.25"/>
  <cols>
    <col min="1" max="1" width="16.6640625" style="226" customWidth="1"/>
    <col min="2" max="2" width="40" style="226" customWidth="1"/>
    <col min="3" max="3" width="15.44140625" style="227" customWidth="1"/>
    <col min="4" max="4" width="15.21875" style="227" customWidth="1"/>
    <col min="5" max="7" width="14.77734375" style="227" customWidth="1"/>
    <col min="8" max="8" width="36.109375" style="227" customWidth="1"/>
    <col min="9" max="9" width="9.5546875" style="227" customWidth="1"/>
    <col min="10" max="16384" width="9" style="227"/>
  </cols>
  <sheetData>
    <row r="2" spans="1:6" ht="14.4" x14ac:dyDescent="0.25">
      <c r="A2" s="228" t="s">
        <v>107</v>
      </c>
      <c r="B2" s="228" t="s">
        <v>108</v>
      </c>
    </row>
    <row r="3" spans="1:6" x14ac:dyDescent="0.25">
      <c r="A3" s="229">
        <v>1.25</v>
      </c>
      <c r="B3" s="229">
        <v>0.4</v>
      </c>
    </row>
    <row r="5" spans="1:6" x14ac:dyDescent="0.25">
      <c r="A5" s="228" t="s">
        <v>109</v>
      </c>
      <c r="B5" s="228" t="s">
        <v>110</v>
      </c>
      <c r="C5" s="228" t="s">
        <v>111</v>
      </c>
    </row>
    <row r="6" spans="1:6" x14ac:dyDescent="0.25">
      <c r="A6" s="228" t="s">
        <v>112</v>
      </c>
      <c r="B6" s="228" t="s">
        <v>77</v>
      </c>
      <c r="C6" s="230">
        <f>C7*A3</f>
        <v>5.5</v>
      </c>
    </row>
    <row r="7" spans="1:6" x14ac:dyDescent="0.25">
      <c r="A7" s="228" t="s">
        <v>113</v>
      </c>
      <c r="B7" s="228" t="s">
        <v>77</v>
      </c>
      <c r="C7" s="229">
        <v>4.4000000000000004</v>
      </c>
    </row>
    <row r="8" spans="1:6" x14ac:dyDescent="0.25">
      <c r="A8" s="228" t="s">
        <v>114</v>
      </c>
      <c r="B8" s="228" t="s">
        <v>77</v>
      </c>
      <c r="C8" s="231">
        <f>C7*B3</f>
        <v>1.7600000000000002</v>
      </c>
    </row>
    <row r="10" spans="1:6" x14ac:dyDescent="0.25">
      <c r="A10" s="394"/>
      <c r="B10" s="395"/>
      <c r="C10" s="228" t="s">
        <v>115</v>
      </c>
      <c r="D10" s="232" t="s">
        <v>116</v>
      </c>
      <c r="E10" s="232" t="s">
        <v>117</v>
      </c>
      <c r="F10" s="228" t="s">
        <v>118</v>
      </c>
    </row>
    <row r="11" spans="1:6" x14ac:dyDescent="0.25">
      <c r="A11" s="394" t="s">
        <v>119</v>
      </c>
      <c r="B11" s="395"/>
      <c r="C11" s="229">
        <v>2389.2600000000002</v>
      </c>
      <c r="D11" s="229">
        <v>2389.2600000000002</v>
      </c>
      <c r="E11" s="229">
        <v>2388.9499999999998</v>
      </c>
      <c r="F11" s="229">
        <v>2388.9499999999998</v>
      </c>
    </row>
    <row r="12" spans="1:6" x14ac:dyDescent="0.25">
      <c r="A12" s="394" t="s">
        <v>120</v>
      </c>
      <c r="B12" s="395"/>
      <c r="C12" s="229">
        <v>1.6</v>
      </c>
      <c r="D12" s="229">
        <v>3</v>
      </c>
      <c r="E12" s="229">
        <v>3</v>
      </c>
      <c r="F12" s="229">
        <v>1.2</v>
      </c>
    </row>
    <row r="13" spans="1:6" x14ac:dyDescent="0.25">
      <c r="A13" s="394" t="s">
        <v>121</v>
      </c>
      <c r="B13" s="395"/>
      <c r="C13" s="229">
        <v>1.2</v>
      </c>
      <c r="D13" s="229">
        <v>0</v>
      </c>
      <c r="E13" s="229">
        <v>0</v>
      </c>
      <c r="F13" s="229">
        <v>1.5</v>
      </c>
    </row>
    <row r="14" spans="1:6" x14ac:dyDescent="0.25">
      <c r="A14" s="392" t="s">
        <v>122</v>
      </c>
      <c r="B14" s="228" t="s">
        <v>112</v>
      </c>
      <c r="C14" s="229">
        <f>C11+1.712</f>
        <v>2390.9720000000002</v>
      </c>
      <c r="D14" s="230">
        <f>C14-C23</f>
        <v>2390.9492954144816</v>
      </c>
      <c r="E14" s="230">
        <f>F14-D23</f>
        <v>2390.6348948613163</v>
      </c>
      <c r="F14" s="229">
        <f>F11+1.703</f>
        <v>2390.6529999999998</v>
      </c>
    </row>
    <row r="15" spans="1:6" x14ac:dyDescent="0.25">
      <c r="A15" s="392"/>
      <c r="B15" s="228" t="s">
        <v>113</v>
      </c>
      <c r="C15" s="229">
        <f>C11+1.537</f>
        <v>2390.797</v>
      </c>
      <c r="D15" s="231">
        <f>C15-C25</f>
        <v>2390.7837872073283</v>
      </c>
      <c r="E15" s="231">
        <f>F15-D25</f>
        <v>2390.4805154517317</v>
      </c>
      <c r="F15" s="229">
        <f>F11+1.541</f>
        <v>2390.491</v>
      </c>
    </row>
    <row r="16" spans="1:6" x14ac:dyDescent="0.25">
      <c r="A16" s="392"/>
      <c r="B16" s="228" t="s">
        <v>114</v>
      </c>
      <c r="C16" s="229">
        <f>C11+2.044</f>
        <v>2391.3040000000001</v>
      </c>
      <c r="D16" s="231">
        <f>C16-C27</f>
        <v>2391.3019025965104</v>
      </c>
      <c r="E16" s="231">
        <f>F16-D27</f>
        <v>2390.9922965438186</v>
      </c>
      <c r="F16" s="229">
        <f>F11+2.044</f>
        <v>2390.9939999999997</v>
      </c>
    </row>
    <row r="17" spans="1:9" x14ac:dyDescent="0.25">
      <c r="A17" s="392" t="s">
        <v>123</v>
      </c>
      <c r="B17" s="228" t="s">
        <v>112</v>
      </c>
      <c r="C17" s="230">
        <f>C6/($C$12*(C14-$C$11)+$C$13*(C14-$C$11)^2)</f>
        <v>0.87910924431642379</v>
      </c>
      <c r="D17" s="230">
        <f>C6/($D$12*(D14-$D$11)+$D$13*(D14-$D$11)^2)</f>
        <v>1.0852650860335928</v>
      </c>
      <c r="E17" s="230">
        <f>C6/($E$12*(E14-$E$11)+$E$13*(E14-$E$11)^2)</f>
        <v>1.0880995458083793</v>
      </c>
      <c r="F17" s="230">
        <f>C6/($F$12*(F14-$F$11)+$F$13*(F14-$F$11)^2)</f>
        <v>0.86019305703778104</v>
      </c>
    </row>
    <row r="18" spans="1:9" x14ac:dyDescent="0.25">
      <c r="A18" s="392"/>
      <c r="B18" s="228" t="s">
        <v>113</v>
      </c>
      <c r="C18" s="231">
        <f>C7/($C$12*(C15-$C$11)+$C$13*(C15-$C$11)^2)</f>
        <v>0.83112286134159097</v>
      </c>
      <c r="D18" s="231">
        <f>C7/($D$12*(D15-$D$11)+$D$13*(D15-$D$11)^2)</f>
        <v>0.96251409620275297</v>
      </c>
      <c r="E18" s="231">
        <f>C7/($E$12*(E15-$E$11)+$E$13*(E15-$E$11)^2)</f>
        <v>0.9582828223047799</v>
      </c>
      <c r="F18" s="231">
        <f>C7/($F$12*(F15-$F$11)+$F$13*(F15-$F$11)^2)</f>
        <v>0.81312509569220337</v>
      </c>
    </row>
    <row r="19" spans="1:9" x14ac:dyDescent="0.25">
      <c r="A19" s="392"/>
      <c r="B19" s="228" t="s">
        <v>114</v>
      </c>
      <c r="C19" s="231">
        <f>C8/($C$12*(C16-$C$11)+$C$13*(C16-$C$11)^2)</f>
        <v>0.21245971956864368</v>
      </c>
      <c r="D19" s="231">
        <f>C8/($D$12*(D16-$D$11)+$D$13*(D16-$D$11)^2)</f>
        <v>0.28731373752564232</v>
      </c>
      <c r="E19" s="231">
        <f>C8/($E$12*(E16-$E$11)+$E$13*(E16-$E$11)^2)</f>
        <v>0.28725831635090893</v>
      </c>
      <c r="F19" s="231">
        <f>C8/($F$12*(F16-$F$11)+$F$13*(F16-$F$11)^2)</f>
        <v>0.20184171389306269</v>
      </c>
    </row>
    <row r="21" spans="1:9" x14ac:dyDescent="0.25">
      <c r="A21" s="392"/>
      <c r="B21" s="228"/>
      <c r="C21" s="228" t="s">
        <v>124</v>
      </c>
      <c r="D21" s="228" t="s">
        <v>125</v>
      </c>
    </row>
    <row r="22" spans="1:9" x14ac:dyDescent="0.25">
      <c r="A22" s="392"/>
      <c r="B22" s="228" t="s">
        <v>126</v>
      </c>
      <c r="C22" s="229">
        <v>0.1</v>
      </c>
      <c r="D22" s="229">
        <v>0.2</v>
      </c>
    </row>
    <row r="23" spans="1:9" x14ac:dyDescent="0.25">
      <c r="A23" s="393" t="s">
        <v>112</v>
      </c>
      <c r="B23" s="233" t="s">
        <v>127</v>
      </c>
      <c r="C23" s="233">
        <v>2.2704585518475099E-2</v>
      </c>
      <c r="D23" s="233">
        <v>1.8105138683469101E-2</v>
      </c>
    </row>
    <row r="24" spans="1:9" x14ac:dyDescent="0.25">
      <c r="A24" s="393"/>
      <c r="B24" s="233" t="s">
        <v>128</v>
      </c>
      <c r="C24" s="234">
        <f>(1+C22)*(D17^2-C17^2)/(2*9.81)</f>
        <v>2.2704585518501467E-2</v>
      </c>
      <c r="D24" s="235">
        <f>(1-$D$22)*(E17^2-F17^2)/(2*9.81)</f>
        <v>1.8105138683482083E-2</v>
      </c>
      <c r="F24" s="236">
        <f>C23-C24</f>
        <v>-2.6367796834847468E-14</v>
      </c>
      <c r="G24" s="236">
        <f>D23-D24</f>
        <v>-1.2982670494210424E-14</v>
      </c>
    </row>
    <row r="25" spans="1:9" x14ac:dyDescent="0.25">
      <c r="A25" s="392" t="s">
        <v>113</v>
      </c>
      <c r="B25" s="228" t="s">
        <v>127</v>
      </c>
      <c r="C25" s="237">
        <v>1.32127926716898E-2</v>
      </c>
      <c r="D25" s="237">
        <v>1.0484548268285E-2</v>
      </c>
      <c r="F25" s="238"/>
      <c r="G25" s="238"/>
    </row>
    <row r="26" spans="1:9" x14ac:dyDescent="0.25">
      <c r="A26" s="392"/>
      <c r="B26" s="228" t="s">
        <v>128</v>
      </c>
      <c r="C26" s="231">
        <f>(1+C22)*(D18^2-C18^2)/(2*9.81)</f>
        <v>1.3212792671702642E-2</v>
      </c>
      <c r="D26" s="231">
        <f>(1-$D$22)*(E18^2-F18^2)/(2*9.81)</f>
        <v>1.0484548268296005E-2</v>
      </c>
      <c r="F26" s="236">
        <f>C25-C26</f>
        <v>-1.2842157892656303E-14</v>
      </c>
      <c r="G26" s="236">
        <f>D25-D26</f>
        <v>-1.1005085731596864E-14</v>
      </c>
      <c r="I26" s="275"/>
    </row>
    <row r="27" spans="1:9" x14ac:dyDescent="0.25">
      <c r="A27" s="392" t="s">
        <v>114</v>
      </c>
      <c r="B27" s="228" t="s">
        <v>127</v>
      </c>
      <c r="C27" s="237">
        <v>2.0974034895477698E-3</v>
      </c>
      <c r="D27" s="237">
        <v>1.7034561812626901E-3</v>
      </c>
      <c r="F27" s="238"/>
      <c r="G27" s="238"/>
    </row>
    <row r="28" spans="1:9" x14ac:dyDescent="0.25">
      <c r="A28" s="392"/>
      <c r="B28" s="228" t="s">
        <v>128</v>
      </c>
      <c r="C28" s="231">
        <f>(1+C22)*(D19^2-C19^2)/(2*9.81)</f>
        <v>2.0974034895486072E-3</v>
      </c>
      <c r="D28" s="231">
        <f>(1-$D$22)*(E19^2-F19^2)/(2*9.81)</f>
        <v>1.7034561812627887E-3</v>
      </c>
      <c r="F28" s="236">
        <f>C27-C28</f>
        <v>-8.3743775802780362E-16</v>
      </c>
      <c r="G28" s="236">
        <f>D27-D28</f>
        <v>-9.8662397696180903E-17</v>
      </c>
    </row>
    <row r="29" spans="1:9" x14ac:dyDescent="0.25">
      <c r="A29" s="392" t="s">
        <v>129</v>
      </c>
      <c r="B29" s="228" t="s">
        <v>130</v>
      </c>
      <c r="C29" s="231">
        <f>ABS($C$22*(D17^2-C17^2)/(2*9.81))</f>
        <v>2.0640532289546787E-3</v>
      </c>
      <c r="D29" s="231">
        <f>ABS($D$22*(E17^2-F17^2)/(2*9.81))</f>
        <v>4.5262846708705208E-3</v>
      </c>
    </row>
    <row r="30" spans="1:9" x14ac:dyDescent="0.25">
      <c r="A30" s="392"/>
      <c r="B30" s="228" t="s">
        <v>131</v>
      </c>
      <c r="C30" s="231">
        <f>ABS($C$22*(D18^2-C18^2)/(2*9.81))</f>
        <v>1.2011629701547857E-3</v>
      </c>
      <c r="D30" s="231">
        <f>ABS($D$22*(E18^2-F18^2)/(2*9.81))</f>
        <v>2.6211370670740012E-3</v>
      </c>
    </row>
    <row r="31" spans="1:9" ht="14.4" x14ac:dyDescent="0.25">
      <c r="A31" s="392"/>
      <c r="B31" s="228" t="s">
        <v>132</v>
      </c>
      <c r="C31" s="231">
        <f>ABS($C$22*(D19^2-C19^2)/(2*9.81))</f>
        <v>1.9067304450441882E-4</v>
      </c>
      <c r="D31" s="231">
        <f>ABS($D$22*(E19^2-F19^2)/(2*9.81))</f>
        <v>4.2586404531569719E-4</v>
      </c>
      <c r="H31" s="239" t="s">
        <v>133</v>
      </c>
      <c r="I31" s="243">
        <f>0.12+0.4+0.12+0.18+0.12+0.55+0.73+3.95+0.89+2.4+0.48+2.85+0.12+0.2+0.12+0.36</f>
        <v>13.589999999999996</v>
      </c>
    </row>
    <row r="32" spans="1:9" ht="14.4" x14ac:dyDescent="0.25">
      <c r="C32" s="240"/>
      <c r="F32" s="241" t="s">
        <v>134</v>
      </c>
      <c r="G32" s="242">
        <v>1.0999999999999999E-2</v>
      </c>
      <c r="H32" s="243"/>
      <c r="I32" s="243"/>
    </row>
    <row r="33" spans="1:13" ht="14.4" x14ac:dyDescent="0.25">
      <c r="C33" s="240"/>
      <c r="F33" s="241"/>
      <c r="G33" s="242"/>
      <c r="H33" s="239" t="s">
        <v>135</v>
      </c>
      <c r="I33" s="276">
        <f ca="1">C62+C120+C178+C236+C294+C352+C410+C468+C526+C584+C660+C717+C809+C864+C919+C974</f>
        <v>8.3005312270069922</v>
      </c>
    </row>
    <row r="34" spans="1:13" ht="14.4" x14ac:dyDescent="0.25">
      <c r="A34" s="244" t="s">
        <v>136</v>
      </c>
      <c r="C34" s="240"/>
      <c r="H34" s="239" t="s">
        <v>137</v>
      </c>
      <c r="I34" s="276">
        <f ca="1">D62+D120+D178+D236+D294+D352+D410+D468+D526+D584+D660+D717+D809+D864+D919+D974</f>
        <v>13.003231398223837</v>
      </c>
    </row>
    <row r="35" spans="1:13" x14ac:dyDescent="0.25">
      <c r="A35" s="245" t="s">
        <v>138</v>
      </c>
      <c r="B35" s="246"/>
      <c r="C35" s="246"/>
      <c r="D35" s="246"/>
      <c r="E35" s="246"/>
      <c r="F35" s="246"/>
      <c r="G35" s="246"/>
      <c r="H35" s="246"/>
      <c r="I35" s="246"/>
      <c r="J35" s="246"/>
      <c r="K35" s="246"/>
      <c r="L35" s="246"/>
      <c r="M35" s="277"/>
    </row>
    <row r="36" spans="1:13" ht="14.4" x14ac:dyDescent="0.25">
      <c r="A36" s="247" t="s">
        <v>139</v>
      </c>
      <c r="B36" s="248"/>
      <c r="C36" s="249" t="s">
        <v>140</v>
      </c>
      <c r="D36" s="250" t="s">
        <v>141</v>
      </c>
      <c r="E36" s="249" t="s">
        <v>142</v>
      </c>
      <c r="F36" s="251"/>
      <c r="G36" s="251"/>
      <c r="J36" s="251"/>
      <c r="K36" s="251"/>
      <c r="L36" s="251"/>
      <c r="M36" s="278"/>
    </row>
    <row r="37" spans="1:13" ht="14.4" x14ac:dyDescent="0.25">
      <c r="A37" s="247"/>
      <c r="B37" s="248" t="s">
        <v>143</v>
      </c>
      <c r="C37" s="229">
        <v>4.5</v>
      </c>
      <c r="D37" s="252">
        <f>C37*1.25</f>
        <v>5.625</v>
      </c>
      <c r="E37" s="231">
        <f>C37*0.4</f>
        <v>1.8</v>
      </c>
      <c r="F37" s="251"/>
      <c r="G37" s="251"/>
      <c r="H37" s="251"/>
      <c r="I37" s="251"/>
      <c r="J37" s="251"/>
      <c r="K37" s="251"/>
      <c r="L37" s="251"/>
      <c r="M37" s="278"/>
    </row>
    <row r="38" spans="1:13" ht="14.4" x14ac:dyDescent="0.25">
      <c r="A38" s="247"/>
      <c r="B38" s="248" t="s">
        <v>144</v>
      </c>
      <c r="C38" s="253">
        <v>1</v>
      </c>
      <c r="D38" s="254">
        <f>C38</f>
        <v>1</v>
      </c>
      <c r="E38" s="255">
        <f>D38</f>
        <v>1</v>
      </c>
      <c r="F38" s="251"/>
      <c r="G38" s="251"/>
      <c r="H38" s="251"/>
      <c r="I38" s="251"/>
      <c r="J38" s="251"/>
      <c r="K38" s="251"/>
      <c r="L38" s="251"/>
      <c r="M38" s="278"/>
    </row>
    <row r="39" spans="1:13" ht="14.4" x14ac:dyDescent="0.25">
      <c r="A39" s="247"/>
      <c r="B39" s="248" t="s">
        <v>145</v>
      </c>
      <c r="C39" s="231">
        <f>C37/C38</f>
        <v>4.5</v>
      </c>
      <c r="D39" s="252">
        <f>D37/D38</f>
        <v>5.625</v>
      </c>
      <c r="E39" s="231">
        <f>E37/E38</f>
        <v>1.8</v>
      </c>
      <c r="F39" s="251"/>
      <c r="G39" s="251"/>
      <c r="H39" s="251"/>
      <c r="I39" s="251"/>
      <c r="J39" s="251"/>
      <c r="K39" s="251"/>
      <c r="L39" s="251"/>
      <c r="M39" s="278"/>
    </row>
    <row r="40" spans="1:13" ht="14.4" x14ac:dyDescent="0.25">
      <c r="A40" s="247"/>
      <c r="B40" s="248" t="s">
        <v>146</v>
      </c>
      <c r="C40" s="256">
        <v>190</v>
      </c>
      <c r="D40" s="252">
        <f t="shared" ref="D40:E42" si="0">C40</f>
        <v>190</v>
      </c>
      <c r="E40" s="231">
        <f t="shared" si="0"/>
        <v>190</v>
      </c>
      <c r="F40" s="251"/>
      <c r="G40" s="251"/>
      <c r="H40" s="251"/>
      <c r="I40" s="251"/>
      <c r="J40" s="251"/>
      <c r="K40" s="251"/>
      <c r="L40" s="251"/>
      <c r="M40" s="278"/>
    </row>
    <row r="41" spans="1:13" ht="14.4" x14ac:dyDescent="0.25">
      <c r="A41" s="247"/>
      <c r="B41" s="248" t="s">
        <v>134</v>
      </c>
      <c r="C41" s="257">
        <v>0.01</v>
      </c>
      <c r="D41" s="258">
        <f t="shared" si="0"/>
        <v>0.01</v>
      </c>
      <c r="E41" s="258">
        <f t="shared" si="0"/>
        <v>0.01</v>
      </c>
      <c r="F41" s="251"/>
      <c r="G41" s="251"/>
      <c r="H41" s="251"/>
      <c r="I41" s="251"/>
      <c r="J41" s="251"/>
      <c r="K41" s="251"/>
      <c r="L41" s="251"/>
      <c r="M41" s="278"/>
    </row>
    <row r="42" spans="1:13" ht="14.4" x14ac:dyDescent="0.25">
      <c r="A42" s="247"/>
      <c r="B42" s="248" t="s">
        <v>147</v>
      </c>
      <c r="C42" s="229">
        <v>2</v>
      </c>
      <c r="D42" s="252">
        <f t="shared" si="0"/>
        <v>2</v>
      </c>
      <c r="E42" s="231">
        <f t="shared" si="0"/>
        <v>2</v>
      </c>
      <c r="F42" s="251"/>
      <c r="G42" s="251"/>
      <c r="H42" s="251"/>
      <c r="I42" s="251"/>
      <c r="J42" s="251"/>
      <c r="K42" s="251"/>
      <c r="L42" s="251"/>
      <c r="M42" s="278"/>
    </row>
    <row r="43" spans="1:13" ht="14.4" x14ac:dyDescent="0.25">
      <c r="A43" s="247"/>
      <c r="B43" s="248" t="s">
        <v>148</v>
      </c>
      <c r="C43" s="252">
        <f>4*C39/(C42^2*PI())</f>
        <v>1.432394487827058</v>
      </c>
      <c r="D43" s="252">
        <f>4*D39/(D42^2*PI())</f>
        <v>1.7904931097838226</v>
      </c>
      <c r="E43" s="252">
        <f>4*E39/(E42^2*PI())</f>
        <v>0.57295779513082323</v>
      </c>
      <c r="F43" s="251"/>
      <c r="G43" s="251"/>
      <c r="H43" s="251"/>
      <c r="I43" s="251"/>
      <c r="J43" s="251"/>
      <c r="K43" s="251"/>
      <c r="L43" s="251"/>
      <c r="M43" s="278"/>
    </row>
    <row r="44" spans="1:13" ht="14.4" x14ac:dyDescent="0.25">
      <c r="A44" s="247"/>
      <c r="B44" s="248" t="s">
        <v>149</v>
      </c>
      <c r="C44" s="231">
        <f>C39/C43</f>
        <v>3.1415926535897931</v>
      </c>
      <c r="D44" s="252">
        <f>D39/D43</f>
        <v>3.1415926535897931</v>
      </c>
      <c r="E44" s="231">
        <f>E39/E43</f>
        <v>3.1415926535897931</v>
      </c>
      <c r="F44" s="251"/>
      <c r="G44" s="251"/>
      <c r="H44" s="251"/>
      <c r="I44" s="251"/>
      <c r="J44" s="251"/>
      <c r="K44" s="251"/>
      <c r="L44" s="251"/>
      <c r="M44" s="278"/>
    </row>
    <row r="45" spans="1:13" ht="14.4" x14ac:dyDescent="0.25">
      <c r="A45" s="247" t="s">
        <v>150</v>
      </c>
      <c r="B45" s="248"/>
      <c r="C45" s="248"/>
      <c r="D45" s="259"/>
      <c r="E45" s="248"/>
      <c r="F45" s="251"/>
      <c r="G45" s="389" t="s">
        <v>151</v>
      </c>
      <c r="H45" s="390"/>
      <c r="I45" s="390"/>
      <c r="J45" s="390"/>
      <c r="K45" s="391"/>
      <c r="L45" s="251"/>
      <c r="M45" s="278"/>
    </row>
    <row r="46" spans="1:13" ht="14.4" x14ac:dyDescent="0.25">
      <c r="A46" s="247" t="s">
        <v>152</v>
      </c>
      <c r="B46" s="248" t="s">
        <v>153</v>
      </c>
      <c r="C46" s="231">
        <f>C42/4</f>
        <v>0.5</v>
      </c>
      <c r="D46" s="252">
        <f>D42/4</f>
        <v>0.5</v>
      </c>
      <c r="E46" s="231">
        <f>E42/4</f>
        <v>0.5</v>
      </c>
      <c r="F46" s="251"/>
      <c r="G46" s="381" t="s">
        <v>154</v>
      </c>
      <c r="H46" s="260" t="s">
        <v>155</v>
      </c>
      <c r="I46" s="261" t="s">
        <v>156</v>
      </c>
      <c r="J46" s="261" t="s">
        <v>157</v>
      </c>
      <c r="K46" s="279" t="s">
        <v>158</v>
      </c>
      <c r="L46" s="251"/>
      <c r="M46" s="278"/>
    </row>
    <row r="47" spans="1:13" ht="16.8" x14ac:dyDescent="0.25">
      <c r="A47" s="247"/>
      <c r="B47" s="248" t="s">
        <v>159</v>
      </c>
      <c r="C47" s="231">
        <f>C46^(1/6)/C41</f>
        <v>89.089871814033927</v>
      </c>
      <c r="D47" s="252">
        <f>D46^(1/6)/D41</f>
        <v>89.089871814033927</v>
      </c>
      <c r="E47" s="231">
        <f>E46^(1/6)/E41</f>
        <v>89.089871814033927</v>
      </c>
      <c r="F47" s="251"/>
      <c r="G47" s="382"/>
      <c r="H47" s="261" t="s">
        <v>160</v>
      </c>
      <c r="I47" s="261" t="s">
        <v>161</v>
      </c>
      <c r="J47" s="261" t="s">
        <v>162</v>
      </c>
      <c r="K47" s="279" t="s">
        <v>163</v>
      </c>
      <c r="L47" s="251"/>
      <c r="M47" s="278"/>
    </row>
    <row r="48" spans="1:13" ht="16.8" x14ac:dyDescent="0.25">
      <c r="A48" s="247"/>
      <c r="B48" s="248" t="s">
        <v>164</v>
      </c>
      <c r="C48" s="231">
        <f>8*9.81/C47^2</f>
        <v>9.8878603995749669E-3</v>
      </c>
      <c r="D48" s="252">
        <f>8*9.81/D47^2</f>
        <v>9.8878603995749669E-3</v>
      </c>
      <c r="E48" s="231">
        <f>8*9.81/E47^2</f>
        <v>9.8878603995749669E-3</v>
      </c>
      <c r="F48" s="251"/>
      <c r="G48" s="262" t="s">
        <v>165</v>
      </c>
      <c r="H48" s="263">
        <f>C44</f>
        <v>3.1415926535897931</v>
      </c>
      <c r="I48" s="263">
        <f>I54*I55</f>
        <v>9.7799999999999994</v>
      </c>
      <c r="J48" s="263">
        <f>H48/I48</f>
        <v>0.32122624269834288</v>
      </c>
      <c r="K48" s="280">
        <f ca="1">TREND(OFFSET($L$51,MATCH(J48,$K$52:$K$60),0,2,1),OFFSET($K$51,MATCH(J48,$K$52:$K$60),0,2,1),J48)</f>
        <v>0.39150950292066289</v>
      </c>
      <c r="L48" s="251"/>
      <c r="M48" s="278"/>
    </row>
    <row r="49" spans="1:15" ht="16.8" x14ac:dyDescent="0.25">
      <c r="A49" s="247"/>
      <c r="B49" s="248" t="s">
        <v>166</v>
      </c>
      <c r="C49" s="231">
        <f>C48*C40*C43^2/(4*C46*2*9.81)</f>
        <v>9.8231824548823399E-2</v>
      </c>
      <c r="D49" s="252">
        <f>D48*D40*D43^2/(4*D46*2*9.81)</f>
        <v>0.15348722585753657</v>
      </c>
      <c r="E49" s="231">
        <f>E48*E40*E43^2/(4*E46*2*9.81)</f>
        <v>1.5717091927811743E-2</v>
      </c>
      <c r="F49" s="251"/>
      <c r="G49" s="251"/>
      <c r="H49" s="251"/>
      <c r="I49" s="251"/>
      <c r="J49" s="251"/>
      <c r="K49" s="251"/>
      <c r="L49" s="251"/>
      <c r="M49" s="278"/>
      <c r="O49" s="281">
        <f>0.4-(0.4-0.36)/0.1*(J48-0.3)</f>
        <v>0.39150950292066283</v>
      </c>
    </row>
    <row r="50" spans="1:15" ht="14.4" x14ac:dyDescent="0.25">
      <c r="A50" s="247" t="s">
        <v>167</v>
      </c>
      <c r="B50" s="248" t="s">
        <v>168</v>
      </c>
      <c r="C50" s="264">
        <v>0.25</v>
      </c>
      <c r="D50" s="252">
        <f t="shared" ref="D50:E55" si="1">C50</f>
        <v>0.25</v>
      </c>
      <c r="E50" s="231">
        <f t="shared" si="1"/>
        <v>0.25</v>
      </c>
      <c r="F50" s="251"/>
      <c r="G50" s="251"/>
      <c r="H50" s="251"/>
      <c r="I50" s="251"/>
      <c r="J50" s="251"/>
      <c r="K50" s="251"/>
      <c r="L50" s="251"/>
      <c r="M50" s="278"/>
    </row>
    <row r="51" spans="1:15" ht="15.6" customHeight="1" x14ac:dyDescent="0.25">
      <c r="A51" s="247"/>
      <c r="B51" s="248" t="s">
        <v>169</v>
      </c>
      <c r="C51" s="264">
        <f>0.1*2</f>
        <v>0.2</v>
      </c>
      <c r="D51" s="252">
        <f t="shared" si="1"/>
        <v>0.2</v>
      </c>
      <c r="E51" s="231">
        <f t="shared" si="1"/>
        <v>0.2</v>
      </c>
      <c r="F51" s="251"/>
      <c r="G51" s="383" t="s">
        <v>170</v>
      </c>
      <c r="H51" s="265" t="s">
        <v>171</v>
      </c>
      <c r="I51" s="282"/>
      <c r="J51" s="251"/>
      <c r="K51" s="238" t="s">
        <v>162</v>
      </c>
      <c r="L51" s="238" t="s">
        <v>163</v>
      </c>
      <c r="M51" s="278"/>
    </row>
    <row r="52" spans="1:15" ht="15.6" x14ac:dyDescent="0.25">
      <c r="A52" s="247"/>
      <c r="B52" s="248" t="s">
        <v>172</v>
      </c>
      <c r="C52" s="264">
        <v>0.02</v>
      </c>
      <c r="D52" s="252">
        <f t="shared" si="1"/>
        <v>0.02</v>
      </c>
      <c r="E52" s="231">
        <f t="shared" si="1"/>
        <v>0.02</v>
      </c>
      <c r="F52" s="251"/>
      <c r="G52" s="384"/>
      <c r="H52" s="266" t="s">
        <v>173</v>
      </c>
      <c r="I52" s="283">
        <v>1.76</v>
      </c>
      <c r="J52" s="251"/>
      <c r="K52" s="238">
        <v>0.1</v>
      </c>
      <c r="L52" s="238">
        <v>0.81</v>
      </c>
      <c r="M52" s="278"/>
    </row>
    <row r="53" spans="1:15" ht="16.2" x14ac:dyDescent="0.25">
      <c r="A53" s="247"/>
      <c r="B53" s="248" t="s">
        <v>174</v>
      </c>
      <c r="C53" s="264">
        <v>0.1</v>
      </c>
      <c r="D53" s="252">
        <f t="shared" si="1"/>
        <v>0.1</v>
      </c>
      <c r="E53" s="231">
        <f t="shared" si="1"/>
        <v>0.1</v>
      </c>
      <c r="F53" s="251"/>
      <c r="G53" s="384"/>
      <c r="H53" s="266" t="s">
        <v>175</v>
      </c>
      <c r="I53" s="284"/>
      <c r="J53" s="251"/>
      <c r="K53" s="238">
        <v>0.2</v>
      </c>
      <c r="L53" s="238">
        <v>0.64</v>
      </c>
      <c r="M53" s="278"/>
    </row>
    <row r="54" spans="1:15" ht="15.6" x14ac:dyDescent="0.25">
      <c r="A54" s="247"/>
      <c r="B54" s="248" t="s">
        <v>176</v>
      </c>
      <c r="C54" s="264">
        <v>80</v>
      </c>
      <c r="D54" s="252">
        <f t="shared" si="1"/>
        <v>80</v>
      </c>
      <c r="E54" s="231">
        <f t="shared" si="1"/>
        <v>80</v>
      </c>
      <c r="F54" s="251"/>
      <c r="G54" s="384"/>
      <c r="H54" s="266" t="s">
        <v>177</v>
      </c>
      <c r="I54" s="283">
        <f>I52+1.5</f>
        <v>3.26</v>
      </c>
      <c r="J54" s="251"/>
      <c r="K54" s="238">
        <v>0.3</v>
      </c>
      <c r="L54" s="238">
        <v>0.4</v>
      </c>
      <c r="M54" s="278"/>
    </row>
    <row r="55" spans="1:15" ht="15.6" x14ac:dyDescent="0.25">
      <c r="A55" s="247"/>
      <c r="B55" s="248" t="s">
        <v>178</v>
      </c>
      <c r="C55" s="264">
        <v>1.83</v>
      </c>
      <c r="D55" s="252">
        <f t="shared" si="1"/>
        <v>1.83</v>
      </c>
      <c r="E55" s="231">
        <f t="shared" si="1"/>
        <v>1.83</v>
      </c>
      <c r="F55" s="251"/>
      <c r="G55" s="384"/>
      <c r="H55" s="266" t="s">
        <v>179</v>
      </c>
      <c r="I55" s="283">
        <v>3</v>
      </c>
      <c r="K55" s="238">
        <v>0.4</v>
      </c>
      <c r="L55" s="238">
        <v>0.36</v>
      </c>
      <c r="M55" s="278"/>
    </row>
    <row r="56" spans="1:15" ht="16.8" x14ac:dyDescent="0.25">
      <c r="A56" s="247"/>
      <c r="B56" s="248" t="s">
        <v>180</v>
      </c>
      <c r="C56" s="231">
        <f>C55*(C52/C53)^(4/3)*SIN(C54/180*PI())</f>
        <v>0.21078637878092679</v>
      </c>
      <c r="D56" s="252">
        <f>D55*(D52/D53)^(4/3)*SIN(D54/180*PI())</f>
        <v>0.21078637878092679</v>
      </c>
      <c r="E56" s="231">
        <f>E55*(E52/E53)^(4/3)*SIN(E54/180*PI())</f>
        <v>0.21078637878092679</v>
      </c>
      <c r="F56" s="251"/>
      <c r="G56" s="384"/>
      <c r="H56" s="266" t="s">
        <v>181</v>
      </c>
      <c r="I56" s="284"/>
      <c r="K56" s="238">
        <v>0.5</v>
      </c>
      <c r="L56" s="238">
        <v>0.25</v>
      </c>
      <c r="M56" s="278"/>
    </row>
    <row r="57" spans="1:15" ht="15.6" x14ac:dyDescent="0.25">
      <c r="A57" s="247"/>
      <c r="B57" s="247" t="s">
        <v>182</v>
      </c>
      <c r="C57" s="231">
        <f ca="1">H89</f>
        <v>0.93209519000000007</v>
      </c>
      <c r="D57" s="252">
        <f t="shared" ref="D57:E59" ca="1" si="2">C57</f>
        <v>0.93209519000000007</v>
      </c>
      <c r="E57" s="231">
        <f t="shared" ca="1" si="2"/>
        <v>0.93209519000000007</v>
      </c>
      <c r="F57" s="251"/>
      <c r="G57" s="384"/>
      <c r="H57" s="266" t="s">
        <v>183</v>
      </c>
      <c r="I57" s="284"/>
      <c r="K57" s="238">
        <v>0.6</v>
      </c>
      <c r="L57" s="238">
        <v>0.16</v>
      </c>
      <c r="M57" s="278"/>
    </row>
    <row r="58" spans="1:15" ht="16.2" x14ac:dyDescent="0.25">
      <c r="A58" s="247"/>
      <c r="B58" s="247" t="s">
        <v>184</v>
      </c>
      <c r="C58" s="264">
        <f ca="1">K48</f>
        <v>0.39150950292066289</v>
      </c>
      <c r="D58" s="252">
        <f t="shared" ca="1" si="2"/>
        <v>0.39150950292066289</v>
      </c>
      <c r="E58" s="231">
        <f t="shared" ca="1" si="2"/>
        <v>0.39150950292066289</v>
      </c>
      <c r="F58" s="251"/>
      <c r="G58" s="385"/>
      <c r="H58" s="266" t="s">
        <v>185</v>
      </c>
      <c r="I58" s="284"/>
      <c r="K58" s="238">
        <v>0.7</v>
      </c>
      <c r="L58" s="238">
        <v>0.09</v>
      </c>
      <c r="M58" s="278"/>
    </row>
    <row r="59" spans="1:15" ht="16.2" x14ac:dyDescent="0.25">
      <c r="A59" s="247"/>
      <c r="B59" s="248" t="s">
        <v>186</v>
      </c>
      <c r="C59" s="264">
        <f>0.1*1</f>
        <v>0.1</v>
      </c>
      <c r="D59" s="252">
        <f t="shared" si="2"/>
        <v>0.1</v>
      </c>
      <c r="E59" s="231">
        <f t="shared" si="2"/>
        <v>0.1</v>
      </c>
      <c r="F59" s="251"/>
      <c r="G59" s="386"/>
      <c r="H59" s="267" t="s">
        <v>187</v>
      </c>
      <c r="I59" s="285"/>
      <c r="J59" s="251"/>
      <c r="K59" s="238">
        <v>0.8</v>
      </c>
      <c r="L59" s="238">
        <v>0.04</v>
      </c>
      <c r="M59" s="278"/>
    </row>
    <row r="60" spans="1:15" ht="14.4" x14ac:dyDescent="0.25">
      <c r="A60" s="247"/>
      <c r="B60" s="248" t="s">
        <v>188</v>
      </c>
      <c r="C60" s="231">
        <f ca="1">C59+C56+C51+C50+C58+C57</f>
        <v>2.0843910717015897</v>
      </c>
      <c r="D60" s="252">
        <f ca="1">D59+D56+D51+D50+D58+D57</f>
        <v>2.0843910717015897</v>
      </c>
      <c r="E60" s="231">
        <f ca="1">E59+E56+E51+E50+E58+E57</f>
        <v>2.0843910717015897</v>
      </c>
      <c r="F60" s="251"/>
      <c r="G60" s="251"/>
      <c r="H60" s="251"/>
      <c r="I60" s="251"/>
      <c r="J60" s="251"/>
      <c r="K60" s="238">
        <v>0.9</v>
      </c>
      <c r="L60" s="238">
        <v>0.01</v>
      </c>
      <c r="M60" s="278"/>
    </row>
    <row r="61" spans="1:15" ht="16.8" x14ac:dyDescent="0.25">
      <c r="A61" s="247"/>
      <c r="B61" s="248" t="s">
        <v>189</v>
      </c>
      <c r="C61" s="231">
        <f ca="1">C60*C43^2/2/9.81</f>
        <v>0.21797439621845574</v>
      </c>
      <c r="D61" s="252">
        <f ca="1">D60*D43^2/2/9.81</f>
        <v>0.34058499409133708</v>
      </c>
      <c r="E61" s="231">
        <f ca="1">E60*E43^2/2/9.81</f>
        <v>3.4875903394952917E-2</v>
      </c>
      <c r="F61" s="251"/>
      <c r="G61" s="251"/>
      <c r="H61" s="251"/>
      <c r="I61" s="251"/>
      <c r="J61" s="251"/>
      <c r="K61" s="251"/>
      <c r="L61" s="251"/>
      <c r="M61" s="278"/>
    </row>
    <row r="62" spans="1:15" ht="14.4" x14ac:dyDescent="0.25">
      <c r="A62" s="268" t="s">
        <v>190</v>
      </c>
      <c r="B62" s="269" t="s">
        <v>191</v>
      </c>
      <c r="C62" s="270">
        <f ca="1">C49+C61</f>
        <v>0.31620622076727911</v>
      </c>
      <c r="D62" s="270">
        <f ca="1">D49+D61</f>
        <v>0.49407221994887363</v>
      </c>
      <c r="E62" s="271">
        <f ca="1">E49+E61</f>
        <v>5.0592995322764664E-2</v>
      </c>
      <c r="F62" s="251"/>
      <c r="G62" s="272" t="s">
        <v>192</v>
      </c>
      <c r="H62" s="241">
        <f>0.12</f>
        <v>0.12</v>
      </c>
      <c r="I62" s="251"/>
      <c r="J62" s="251"/>
      <c r="K62" s="251"/>
      <c r="L62" s="251"/>
      <c r="M62" s="278"/>
    </row>
    <row r="63" spans="1:15" ht="14.4" x14ac:dyDescent="0.25">
      <c r="A63" s="273" t="s">
        <v>193</v>
      </c>
      <c r="B63" s="274"/>
      <c r="C63" s="231">
        <f ca="1">C62+(C43^2-D18^2)/(2*9.81)</f>
        <v>0.37356200992978356</v>
      </c>
      <c r="D63" s="252">
        <f ca="1">D62+(D43^2-D17^2)/(2*9.81)</f>
        <v>0.59743946098964029</v>
      </c>
      <c r="E63" s="231">
        <f ca="1">E62+(E43^2-D19^2)/(2*9.81)</f>
        <v>6.3117534121450727E-2</v>
      </c>
      <c r="F63" s="251"/>
      <c r="G63" s="251"/>
      <c r="H63" s="251"/>
      <c r="I63" s="251"/>
      <c r="J63" s="251"/>
      <c r="K63" s="251"/>
      <c r="L63" s="251"/>
      <c r="M63" s="278"/>
    </row>
    <row r="64" spans="1:15" ht="14.4" x14ac:dyDescent="0.25">
      <c r="A64" s="273" t="s">
        <v>194</v>
      </c>
      <c r="B64" s="274"/>
      <c r="C64" s="231">
        <f ca="1">C63+C26-D26</f>
        <v>0.37629025433319024</v>
      </c>
      <c r="D64" s="252">
        <f ca="1">D63+C24-D24</f>
        <v>0.60203890782465974</v>
      </c>
      <c r="E64" s="231">
        <f ca="1">E63+C28-D28</f>
        <v>6.3511481429736547E-2</v>
      </c>
      <c r="F64" s="251"/>
      <c r="G64" s="251"/>
      <c r="H64" s="251"/>
      <c r="I64" s="251"/>
      <c r="J64" s="251"/>
      <c r="K64" s="251"/>
      <c r="L64" s="251"/>
      <c r="M64" s="278"/>
    </row>
    <row r="65" spans="1:13" x14ac:dyDescent="0.25">
      <c r="A65" s="286"/>
      <c r="B65" s="287"/>
      <c r="C65" s="251"/>
      <c r="D65" s="251"/>
      <c r="E65" s="251"/>
      <c r="F65" s="251"/>
      <c r="G65" s="251"/>
      <c r="H65" s="251"/>
      <c r="I65" s="251"/>
      <c r="J65" s="251"/>
      <c r="K65" s="251"/>
      <c r="L65" s="251"/>
      <c r="M65" s="278"/>
    </row>
    <row r="66" spans="1:13" ht="18" x14ac:dyDescent="0.4">
      <c r="A66" s="288"/>
      <c r="B66" s="289" t="s">
        <v>26</v>
      </c>
      <c r="C66" s="289" t="s">
        <v>195</v>
      </c>
      <c r="D66" s="289" t="s">
        <v>196</v>
      </c>
      <c r="E66" s="289" t="s">
        <v>197</v>
      </c>
      <c r="F66" s="289" t="s">
        <v>198</v>
      </c>
      <c r="G66" s="289" t="s">
        <v>199</v>
      </c>
      <c r="H66" s="289" t="s">
        <v>200</v>
      </c>
      <c r="I66" s="251"/>
      <c r="J66" s="289" t="s">
        <v>201</v>
      </c>
      <c r="K66" s="289" t="s">
        <v>202</v>
      </c>
      <c r="L66" s="289" t="s">
        <v>197</v>
      </c>
      <c r="M66" s="292" t="s">
        <v>199</v>
      </c>
    </row>
    <row r="67" spans="1:13" x14ac:dyDescent="0.25">
      <c r="A67" s="288">
        <v>1</v>
      </c>
      <c r="B67" s="264">
        <v>10</v>
      </c>
      <c r="C67" s="290">
        <f>C42</f>
        <v>2</v>
      </c>
      <c r="D67" s="290">
        <f>B67/C67</f>
        <v>5</v>
      </c>
      <c r="E67" s="264">
        <v>10.557</v>
      </c>
      <c r="F67" s="290">
        <f ca="1">TREND(OFFSET($K$66,MATCH(D67,$J$67:$J$79),0,2,1),OFFSET($J$66,MATCH(D67,$J$67:$J$79),0,2,1),D67)</f>
        <v>0.28999999999999998</v>
      </c>
      <c r="G67" s="290">
        <f ca="1">TREND(OFFSET($M$66,MATCH(E67,$L$67:$L$80),0,2,1),OFFSET($L$66,MATCH(E67,$L$67:$L$80),0,2,1),E67)</f>
        <v>0.23946900000000002</v>
      </c>
      <c r="H67" s="290">
        <f ca="1">F67*G67</f>
        <v>6.9446010000000002E-2</v>
      </c>
      <c r="I67" s="251"/>
      <c r="J67" s="289">
        <v>0.5</v>
      </c>
      <c r="K67" s="289">
        <v>1.2</v>
      </c>
      <c r="L67" s="289">
        <v>0</v>
      </c>
      <c r="M67" s="292">
        <v>0</v>
      </c>
    </row>
    <row r="68" spans="1:13" x14ac:dyDescent="0.25">
      <c r="A68" s="288">
        <v>2</v>
      </c>
      <c r="B68" s="264">
        <v>10</v>
      </c>
      <c r="C68" s="290">
        <f>C67</f>
        <v>2</v>
      </c>
      <c r="D68" s="290">
        <f>B68/C68</f>
        <v>5</v>
      </c>
      <c r="E68" s="264">
        <v>9.4649999999999999</v>
      </c>
      <c r="F68" s="290">
        <f ca="1">TREND(OFFSET($K$66,MATCH(D68,$J$67:$J$79),0,2,1),OFFSET($J$66,MATCH(D68,$J$67:$J$79),0,2,1),D68)</f>
        <v>0.28999999999999998</v>
      </c>
      <c r="G68" s="290">
        <f t="shared" ref="G68:G74" ca="1" si="3">TREND(OFFSET($M$66,MATCH(E68,$L$67:$L$79),0,2,1),OFFSET($L$66,MATCH(E68,$L$67:$L$79),0,2,1),E68)</f>
        <v>0.21876499999999999</v>
      </c>
      <c r="H68" s="290">
        <f ca="1">F68*G68</f>
        <v>6.3441849999999994E-2</v>
      </c>
      <c r="I68" s="251"/>
      <c r="J68" s="289">
        <v>1</v>
      </c>
      <c r="K68" s="289">
        <v>0.8</v>
      </c>
      <c r="L68" s="289">
        <v>5</v>
      </c>
      <c r="M68" s="292">
        <v>0.125</v>
      </c>
    </row>
    <row r="69" spans="1:13" x14ac:dyDescent="0.25">
      <c r="A69" s="288">
        <v>3</v>
      </c>
      <c r="B69" s="264">
        <v>10</v>
      </c>
      <c r="C69" s="290">
        <f>C68</f>
        <v>2</v>
      </c>
      <c r="D69" s="290">
        <f>B69/C69</f>
        <v>5</v>
      </c>
      <c r="E69" s="264">
        <v>14.398999999999999</v>
      </c>
      <c r="F69" s="290">
        <f ca="1">TREND(OFFSET($K$66,MATCH(D69,$J$67:$J$79),0,2,1),OFFSET($J$66,MATCH(D69,$J$67:$J$79),0,2,1),D69)</f>
        <v>0.28999999999999998</v>
      </c>
      <c r="G69" s="290">
        <f t="shared" ca="1" si="3"/>
        <v>0.30478300000000003</v>
      </c>
      <c r="H69" s="290">
        <f ca="1">F69*G69</f>
        <v>8.8387069999999998E-2</v>
      </c>
      <c r="I69" s="251"/>
      <c r="J69" s="289">
        <v>1.5</v>
      </c>
      <c r="K69" s="289">
        <v>0.6</v>
      </c>
      <c r="L69" s="289">
        <v>10</v>
      </c>
      <c r="M69" s="292">
        <v>0.23</v>
      </c>
    </row>
    <row r="70" spans="1:13" x14ac:dyDescent="0.25">
      <c r="A70" s="288">
        <v>4</v>
      </c>
      <c r="B70" s="264">
        <v>10</v>
      </c>
      <c r="C70" s="290">
        <f>C69</f>
        <v>2</v>
      </c>
      <c r="D70" s="290">
        <f>B70/C70</f>
        <v>5</v>
      </c>
      <c r="E70" s="264">
        <v>16.97</v>
      </c>
      <c r="F70" s="290">
        <f ca="1">TREND(OFFSET($K$66,MATCH(D70,$J$67:$J$79),0,2,1),OFFSET($J$66,MATCH(D70,$J$67:$J$79),0,2,1),D70)</f>
        <v>0.28999999999999998</v>
      </c>
      <c r="G70" s="290">
        <f t="shared" ca="1" si="3"/>
        <v>0.34849000000000002</v>
      </c>
      <c r="H70" s="290">
        <f ca="1">F70*G70</f>
        <v>0.1010621</v>
      </c>
      <c r="I70" s="251"/>
      <c r="J70" s="289">
        <v>2</v>
      </c>
      <c r="K70" s="289">
        <v>0.48</v>
      </c>
      <c r="L70" s="289">
        <v>20</v>
      </c>
      <c r="M70" s="292">
        <v>0.4</v>
      </c>
    </row>
    <row r="71" spans="1:13" x14ac:dyDescent="0.25">
      <c r="A71" s="288">
        <v>5</v>
      </c>
      <c r="B71" s="264">
        <v>10</v>
      </c>
      <c r="C71" s="290">
        <f>C70</f>
        <v>2</v>
      </c>
      <c r="D71" s="290">
        <f>B71/C71</f>
        <v>5</v>
      </c>
      <c r="E71" s="264">
        <v>17.451000000000001</v>
      </c>
      <c r="F71" s="290">
        <f ca="1">TREND(OFFSET($K$66,MATCH(D71,$J$67:$J$79),0,2,1),OFFSET($J$66,MATCH(D71,$J$67:$J$79),0,2,1),D71)</f>
        <v>0.28999999999999998</v>
      </c>
      <c r="G71" s="290">
        <f t="shared" ca="1" si="3"/>
        <v>0.35666700000000001</v>
      </c>
      <c r="H71" s="290">
        <f ca="1">F71*G71</f>
        <v>0.10343342999999999</v>
      </c>
      <c r="I71" s="251"/>
      <c r="J71" s="289">
        <v>3</v>
      </c>
      <c r="K71" s="289">
        <v>0.36</v>
      </c>
      <c r="L71" s="289">
        <v>30</v>
      </c>
      <c r="M71" s="292">
        <v>0.55000000000000004</v>
      </c>
    </row>
    <row r="72" spans="1:13" x14ac:dyDescent="0.25">
      <c r="A72" s="288">
        <v>6</v>
      </c>
      <c r="B72" s="264">
        <v>10</v>
      </c>
      <c r="C72" s="290">
        <f t="shared" ref="C72:C73" si="4">C71</f>
        <v>2</v>
      </c>
      <c r="D72" s="290">
        <f t="shared" ref="D72:D74" si="5">B72/C72</f>
        <v>5</v>
      </c>
      <c r="E72" s="264">
        <v>19.773</v>
      </c>
      <c r="F72" s="290">
        <f t="shared" ref="F72:F74" ca="1" si="6">TREND(OFFSET($K$66,MATCH(D72,$J$67:$J$79),0,2,1),OFFSET($J$66,MATCH(D72,$J$67:$J$79),0,2,1),D72)</f>
        <v>0.28999999999999998</v>
      </c>
      <c r="G72" s="290">
        <f t="shared" ca="1" si="3"/>
        <v>0.39614100000000002</v>
      </c>
      <c r="H72" s="290">
        <f t="shared" ref="H72:H74" ca="1" si="7">F72*G72</f>
        <v>0.11488089</v>
      </c>
      <c r="I72" s="251"/>
      <c r="J72" s="289">
        <v>4</v>
      </c>
      <c r="K72" s="289">
        <v>0.3</v>
      </c>
      <c r="L72" s="289">
        <v>40</v>
      </c>
      <c r="M72" s="292">
        <v>0.65</v>
      </c>
    </row>
    <row r="73" spans="1:13" x14ac:dyDescent="0.25">
      <c r="A73" s="288">
        <v>7</v>
      </c>
      <c r="B73" s="264">
        <v>10</v>
      </c>
      <c r="C73" s="290">
        <f t="shared" si="4"/>
        <v>2</v>
      </c>
      <c r="D73" s="290">
        <f t="shared" si="5"/>
        <v>5</v>
      </c>
      <c r="E73" s="264">
        <v>12.948</v>
      </c>
      <c r="F73" s="290">
        <f t="shared" ca="1" si="6"/>
        <v>0.28999999999999998</v>
      </c>
      <c r="G73" s="290">
        <f t="shared" ca="1" si="3"/>
        <v>0.28011600000000003</v>
      </c>
      <c r="H73" s="290">
        <f t="shared" ca="1" si="7"/>
        <v>8.123364000000001E-2</v>
      </c>
      <c r="I73" s="251"/>
      <c r="J73" s="289">
        <v>5</v>
      </c>
      <c r="K73" s="289">
        <v>0.28999999999999998</v>
      </c>
      <c r="L73" s="289">
        <v>50</v>
      </c>
      <c r="M73" s="292">
        <v>0.75</v>
      </c>
    </row>
    <row r="74" spans="1:13" x14ac:dyDescent="0.25">
      <c r="A74" s="288">
        <v>8</v>
      </c>
      <c r="B74" s="264">
        <v>6</v>
      </c>
      <c r="C74" s="290">
        <v>2</v>
      </c>
      <c r="D74" s="290">
        <f t="shared" si="5"/>
        <v>3</v>
      </c>
      <c r="E74" s="264">
        <v>66.338999999999999</v>
      </c>
      <c r="F74" s="290">
        <f t="shared" ca="1" si="6"/>
        <v>0.36</v>
      </c>
      <c r="G74" s="290">
        <f t="shared" ca="1" si="3"/>
        <v>0.8616950000000001</v>
      </c>
      <c r="H74" s="290">
        <f t="shared" ca="1" si="7"/>
        <v>0.31021020000000005</v>
      </c>
      <c r="I74" s="251"/>
      <c r="J74" s="289">
        <v>6</v>
      </c>
      <c r="K74" s="289">
        <v>0.28000000000000003</v>
      </c>
      <c r="L74" s="289">
        <v>60</v>
      </c>
      <c r="M74" s="292">
        <v>0.83</v>
      </c>
    </row>
    <row r="75" spans="1:13" x14ac:dyDescent="0.25">
      <c r="A75" s="288"/>
      <c r="B75" s="264"/>
      <c r="C75" s="290"/>
      <c r="D75" s="290"/>
      <c r="E75" s="264"/>
      <c r="F75" s="290"/>
      <c r="G75" s="290"/>
      <c r="H75" s="290"/>
      <c r="I75" s="251"/>
      <c r="J75" s="289">
        <v>7</v>
      </c>
      <c r="K75" s="289">
        <v>0.27</v>
      </c>
      <c r="L75" s="289">
        <v>70</v>
      </c>
      <c r="M75" s="292">
        <v>0.88</v>
      </c>
    </row>
    <row r="76" spans="1:13" x14ac:dyDescent="0.25">
      <c r="A76" s="288"/>
      <c r="B76" s="264"/>
      <c r="C76" s="290"/>
      <c r="D76" s="290"/>
      <c r="E76" s="264"/>
      <c r="F76" s="290"/>
      <c r="G76" s="290"/>
      <c r="H76" s="290"/>
      <c r="I76" s="251"/>
      <c r="J76" s="289">
        <v>8</v>
      </c>
      <c r="K76" s="289">
        <v>0.26</v>
      </c>
      <c r="L76" s="289">
        <v>80</v>
      </c>
      <c r="M76" s="292">
        <v>0.95</v>
      </c>
    </row>
    <row r="77" spans="1:13" x14ac:dyDescent="0.25">
      <c r="A77" s="288"/>
      <c r="B77" s="264"/>
      <c r="C77" s="290"/>
      <c r="D77" s="290"/>
      <c r="E77" s="264"/>
      <c r="F77" s="290"/>
      <c r="G77" s="290"/>
      <c r="H77" s="290"/>
      <c r="I77" s="251"/>
      <c r="J77" s="289">
        <v>9</v>
      </c>
      <c r="K77" s="289">
        <v>0.25</v>
      </c>
      <c r="L77" s="289">
        <v>90</v>
      </c>
      <c r="M77" s="292">
        <v>1</v>
      </c>
    </row>
    <row r="78" spans="1:13" x14ac:dyDescent="0.25">
      <c r="A78" s="288"/>
      <c r="B78" s="264"/>
      <c r="C78" s="290"/>
      <c r="D78" s="290"/>
      <c r="E78" s="264"/>
      <c r="F78" s="290"/>
      <c r="G78" s="290"/>
      <c r="H78" s="290"/>
      <c r="I78" s="251"/>
      <c r="J78" s="289">
        <v>10</v>
      </c>
      <c r="K78" s="289">
        <v>0.24</v>
      </c>
      <c r="L78" s="289">
        <v>100</v>
      </c>
      <c r="M78" s="292">
        <v>1.05</v>
      </c>
    </row>
    <row r="79" spans="1:13" x14ac:dyDescent="0.25">
      <c r="A79" s="288"/>
      <c r="B79" s="264"/>
      <c r="C79" s="290"/>
      <c r="D79" s="290"/>
      <c r="E79" s="264"/>
      <c r="F79" s="290"/>
      <c r="G79" s="290"/>
      <c r="H79" s="290"/>
      <c r="I79" s="251"/>
      <c r="J79" s="289">
        <v>11</v>
      </c>
      <c r="K79" s="289">
        <v>0.23</v>
      </c>
      <c r="L79" s="289">
        <v>120</v>
      </c>
      <c r="M79" s="292">
        <v>1.1299999999999999</v>
      </c>
    </row>
    <row r="80" spans="1:13" x14ac:dyDescent="0.25">
      <c r="A80" s="288"/>
      <c r="B80" s="264"/>
      <c r="C80" s="290"/>
      <c r="D80" s="290"/>
      <c r="E80" s="264"/>
      <c r="F80" s="290"/>
      <c r="G80" s="290"/>
      <c r="H80" s="290"/>
      <c r="I80" s="251"/>
      <c r="J80" s="289"/>
      <c r="K80" s="289"/>
      <c r="L80" s="289">
        <v>140</v>
      </c>
      <c r="M80" s="292">
        <v>1.2</v>
      </c>
    </row>
    <row r="81" spans="1:13" x14ac:dyDescent="0.25">
      <c r="A81" s="288"/>
      <c r="B81" s="264"/>
      <c r="C81" s="290"/>
      <c r="D81" s="290"/>
      <c r="E81" s="264"/>
      <c r="F81" s="290"/>
      <c r="G81" s="290"/>
      <c r="H81" s="290"/>
      <c r="I81" s="251"/>
      <c r="J81" s="251"/>
      <c r="K81" s="251"/>
      <c r="L81" s="251"/>
      <c r="M81" s="278"/>
    </row>
    <row r="82" spans="1:13" x14ac:dyDescent="0.25">
      <c r="A82" s="288"/>
      <c r="B82" s="264"/>
      <c r="C82" s="290"/>
      <c r="D82" s="290"/>
      <c r="E82" s="264"/>
      <c r="F82" s="290"/>
      <c r="G82" s="290"/>
      <c r="H82" s="290"/>
      <c r="I82" s="251"/>
      <c r="J82" s="251"/>
      <c r="K82" s="251"/>
      <c r="L82" s="251"/>
      <c r="M82" s="278"/>
    </row>
    <row r="83" spans="1:13" x14ac:dyDescent="0.25">
      <c r="A83" s="288"/>
      <c r="B83" s="264"/>
      <c r="C83" s="290"/>
      <c r="D83" s="290"/>
      <c r="E83" s="264"/>
      <c r="F83" s="290"/>
      <c r="G83" s="290"/>
      <c r="H83" s="290"/>
      <c r="I83" s="251"/>
      <c r="J83" s="251"/>
      <c r="K83" s="251"/>
      <c r="L83" s="251"/>
      <c r="M83" s="278"/>
    </row>
    <row r="84" spans="1:13" x14ac:dyDescent="0.25">
      <c r="A84" s="288"/>
      <c r="B84" s="264"/>
      <c r="C84" s="290"/>
      <c r="D84" s="290"/>
      <c r="E84" s="264"/>
      <c r="F84" s="290"/>
      <c r="G84" s="290"/>
      <c r="H84" s="290"/>
      <c r="I84" s="251"/>
      <c r="J84" s="251"/>
      <c r="K84" s="251"/>
      <c r="L84" s="251"/>
      <c r="M84" s="278"/>
    </row>
    <row r="85" spans="1:13" x14ac:dyDescent="0.25">
      <c r="A85" s="288"/>
      <c r="B85" s="264"/>
      <c r="C85" s="290"/>
      <c r="D85" s="290"/>
      <c r="E85" s="264"/>
      <c r="F85" s="290"/>
      <c r="G85" s="290"/>
      <c r="H85" s="290"/>
      <c r="I85" s="251"/>
      <c r="J85" s="251"/>
      <c r="K85" s="251"/>
      <c r="L85" s="251"/>
      <c r="M85" s="278"/>
    </row>
    <row r="86" spans="1:13" x14ac:dyDescent="0.25">
      <c r="A86" s="288"/>
      <c r="B86" s="264"/>
      <c r="C86" s="290"/>
      <c r="D86" s="290"/>
      <c r="E86" s="264"/>
      <c r="F86" s="290"/>
      <c r="G86" s="290"/>
      <c r="H86" s="290"/>
      <c r="I86" s="251"/>
      <c r="J86" s="251"/>
      <c r="K86" s="251"/>
      <c r="L86" s="251"/>
      <c r="M86" s="278"/>
    </row>
    <row r="87" spans="1:13" x14ac:dyDescent="0.25">
      <c r="A87" s="288"/>
      <c r="B87" s="264"/>
      <c r="C87" s="290"/>
      <c r="D87" s="290"/>
      <c r="E87" s="264"/>
      <c r="F87" s="290"/>
      <c r="G87" s="290"/>
      <c r="H87" s="290"/>
      <c r="I87" s="251"/>
      <c r="J87" s="251"/>
      <c r="K87" s="251"/>
      <c r="L87" s="251"/>
      <c r="M87" s="278"/>
    </row>
    <row r="88" spans="1:13" x14ac:dyDescent="0.25">
      <c r="A88" s="288"/>
      <c r="B88" s="264"/>
      <c r="C88" s="290"/>
      <c r="D88" s="290"/>
      <c r="E88" s="264"/>
      <c r="F88" s="290"/>
      <c r="G88" s="290"/>
      <c r="H88" s="290"/>
      <c r="I88" s="251"/>
      <c r="J88" s="251"/>
      <c r="K88" s="251"/>
      <c r="L88" s="251"/>
      <c r="M88" s="278"/>
    </row>
    <row r="89" spans="1:13" ht="16.2" x14ac:dyDescent="0.3">
      <c r="A89" s="387" t="s">
        <v>203</v>
      </c>
      <c r="B89" s="388"/>
      <c r="C89" s="388"/>
      <c r="D89" s="388"/>
      <c r="E89" s="388"/>
      <c r="F89" s="388"/>
      <c r="G89" s="388"/>
      <c r="H89" s="291">
        <f ca="1">SUM(H67:H88)</f>
        <v>0.93209519000000007</v>
      </c>
      <c r="I89" s="293"/>
      <c r="J89" s="293"/>
      <c r="K89" s="293"/>
      <c r="L89" s="293"/>
      <c r="M89" s="294"/>
    </row>
    <row r="92" spans="1:13" ht="14.4" x14ac:dyDescent="0.25">
      <c r="A92" s="244" t="s">
        <v>204</v>
      </c>
      <c r="C92" s="240"/>
    </row>
    <row r="93" spans="1:13" x14ac:dyDescent="0.25">
      <c r="A93" s="245" t="s">
        <v>138</v>
      </c>
      <c r="B93" s="246"/>
      <c r="C93" s="246"/>
      <c r="D93" s="246"/>
      <c r="E93" s="246"/>
      <c r="F93" s="246"/>
      <c r="G93" s="246"/>
      <c r="H93" s="246"/>
      <c r="I93" s="246"/>
      <c r="J93" s="246"/>
      <c r="K93" s="246"/>
      <c r="L93" s="246"/>
      <c r="M93" s="277"/>
    </row>
    <row r="94" spans="1:13" ht="14.4" x14ac:dyDescent="0.25">
      <c r="A94" s="247" t="s">
        <v>139</v>
      </c>
      <c r="B94" s="248"/>
      <c r="C94" s="249" t="s">
        <v>140</v>
      </c>
      <c r="D94" s="250" t="s">
        <v>141</v>
      </c>
      <c r="E94" s="249" t="s">
        <v>142</v>
      </c>
      <c r="F94" s="251"/>
      <c r="G94" s="251"/>
      <c r="H94" s="251"/>
      <c r="I94" s="251"/>
      <c r="J94" s="251"/>
      <c r="K94" s="251"/>
      <c r="L94" s="251"/>
      <c r="M94" s="278"/>
    </row>
    <row r="95" spans="1:13" ht="14.4" x14ac:dyDescent="0.25">
      <c r="A95" s="247"/>
      <c r="B95" s="248" t="s">
        <v>143</v>
      </c>
      <c r="C95" s="229">
        <v>4.5</v>
      </c>
      <c r="D95" s="252">
        <f>C95*1.25</f>
        <v>5.625</v>
      </c>
      <c r="E95" s="231">
        <f>C95*0.4</f>
        <v>1.8</v>
      </c>
      <c r="F95" s="251"/>
      <c r="G95" s="251"/>
      <c r="H95" s="251"/>
      <c r="I95" s="251"/>
      <c r="J95" s="251"/>
      <c r="K95" s="251"/>
      <c r="L95" s="251"/>
      <c r="M95" s="278"/>
    </row>
    <row r="96" spans="1:13" ht="14.4" x14ac:dyDescent="0.25">
      <c r="A96" s="247"/>
      <c r="B96" s="248" t="s">
        <v>144</v>
      </c>
      <c r="C96" s="253">
        <v>1</v>
      </c>
      <c r="D96" s="254">
        <f>C96</f>
        <v>1</v>
      </c>
      <c r="E96" s="255">
        <f>D96</f>
        <v>1</v>
      </c>
      <c r="F96" s="251"/>
      <c r="G96" s="251"/>
      <c r="H96" s="251"/>
      <c r="I96" s="251"/>
      <c r="J96" s="251"/>
      <c r="K96" s="251"/>
      <c r="L96" s="251"/>
      <c r="M96" s="278"/>
    </row>
    <row r="97" spans="1:15" ht="14.4" x14ac:dyDescent="0.25">
      <c r="A97" s="247"/>
      <c r="B97" s="248" t="s">
        <v>145</v>
      </c>
      <c r="C97" s="231">
        <f>C95/C96</f>
        <v>4.5</v>
      </c>
      <c r="D97" s="252">
        <f>D95/D96</f>
        <v>5.625</v>
      </c>
      <c r="E97" s="231">
        <f>E95/E96</f>
        <v>1.8</v>
      </c>
      <c r="F97" s="251"/>
      <c r="G97" s="251"/>
      <c r="H97" s="251"/>
      <c r="I97" s="251"/>
      <c r="J97" s="251"/>
      <c r="K97" s="251"/>
      <c r="L97" s="251"/>
      <c r="M97" s="278"/>
    </row>
    <row r="98" spans="1:15" ht="14.4" x14ac:dyDescent="0.25">
      <c r="A98" s="247"/>
      <c r="B98" s="248" t="s">
        <v>146</v>
      </c>
      <c r="C98" s="256">
        <v>377</v>
      </c>
      <c r="D98" s="252">
        <f t="shared" ref="D98:E100" si="8">C98</f>
        <v>377</v>
      </c>
      <c r="E98" s="231">
        <f t="shared" si="8"/>
        <v>377</v>
      </c>
      <c r="F98" s="251"/>
      <c r="G98" s="251"/>
      <c r="H98" s="251"/>
      <c r="I98" s="251"/>
      <c r="J98" s="251"/>
      <c r="K98" s="251"/>
      <c r="L98" s="251"/>
      <c r="M98" s="278"/>
    </row>
    <row r="99" spans="1:15" ht="14.4" x14ac:dyDescent="0.25">
      <c r="A99" s="247"/>
      <c r="B99" s="248" t="s">
        <v>134</v>
      </c>
      <c r="C99" s="257">
        <v>0.01</v>
      </c>
      <c r="D99" s="258">
        <f t="shared" si="8"/>
        <v>0.01</v>
      </c>
      <c r="E99" s="258">
        <f t="shared" si="8"/>
        <v>0.01</v>
      </c>
      <c r="F99" s="251"/>
      <c r="G99" s="251"/>
      <c r="H99" s="251"/>
      <c r="I99" s="251"/>
      <c r="J99" s="251"/>
      <c r="K99" s="251"/>
      <c r="L99" s="251"/>
      <c r="M99" s="278"/>
    </row>
    <row r="100" spans="1:15" ht="14.4" x14ac:dyDescent="0.25">
      <c r="A100" s="247"/>
      <c r="B100" s="248" t="s">
        <v>147</v>
      </c>
      <c r="C100" s="229">
        <v>2</v>
      </c>
      <c r="D100" s="252">
        <f t="shared" si="8"/>
        <v>2</v>
      </c>
      <c r="E100" s="231">
        <f t="shared" si="8"/>
        <v>2</v>
      </c>
      <c r="F100" s="251"/>
      <c r="G100" s="251"/>
      <c r="H100" s="251"/>
      <c r="I100" s="251"/>
      <c r="J100" s="251"/>
      <c r="K100" s="251"/>
      <c r="L100" s="251"/>
      <c r="M100" s="278"/>
    </row>
    <row r="101" spans="1:15" ht="14.4" x14ac:dyDescent="0.25">
      <c r="A101" s="247"/>
      <c r="B101" s="248" t="s">
        <v>148</v>
      </c>
      <c r="C101" s="252">
        <f>4*C97/(C100^2*PI())</f>
        <v>1.432394487827058</v>
      </c>
      <c r="D101" s="252">
        <f>4*D97/(D100^2*PI())</f>
        <v>1.7904931097838226</v>
      </c>
      <c r="E101" s="252">
        <f>4*E97/(E100^2*PI())</f>
        <v>0.57295779513082323</v>
      </c>
      <c r="F101" s="251"/>
      <c r="G101" s="251"/>
      <c r="H101" s="251"/>
      <c r="I101" s="251"/>
      <c r="J101" s="251"/>
      <c r="K101" s="251"/>
      <c r="L101" s="251"/>
      <c r="M101" s="278"/>
    </row>
    <row r="102" spans="1:15" ht="14.4" x14ac:dyDescent="0.25">
      <c r="A102" s="247"/>
      <c r="B102" s="248" t="s">
        <v>149</v>
      </c>
      <c r="C102" s="231">
        <f>C97/C101</f>
        <v>3.1415926535897931</v>
      </c>
      <c r="D102" s="252">
        <f>D97/D101</f>
        <v>3.1415926535897931</v>
      </c>
      <c r="E102" s="231">
        <f>E97/E101</f>
        <v>3.1415926535897931</v>
      </c>
      <c r="F102" s="251"/>
      <c r="G102" s="251"/>
      <c r="H102" s="251"/>
      <c r="I102" s="251"/>
      <c r="J102" s="251"/>
      <c r="K102" s="251"/>
      <c r="L102" s="251"/>
      <c r="M102" s="278"/>
    </row>
    <row r="103" spans="1:15" ht="14.4" x14ac:dyDescent="0.25">
      <c r="A103" s="247" t="s">
        <v>150</v>
      </c>
      <c r="B103" s="248"/>
      <c r="C103" s="248"/>
      <c r="D103" s="259"/>
      <c r="E103" s="248"/>
      <c r="F103" s="251"/>
      <c r="G103" s="389" t="s">
        <v>151</v>
      </c>
      <c r="H103" s="390"/>
      <c r="I103" s="390"/>
      <c r="J103" s="390"/>
      <c r="K103" s="391"/>
      <c r="L103" s="251"/>
      <c r="M103" s="278"/>
    </row>
    <row r="104" spans="1:15" ht="14.4" x14ac:dyDescent="0.25">
      <c r="A104" s="247" t="s">
        <v>152</v>
      </c>
      <c r="B104" s="248" t="s">
        <v>153</v>
      </c>
      <c r="C104" s="231">
        <f>C100/4</f>
        <v>0.5</v>
      </c>
      <c r="D104" s="252">
        <f>D100/4</f>
        <v>0.5</v>
      </c>
      <c r="E104" s="231">
        <f>E100/4</f>
        <v>0.5</v>
      </c>
      <c r="F104" s="251"/>
      <c r="G104" s="381" t="s">
        <v>154</v>
      </c>
      <c r="H104" s="260" t="s">
        <v>155</v>
      </c>
      <c r="I104" s="261" t="s">
        <v>156</v>
      </c>
      <c r="J104" s="261" t="s">
        <v>157</v>
      </c>
      <c r="K104" s="279" t="s">
        <v>158</v>
      </c>
      <c r="L104" s="251"/>
      <c r="M104" s="278"/>
    </row>
    <row r="105" spans="1:15" ht="16.8" x14ac:dyDescent="0.25">
      <c r="A105" s="247"/>
      <c r="B105" s="248" t="s">
        <v>159</v>
      </c>
      <c r="C105" s="231">
        <f>C104^(1/6)/C99</f>
        <v>89.089871814033927</v>
      </c>
      <c r="D105" s="252">
        <f>D104^(1/6)/D99</f>
        <v>89.089871814033927</v>
      </c>
      <c r="E105" s="231">
        <f>E104^(1/6)/E99</f>
        <v>89.089871814033927</v>
      </c>
      <c r="F105" s="251"/>
      <c r="G105" s="382"/>
      <c r="H105" s="261" t="s">
        <v>160</v>
      </c>
      <c r="I105" s="261" t="s">
        <v>161</v>
      </c>
      <c r="J105" s="261" t="s">
        <v>162</v>
      </c>
      <c r="K105" s="279" t="s">
        <v>163</v>
      </c>
      <c r="L105" s="251"/>
      <c r="M105" s="278"/>
    </row>
    <row r="106" spans="1:15" ht="16.8" x14ac:dyDescent="0.25">
      <c r="A106" s="247"/>
      <c r="B106" s="248" t="s">
        <v>164</v>
      </c>
      <c r="C106" s="231">
        <f>8*9.81/C105^2</f>
        <v>9.8878603995749669E-3</v>
      </c>
      <c r="D106" s="252">
        <f>8*9.81/D105^2</f>
        <v>9.8878603995749669E-3</v>
      </c>
      <c r="E106" s="231">
        <f>8*9.81/E105^2</f>
        <v>9.8878603995749669E-3</v>
      </c>
      <c r="F106" s="251"/>
      <c r="G106" s="262" t="s">
        <v>205</v>
      </c>
      <c r="H106" s="263">
        <f>C102</f>
        <v>3.1415926535897931</v>
      </c>
      <c r="I106" s="263">
        <f>I112*I113</f>
        <v>9.7799999999999994</v>
      </c>
      <c r="J106" s="263">
        <f>H106/I106</f>
        <v>0.32122624269834288</v>
      </c>
      <c r="K106" s="280">
        <f ca="1">TREND(OFFSET($L$51,MATCH(J106,$K$52:$K$60),0,2,1),OFFSET($K$51,MATCH(J106,$K$52:$K$60),0,2,1),J106)</f>
        <v>0.39150950292066289</v>
      </c>
      <c r="L106" s="251"/>
      <c r="M106" s="278"/>
    </row>
    <row r="107" spans="1:15" ht="16.8" x14ac:dyDescent="0.25">
      <c r="A107" s="247"/>
      <c r="B107" s="248" t="s">
        <v>166</v>
      </c>
      <c r="C107" s="231">
        <f>C106*C98*C101^2/(4*C104*2*9.81)</f>
        <v>0.19491262028898115</v>
      </c>
      <c r="D107" s="252">
        <f>D106*D98*D101^2/(4*D104*2*9.81)</f>
        <v>0.30455096920153313</v>
      </c>
      <c r="E107" s="231">
        <f>E106*E98*E101^2/(4*E104*2*9.81)</f>
        <v>3.1186019246236988E-2</v>
      </c>
      <c r="F107" s="251"/>
      <c r="G107" s="251"/>
      <c r="H107" s="251"/>
      <c r="I107" s="251"/>
      <c r="J107" s="251"/>
      <c r="K107" s="251"/>
      <c r="L107" s="251"/>
      <c r="M107" s="278"/>
      <c r="O107" s="281">
        <f>0.4-(0.4-0.36)/0.1*(J106-0.3)</f>
        <v>0.39150950292066283</v>
      </c>
    </row>
    <row r="108" spans="1:15" ht="14.4" x14ac:dyDescent="0.25">
      <c r="A108" s="247" t="s">
        <v>167</v>
      </c>
      <c r="B108" s="248" t="s">
        <v>168</v>
      </c>
      <c r="C108" s="264">
        <v>0.25</v>
      </c>
      <c r="D108" s="252">
        <f t="shared" ref="D108:E113" si="9">C108</f>
        <v>0.25</v>
      </c>
      <c r="E108" s="231">
        <f t="shared" si="9"/>
        <v>0.25</v>
      </c>
      <c r="F108" s="251"/>
      <c r="G108" s="251"/>
      <c r="H108" s="251"/>
      <c r="I108" s="251"/>
      <c r="J108" s="251"/>
      <c r="K108" s="251"/>
      <c r="L108" s="251"/>
      <c r="M108" s="278"/>
    </row>
    <row r="109" spans="1:15" ht="15.6" x14ac:dyDescent="0.25">
      <c r="A109" s="247"/>
      <c r="B109" s="248" t="s">
        <v>169</v>
      </c>
      <c r="C109" s="264">
        <f>0.1*2</f>
        <v>0.2</v>
      </c>
      <c r="D109" s="252">
        <f t="shared" si="9"/>
        <v>0.2</v>
      </c>
      <c r="E109" s="231">
        <f t="shared" si="9"/>
        <v>0.2</v>
      </c>
      <c r="F109" s="251"/>
      <c r="G109" s="383" t="s">
        <v>170</v>
      </c>
      <c r="H109" s="265" t="s">
        <v>171</v>
      </c>
      <c r="I109" s="282"/>
      <c r="J109" s="251"/>
      <c r="K109" s="238" t="s">
        <v>162</v>
      </c>
      <c r="L109" s="238" t="s">
        <v>163</v>
      </c>
      <c r="M109" s="278"/>
    </row>
    <row r="110" spans="1:15" ht="15.6" x14ac:dyDescent="0.25">
      <c r="A110" s="247"/>
      <c r="B110" s="248" t="s">
        <v>172</v>
      </c>
      <c r="C110" s="264">
        <v>0.02</v>
      </c>
      <c r="D110" s="252">
        <f t="shared" si="9"/>
        <v>0.02</v>
      </c>
      <c r="E110" s="231">
        <f t="shared" si="9"/>
        <v>0.02</v>
      </c>
      <c r="F110" s="251"/>
      <c r="G110" s="384"/>
      <c r="H110" s="266" t="s">
        <v>173</v>
      </c>
      <c r="I110" s="283">
        <v>1.76</v>
      </c>
      <c r="J110" s="251"/>
      <c r="K110" s="238">
        <v>0.1</v>
      </c>
      <c r="L110" s="238">
        <v>0.81</v>
      </c>
      <c r="M110" s="278"/>
    </row>
    <row r="111" spans="1:15" ht="16.2" x14ac:dyDescent="0.25">
      <c r="A111" s="247"/>
      <c r="B111" s="248" t="s">
        <v>174</v>
      </c>
      <c r="C111" s="264">
        <v>0.1</v>
      </c>
      <c r="D111" s="252">
        <f t="shared" si="9"/>
        <v>0.1</v>
      </c>
      <c r="E111" s="231">
        <f t="shared" si="9"/>
        <v>0.1</v>
      </c>
      <c r="F111" s="251"/>
      <c r="G111" s="384"/>
      <c r="H111" s="266" t="s">
        <v>175</v>
      </c>
      <c r="I111" s="284"/>
      <c r="J111" s="251"/>
      <c r="K111" s="238">
        <v>0.2</v>
      </c>
      <c r="L111" s="238">
        <v>0.64</v>
      </c>
      <c r="M111" s="278"/>
    </row>
    <row r="112" spans="1:15" ht="15.6" x14ac:dyDescent="0.25">
      <c r="A112" s="247"/>
      <c r="B112" s="248" t="s">
        <v>176</v>
      </c>
      <c r="C112" s="264">
        <v>80</v>
      </c>
      <c r="D112" s="252">
        <f t="shared" si="9"/>
        <v>80</v>
      </c>
      <c r="E112" s="231">
        <f t="shared" si="9"/>
        <v>80</v>
      </c>
      <c r="F112" s="251"/>
      <c r="G112" s="384"/>
      <c r="H112" s="266" t="s">
        <v>177</v>
      </c>
      <c r="I112" s="283">
        <f>I110+1.5</f>
        <v>3.26</v>
      </c>
      <c r="J112" s="251"/>
      <c r="K112" s="238">
        <v>0.3</v>
      </c>
      <c r="L112" s="238">
        <v>0.4</v>
      </c>
      <c r="M112" s="278"/>
    </row>
    <row r="113" spans="1:13" ht="15.6" x14ac:dyDescent="0.25">
      <c r="A113" s="247"/>
      <c r="B113" s="248" t="s">
        <v>178</v>
      </c>
      <c r="C113" s="264">
        <v>1.83</v>
      </c>
      <c r="D113" s="252">
        <f t="shared" si="9"/>
        <v>1.83</v>
      </c>
      <c r="E113" s="231">
        <f t="shared" si="9"/>
        <v>1.83</v>
      </c>
      <c r="F113" s="251"/>
      <c r="G113" s="384"/>
      <c r="H113" s="266" t="s">
        <v>179</v>
      </c>
      <c r="I113" s="283">
        <v>3</v>
      </c>
      <c r="K113" s="238">
        <v>0.4</v>
      </c>
      <c r="L113" s="238">
        <v>0.36</v>
      </c>
      <c r="M113" s="278"/>
    </row>
    <row r="114" spans="1:13" ht="16.8" x14ac:dyDescent="0.25">
      <c r="A114" s="247"/>
      <c r="B114" s="248" t="s">
        <v>180</v>
      </c>
      <c r="C114" s="231">
        <f>C113*(C110/C111)^(4/3)*SIN(C112/180*PI())</f>
        <v>0.21078637878092679</v>
      </c>
      <c r="D114" s="252">
        <f>D113*(D110/D111)^(4/3)*SIN(D112/180*PI())</f>
        <v>0.21078637878092679</v>
      </c>
      <c r="E114" s="231">
        <f>E113*(E110/E111)^(4/3)*SIN(E112/180*PI())</f>
        <v>0.21078637878092679</v>
      </c>
      <c r="F114" s="251"/>
      <c r="G114" s="384"/>
      <c r="H114" s="266" t="s">
        <v>181</v>
      </c>
      <c r="I114" s="284"/>
      <c r="K114" s="238">
        <v>0.5</v>
      </c>
      <c r="L114" s="238">
        <v>0.25</v>
      </c>
      <c r="M114" s="278"/>
    </row>
    <row r="115" spans="1:13" ht="15.6" x14ac:dyDescent="0.25">
      <c r="A115" s="247"/>
      <c r="B115" s="247" t="s">
        <v>182</v>
      </c>
      <c r="C115" s="231">
        <f ca="1">H147</f>
        <v>0.89373825000000007</v>
      </c>
      <c r="D115" s="252">
        <f t="shared" ref="D115:E117" ca="1" si="10">C115</f>
        <v>0.89373825000000007</v>
      </c>
      <c r="E115" s="231">
        <f t="shared" ca="1" si="10"/>
        <v>0.89373825000000007</v>
      </c>
      <c r="F115" s="251"/>
      <c r="G115" s="384"/>
      <c r="H115" s="266" t="s">
        <v>183</v>
      </c>
      <c r="I115" s="284"/>
      <c r="K115" s="238">
        <v>0.6</v>
      </c>
      <c r="L115" s="238">
        <v>0.16</v>
      </c>
      <c r="M115" s="278"/>
    </row>
    <row r="116" spans="1:13" ht="16.2" x14ac:dyDescent="0.25">
      <c r="A116" s="247"/>
      <c r="B116" s="247" t="s">
        <v>184</v>
      </c>
      <c r="C116" s="264">
        <f ca="1">K106</f>
        <v>0.39150950292066289</v>
      </c>
      <c r="D116" s="252">
        <f t="shared" ca="1" si="10"/>
        <v>0.39150950292066289</v>
      </c>
      <c r="E116" s="231">
        <f t="shared" ca="1" si="10"/>
        <v>0.39150950292066289</v>
      </c>
      <c r="F116" s="251"/>
      <c r="G116" s="385"/>
      <c r="H116" s="266" t="s">
        <v>185</v>
      </c>
      <c r="I116" s="284"/>
      <c r="K116" s="238">
        <v>0.7</v>
      </c>
      <c r="L116" s="238">
        <v>0.09</v>
      </c>
      <c r="M116" s="278"/>
    </row>
    <row r="117" spans="1:13" ht="16.2" x14ac:dyDescent="0.25">
      <c r="A117" s="247"/>
      <c r="B117" s="248" t="s">
        <v>186</v>
      </c>
      <c r="C117" s="264">
        <f>0.1*1</f>
        <v>0.1</v>
      </c>
      <c r="D117" s="252">
        <f t="shared" si="10"/>
        <v>0.1</v>
      </c>
      <c r="E117" s="231">
        <f t="shared" si="10"/>
        <v>0.1</v>
      </c>
      <c r="F117" s="251"/>
      <c r="G117" s="386"/>
      <c r="H117" s="267" t="s">
        <v>187</v>
      </c>
      <c r="I117" s="285"/>
      <c r="J117" s="251"/>
      <c r="K117" s="238">
        <v>0.8</v>
      </c>
      <c r="L117" s="238">
        <v>0.04</v>
      </c>
      <c r="M117" s="278"/>
    </row>
    <row r="118" spans="1:13" ht="14.4" x14ac:dyDescent="0.25">
      <c r="A118" s="247"/>
      <c r="B118" s="248" t="s">
        <v>188</v>
      </c>
      <c r="C118" s="231">
        <f ca="1">C117+C114+C109+C108+C116+C115</f>
        <v>2.0460341317015898</v>
      </c>
      <c r="D118" s="252">
        <f ca="1">D117+D114+D109+D108+D116+D115</f>
        <v>2.0460341317015898</v>
      </c>
      <c r="E118" s="231">
        <f ca="1">E117+E114+E109+E108+E116+E115</f>
        <v>2.0460341317015898</v>
      </c>
      <c r="F118" s="251"/>
      <c r="G118" s="251"/>
      <c r="H118" s="251"/>
      <c r="I118" s="251"/>
      <c r="J118" s="251"/>
      <c r="K118" s="238">
        <v>0.9</v>
      </c>
      <c r="L118" s="238">
        <v>0.01</v>
      </c>
      <c r="M118" s="278"/>
    </row>
    <row r="119" spans="1:13" ht="16.8" x14ac:dyDescent="0.25">
      <c r="A119" s="247"/>
      <c r="B119" s="248" t="s">
        <v>189</v>
      </c>
      <c r="C119" s="231">
        <f ca="1">C118*C101^2/2/9.81</f>
        <v>0.21396323394147371</v>
      </c>
      <c r="D119" s="252">
        <f ca="1">D118*D101^2/2/9.81</f>
        <v>0.33431755303355271</v>
      </c>
      <c r="E119" s="231">
        <f ca="1">E118*E101^2/2/9.81</f>
        <v>3.4234117430635799E-2</v>
      </c>
      <c r="F119" s="251"/>
      <c r="G119" s="251"/>
      <c r="H119" s="251"/>
      <c r="I119" s="251"/>
      <c r="J119" s="251"/>
      <c r="K119" s="251"/>
      <c r="L119" s="251"/>
      <c r="M119" s="278"/>
    </row>
    <row r="120" spans="1:13" ht="14.4" x14ac:dyDescent="0.25">
      <c r="A120" s="268" t="s">
        <v>190</v>
      </c>
      <c r="B120" s="269" t="s">
        <v>191</v>
      </c>
      <c r="C120" s="270">
        <f ca="1">C107+C119</f>
        <v>0.40887585423045486</v>
      </c>
      <c r="D120" s="270">
        <f ca="1">D107+D119</f>
        <v>0.63886852223508583</v>
      </c>
      <c r="E120" s="271">
        <f ca="1">E107+E119</f>
        <v>6.5420136676872784E-2</v>
      </c>
      <c r="F120" s="251"/>
      <c r="G120" s="272" t="s">
        <v>192</v>
      </c>
      <c r="H120" s="241">
        <f>0.4</f>
        <v>0.4</v>
      </c>
      <c r="I120" s="251"/>
      <c r="J120" s="251"/>
      <c r="K120" s="251"/>
      <c r="L120" s="251"/>
      <c r="M120" s="278"/>
    </row>
    <row r="121" spans="1:13" ht="14.4" x14ac:dyDescent="0.25">
      <c r="A121" s="273" t="s">
        <v>193</v>
      </c>
      <c r="B121" s="274"/>
      <c r="C121" s="231">
        <f ca="1">C120+(C101^2-D76^2)/(2*9.81)</f>
        <v>0.51345047037506952</v>
      </c>
      <c r="D121" s="252">
        <f ca="1">D120+(D101^2-D75^2)/(2*9.81)</f>
        <v>0.80226635996104623</v>
      </c>
      <c r="E121" s="231">
        <f ca="1">E120+(E101^2-D77^2)/(2*9.81)</f>
        <v>8.2152075260011129E-2</v>
      </c>
      <c r="F121" s="251"/>
      <c r="G121" s="251"/>
      <c r="H121" s="251"/>
      <c r="I121" s="251"/>
      <c r="J121" s="251"/>
      <c r="K121" s="251"/>
      <c r="L121" s="251"/>
      <c r="M121" s="278"/>
    </row>
    <row r="122" spans="1:13" ht="14.4" x14ac:dyDescent="0.25">
      <c r="A122" s="273" t="s">
        <v>194</v>
      </c>
      <c r="B122" s="274"/>
      <c r="C122" s="231">
        <f ca="1">C121+C84-D84</f>
        <v>0.51345047037506952</v>
      </c>
      <c r="D122" s="252">
        <f ca="1">D121+C82-D82</f>
        <v>0.80226635996104623</v>
      </c>
      <c r="E122" s="231">
        <f ca="1">E121+C86-D86</f>
        <v>8.2152075260011129E-2</v>
      </c>
      <c r="F122" s="251"/>
      <c r="G122" s="251"/>
      <c r="H122" s="251"/>
      <c r="I122" s="251"/>
      <c r="J122" s="251"/>
      <c r="K122" s="251"/>
      <c r="L122" s="251"/>
      <c r="M122" s="278"/>
    </row>
    <row r="123" spans="1:13" x14ac:dyDescent="0.25">
      <c r="A123" s="286"/>
      <c r="B123" s="287"/>
      <c r="C123" s="251"/>
      <c r="D123" s="251"/>
      <c r="E123" s="251"/>
      <c r="F123" s="251"/>
      <c r="G123" s="251"/>
      <c r="H123" s="251"/>
      <c r="I123" s="251"/>
      <c r="J123" s="251"/>
      <c r="K123" s="251"/>
      <c r="L123" s="251"/>
      <c r="M123" s="278"/>
    </row>
    <row r="124" spans="1:13" ht="18" x14ac:dyDescent="0.4">
      <c r="A124" s="288"/>
      <c r="B124" s="289" t="s">
        <v>26</v>
      </c>
      <c r="C124" s="289" t="s">
        <v>195</v>
      </c>
      <c r="D124" s="289" t="s">
        <v>196</v>
      </c>
      <c r="E124" s="289" t="s">
        <v>197</v>
      </c>
      <c r="F124" s="289" t="s">
        <v>198</v>
      </c>
      <c r="G124" s="289" t="s">
        <v>199</v>
      </c>
      <c r="H124" s="289" t="s">
        <v>200</v>
      </c>
      <c r="I124" s="251"/>
      <c r="J124" s="289" t="s">
        <v>201</v>
      </c>
      <c r="K124" s="289" t="s">
        <v>202</v>
      </c>
      <c r="L124" s="289" t="s">
        <v>197</v>
      </c>
      <c r="M124" s="292" t="s">
        <v>199</v>
      </c>
    </row>
    <row r="125" spans="1:13" x14ac:dyDescent="0.25">
      <c r="A125" s="288">
        <v>1</v>
      </c>
      <c r="B125" s="264">
        <v>10</v>
      </c>
      <c r="C125" s="290">
        <f>C100</f>
        <v>2</v>
      </c>
      <c r="D125" s="290">
        <f t="shared" ref="D125:D134" si="11">B125/C125</f>
        <v>5</v>
      </c>
      <c r="E125" s="264">
        <v>7.056</v>
      </c>
      <c r="F125" s="290">
        <f t="shared" ref="F125:F134" ca="1" si="12">TREND(OFFSET($K$66,MATCH(D125,$J$67:$J$79),0,2,1),OFFSET($J$66,MATCH(D125,$J$67:$J$79),0,2,1),D125)</f>
        <v>0.28999999999999998</v>
      </c>
      <c r="G125" s="290">
        <f ca="1">TREND(OFFSET($M$66,MATCH(E125,$L$67:$L$80),0,2,1),OFFSET($L$66,MATCH(E125,$L$67:$L$80),0,2,1),E125)</f>
        <v>0.16817600000000002</v>
      </c>
      <c r="H125" s="290">
        <f t="shared" ref="H125:H134" ca="1" si="13">F125*G125</f>
        <v>4.8771040000000002E-2</v>
      </c>
      <c r="I125" s="251"/>
      <c r="J125" s="289">
        <v>0.5</v>
      </c>
      <c r="K125" s="289">
        <v>1.2</v>
      </c>
      <c r="L125" s="289">
        <v>0</v>
      </c>
      <c r="M125" s="292">
        <v>0</v>
      </c>
    </row>
    <row r="126" spans="1:13" x14ac:dyDescent="0.25">
      <c r="A126" s="288">
        <v>2</v>
      </c>
      <c r="B126" s="264">
        <v>10</v>
      </c>
      <c r="C126" s="290">
        <f t="shared" ref="C126:C132" si="14">C125</f>
        <v>2</v>
      </c>
      <c r="D126" s="290">
        <f t="shared" si="11"/>
        <v>5</v>
      </c>
      <c r="E126" s="264">
        <v>7.2140000000000004</v>
      </c>
      <c r="F126" s="290">
        <f t="shared" ca="1" si="12"/>
        <v>0.28999999999999998</v>
      </c>
      <c r="G126" s="290">
        <f t="shared" ref="G126:G134" ca="1" si="15">TREND(OFFSET($M$66,MATCH(E126,$L$67:$L$79),0,2,1),OFFSET($L$66,MATCH(E126,$L$67:$L$79),0,2,1),E126)</f>
        <v>0.17149400000000001</v>
      </c>
      <c r="H126" s="290">
        <f t="shared" ca="1" si="13"/>
        <v>4.9733260000000001E-2</v>
      </c>
      <c r="I126" s="251"/>
      <c r="J126" s="289">
        <v>1</v>
      </c>
      <c r="K126" s="289">
        <v>0.8</v>
      </c>
      <c r="L126" s="289">
        <v>5</v>
      </c>
      <c r="M126" s="292">
        <v>0.125</v>
      </c>
    </row>
    <row r="127" spans="1:13" x14ac:dyDescent="0.25">
      <c r="A127" s="288">
        <v>3</v>
      </c>
      <c r="B127" s="264">
        <v>10</v>
      </c>
      <c r="C127" s="290">
        <f t="shared" si="14"/>
        <v>2</v>
      </c>
      <c r="D127" s="290">
        <f t="shared" si="11"/>
        <v>5</v>
      </c>
      <c r="E127" s="264">
        <v>5.5640000000000001</v>
      </c>
      <c r="F127" s="290">
        <f t="shared" ca="1" si="12"/>
        <v>0.28999999999999998</v>
      </c>
      <c r="G127" s="290">
        <f t="shared" ca="1" si="15"/>
        <v>0.13684400000000002</v>
      </c>
      <c r="H127" s="290">
        <f t="shared" ca="1" si="13"/>
        <v>3.9684760000000006E-2</v>
      </c>
      <c r="I127" s="251"/>
      <c r="J127" s="289">
        <v>1.5</v>
      </c>
      <c r="K127" s="289">
        <v>0.6</v>
      </c>
      <c r="L127" s="289">
        <v>10</v>
      </c>
      <c r="M127" s="292">
        <v>0.23</v>
      </c>
    </row>
    <row r="128" spans="1:13" x14ac:dyDescent="0.25">
      <c r="A128" s="288">
        <v>4</v>
      </c>
      <c r="B128" s="264">
        <v>10</v>
      </c>
      <c r="C128" s="290">
        <f t="shared" si="14"/>
        <v>2</v>
      </c>
      <c r="D128" s="290">
        <f t="shared" si="11"/>
        <v>5</v>
      </c>
      <c r="E128" s="264">
        <v>8.2690000000000001</v>
      </c>
      <c r="F128" s="290">
        <f t="shared" ca="1" si="12"/>
        <v>0.28999999999999998</v>
      </c>
      <c r="G128" s="290">
        <f t="shared" ca="1" si="15"/>
        <v>0.19364899999999999</v>
      </c>
      <c r="H128" s="290">
        <f t="shared" ca="1" si="13"/>
        <v>5.6158209999999993E-2</v>
      </c>
      <c r="I128" s="251"/>
      <c r="J128" s="289">
        <v>2</v>
      </c>
      <c r="K128" s="289">
        <v>0.48</v>
      </c>
      <c r="L128" s="289">
        <v>20</v>
      </c>
      <c r="M128" s="292">
        <v>0.4</v>
      </c>
    </row>
    <row r="129" spans="1:13" x14ac:dyDescent="0.25">
      <c r="A129" s="288">
        <v>5</v>
      </c>
      <c r="B129" s="264">
        <v>10</v>
      </c>
      <c r="C129" s="290">
        <f t="shared" si="14"/>
        <v>2</v>
      </c>
      <c r="D129" s="290">
        <f t="shared" si="11"/>
        <v>5</v>
      </c>
      <c r="E129" s="264">
        <v>12.131</v>
      </c>
      <c r="F129" s="290">
        <f t="shared" ca="1" si="12"/>
        <v>0.28999999999999998</v>
      </c>
      <c r="G129" s="290">
        <f t="shared" ca="1" si="15"/>
        <v>0.26622699999999999</v>
      </c>
      <c r="H129" s="290">
        <f t="shared" ca="1" si="13"/>
        <v>7.7205829999999989E-2</v>
      </c>
      <c r="I129" s="251"/>
      <c r="J129" s="289">
        <v>3</v>
      </c>
      <c r="K129" s="289">
        <v>0.36</v>
      </c>
      <c r="L129" s="289">
        <v>30</v>
      </c>
      <c r="M129" s="292">
        <v>0.55000000000000004</v>
      </c>
    </row>
    <row r="130" spans="1:13" x14ac:dyDescent="0.25">
      <c r="A130" s="288">
        <v>6</v>
      </c>
      <c r="B130" s="264">
        <v>10</v>
      </c>
      <c r="C130" s="290">
        <f t="shared" si="14"/>
        <v>2</v>
      </c>
      <c r="D130" s="290">
        <f t="shared" si="11"/>
        <v>5</v>
      </c>
      <c r="E130" s="264">
        <v>22.933</v>
      </c>
      <c r="F130" s="290">
        <f t="shared" ca="1" si="12"/>
        <v>0.28999999999999998</v>
      </c>
      <c r="G130" s="290">
        <f t="shared" ca="1" si="15"/>
        <v>0.44399500000000003</v>
      </c>
      <c r="H130" s="290">
        <f t="shared" ca="1" si="13"/>
        <v>0.12875855</v>
      </c>
      <c r="I130" s="251"/>
      <c r="J130" s="289">
        <v>4</v>
      </c>
      <c r="K130" s="289">
        <v>0.3</v>
      </c>
      <c r="L130" s="289">
        <v>40</v>
      </c>
      <c r="M130" s="292">
        <v>0.65</v>
      </c>
    </row>
    <row r="131" spans="1:13" x14ac:dyDescent="0.25">
      <c r="A131" s="288">
        <v>7</v>
      </c>
      <c r="B131" s="264">
        <v>6</v>
      </c>
      <c r="C131" s="290">
        <f t="shared" si="14"/>
        <v>2</v>
      </c>
      <c r="D131" s="290">
        <f t="shared" si="11"/>
        <v>3</v>
      </c>
      <c r="E131" s="264">
        <v>29.341000000000001</v>
      </c>
      <c r="F131" s="290">
        <f t="shared" ca="1" si="12"/>
        <v>0.36</v>
      </c>
      <c r="G131" s="290">
        <f t="shared" ca="1" si="15"/>
        <v>0.54011500000000001</v>
      </c>
      <c r="H131" s="290">
        <f t="shared" ca="1" si="13"/>
        <v>0.19444139999999999</v>
      </c>
      <c r="I131" s="251"/>
      <c r="J131" s="289">
        <v>5</v>
      </c>
      <c r="K131" s="289">
        <v>0.28999999999999998</v>
      </c>
      <c r="L131" s="289">
        <v>50</v>
      </c>
      <c r="M131" s="292">
        <v>0.75</v>
      </c>
    </row>
    <row r="132" spans="1:13" x14ac:dyDescent="0.25">
      <c r="A132" s="288">
        <v>8</v>
      </c>
      <c r="B132" s="264">
        <v>6</v>
      </c>
      <c r="C132" s="290">
        <f t="shared" si="14"/>
        <v>2</v>
      </c>
      <c r="D132" s="290">
        <f t="shared" si="11"/>
        <v>3</v>
      </c>
      <c r="E132" s="264">
        <v>25.052</v>
      </c>
      <c r="F132" s="290">
        <f t="shared" ca="1" si="12"/>
        <v>0.36</v>
      </c>
      <c r="G132" s="290">
        <f t="shared" ca="1" si="15"/>
        <v>0.47578000000000004</v>
      </c>
      <c r="H132" s="290">
        <f t="shared" ca="1" si="13"/>
        <v>0.17128080000000001</v>
      </c>
      <c r="I132" s="251"/>
      <c r="J132" s="289">
        <v>6</v>
      </c>
      <c r="K132" s="289">
        <v>0.28000000000000003</v>
      </c>
      <c r="L132" s="289">
        <v>60</v>
      </c>
      <c r="M132" s="292">
        <v>0.83</v>
      </c>
    </row>
    <row r="133" spans="1:13" x14ac:dyDescent="0.25">
      <c r="A133" s="288">
        <v>9</v>
      </c>
      <c r="B133" s="264">
        <v>10</v>
      </c>
      <c r="C133" s="290">
        <v>2</v>
      </c>
      <c r="D133" s="290">
        <f t="shared" si="11"/>
        <v>5</v>
      </c>
      <c r="E133" s="264">
        <v>1.6619999999999999</v>
      </c>
      <c r="F133" s="290">
        <f t="shared" ca="1" si="12"/>
        <v>0.28999999999999998</v>
      </c>
      <c r="G133" s="290">
        <f t="shared" ca="1" si="15"/>
        <v>4.1550000000000004E-2</v>
      </c>
      <c r="H133" s="290">
        <f t="shared" ca="1" si="13"/>
        <v>1.2049499999999999E-2</v>
      </c>
      <c r="I133" s="251"/>
      <c r="J133" s="289">
        <v>7</v>
      </c>
      <c r="K133" s="289">
        <v>0.27</v>
      </c>
      <c r="L133" s="289">
        <v>70</v>
      </c>
      <c r="M133" s="292">
        <v>0.88</v>
      </c>
    </row>
    <row r="134" spans="1:13" x14ac:dyDescent="0.25">
      <c r="A134" s="288">
        <v>10</v>
      </c>
      <c r="B134" s="264">
        <v>10</v>
      </c>
      <c r="C134" s="290">
        <v>2</v>
      </c>
      <c r="D134" s="290">
        <f t="shared" si="11"/>
        <v>5</v>
      </c>
      <c r="E134" s="264">
        <v>19.93</v>
      </c>
      <c r="F134" s="290">
        <f t="shared" ca="1" si="12"/>
        <v>0.28999999999999998</v>
      </c>
      <c r="G134" s="290">
        <f t="shared" ca="1" si="15"/>
        <v>0.39881</v>
      </c>
      <c r="H134" s="290">
        <f t="shared" ca="1" si="13"/>
        <v>0.11565489999999999</v>
      </c>
      <c r="I134" s="251"/>
      <c r="J134" s="289">
        <v>8</v>
      </c>
      <c r="K134" s="289">
        <v>0.26</v>
      </c>
      <c r="L134" s="289">
        <v>80</v>
      </c>
      <c r="M134" s="292">
        <v>0.95</v>
      </c>
    </row>
    <row r="135" spans="1:13" x14ac:dyDescent="0.25">
      <c r="A135" s="288"/>
      <c r="B135" s="264"/>
      <c r="C135" s="290"/>
      <c r="D135" s="290"/>
      <c r="E135" s="264"/>
      <c r="F135" s="290"/>
      <c r="G135" s="290"/>
      <c r="H135" s="290"/>
      <c r="I135" s="251"/>
      <c r="J135" s="289">
        <v>9</v>
      </c>
      <c r="K135" s="289">
        <v>0.25</v>
      </c>
      <c r="L135" s="289">
        <v>90</v>
      </c>
      <c r="M135" s="292">
        <v>1</v>
      </c>
    </row>
    <row r="136" spans="1:13" x14ac:dyDescent="0.25">
      <c r="A136" s="288"/>
      <c r="B136" s="264"/>
      <c r="C136" s="290"/>
      <c r="D136" s="290"/>
      <c r="E136" s="264"/>
      <c r="F136" s="290"/>
      <c r="G136" s="290"/>
      <c r="H136" s="290"/>
      <c r="I136" s="251"/>
      <c r="J136" s="289">
        <v>10</v>
      </c>
      <c r="K136" s="289">
        <v>0.24</v>
      </c>
      <c r="L136" s="289">
        <v>100</v>
      </c>
      <c r="M136" s="292">
        <v>1.05</v>
      </c>
    </row>
    <row r="137" spans="1:13" x14ac:dyDescent="0.25">
      <c r="A137" s="288"/>
      <c r="B137" s="264"/>
      <c r="C137" s="290"/>
      <c r="D137" s="290"/>
      <c r="E137" s="264"/>
      <c r="F137" s="290"/>
      <c r="G137" s="290"/>
      <c r="H137" s="290"/>
      <c r="I137" s="251"/>
      <c r="J137" s="289">
        <v>11</v>
      </c>
      <c r="K137" s="289">
        <v>0.23</v>
      </c>
      <c r="L137" s="289">
        <v>120</v>
      </c>
      <c r="M137" s="292">
        <v>1.1299999999999999</v>
      </c>
    </row>
    <row r="138" spans="1:13" x14ac:dyDescent="0.25">
      <c r="A138" s="288"/>
      <c r="B138" s="264"/>
      <c r="C138" s="290"/>
      <c r="D138" s="290"/>
      <c r="E138" s="264"/>
      <c r="F138" s="290"/>
      <c r="G138" s="290"/>
      <c r="H138" s="290"/>
      <c r="I138" s="251"/>
      <c r="J138" s="289"/>
      <c r="K138" s="289"/>
      <c r="L138" s="289">
        <v>140</v>
      </c>
      <c r="M138" s="292">
        <v>1.2</v>
      </c>
    </row>
    <row r="139" spans="1:13" x14ac:dyDescent="0.25">
      <c r="A139" s="288"/>
      <c r="B139" s="264"/>
      <c r="C139" s="290"/>
      <c r="D139" s="290"/>
      <c r="E139" s="264"/>
      <c r="F139" s="290"/>
      <c r="G139" s="290"/>
      <c r="H139" s="290"/>
      <c r="I139" s="251"/>
      <c r="J139" s="251"/>
      <c r="K139" s="251"/>
      <c r="L139" s="251"/>
      <c r="M139" s="278"/>
    </row>
    <row r="140" spans="1:13" x14ac:dyDescent="0.25">
      <c r="A140" s="288"/>
      <c r="B140" s="264"/>
      <c r="C140" s="290"/>
      <c r="D140" s="290"/>
      <c r="E140" s="264"/>
      <c r="F140" s="290"/>
      <c r="G140" s="290"/>
      <c r="H140" s="290"/>
      <c r="I140" s="251"/>
      <c r="J140" s="251"/>
      <c r="K140" s="251"/>
      <c r="L140" s="251"/>
      <c r="M140" s="278"/>
    </row>
    <row r="141" spans="1:13" x14ac:dyDescent="0.25">
      <c r="A141" s="288"/>
      <c r="B141" s="264"/>
      <c r="C141" s="290"/>
      <c r="D141" s="290"/>
      <c r="E141" s="264"/>
      <c r="F141" s="290"/>
      <c r="G141" s="290"/>
      <c r="H141" s="290"/>
      <c r="I141" s="251"/>
      <c r="J141" s="251"/>
      <c r="K141" s="251"/>
      <c r="L141" s="251"/>
      <c r="M141" s="278"/>
    </row>
    <row r="142" spans="1:13" x14ac:dyDescent="0.25">
      <c r="A142" s="288"/>
      <c r="B142" s="264"/>
      <c r="C142" s="290"/>
      <c r="D142" s="290"/>
      <c r="E142" s="264"/>
      <c r="F142" s="290"/>
      <c r="G142" s="290"/>
      <c r="H142" s="290"/>
      <c r="I142" s="251"/>
      <c r="J142" s="251"/>
      <c r="K142" s="251"/>
      <c r="L142" s="251"/>
      <c r="M142" s="278"/>
    </row>
    <row r="143" spans="1:13" x14ac:dyDescent="0.25">
      <c r="A143" s="288"/>
      <c r="B143" s="264"/>
      <c r="C143" s="290"/>
      <c r="D143" s="290"/>
      <c r="E143" s="264"/>
      <c r="F143" s="290"/>
      <c r="G143" s="290"/>
      <c r="H143" s="290"/>
      <c r="I143" s="251"/>
      <c r="J143" s="251"/>
      <c r="K143" s="251"/>
      <c r="L143" s="251"/>
      <c r="M143" s="278"/>
    </row>
    <row r="144" spans="1:13" x14ac:dyDescent="0.25">
      <c r="A144" s="288"/>
      <c r="B144" s="264"/>
      <c r="C144" s="290"/>
      <c r="D144" s="290"/>
      <c r="E144" s="264"/>
      <c r="F144" s="290"/>
      <c r="G144" s="290"/>
      <c r="H144" s="290"/>
      <c r="I144" s="251"/>
      <c r="J144" s="251"/>
      <c r="K144" s="251"/>
      <c r="L144" s="251"/>
      <c r="M144" s="278"/>
    </row>
    <row r="145" spans="1:13" x14ac:dyDescent="0.25">
      <c r="A145" s="288"/>
      <c r="B145" s="264"/>
      <c r="C145" s="290"/>
      <c r="D145" s="290"/>
      <c r="E145" s="264"/>
      <c r="F145" s="290"/>
      <c r="G145" s="290"/>
      <c r="H145" s="290"/>
      <c r="I145" s="251"/>
      <c r="J145" s="251"/>
      <c r="K145" s="251"/>
      <c r="L145" s="251"/>
      <c r="M145" s="278"/>
    </row>
    <row r="146" spans="1:13" x14ac:dyDescent="0.25">
      <c r="A146" s="288"/>
      <c r="B146" s="264"/>
      <c r="C146" s="290"/>
      <c r="D146" s="290"/>
      <c r="E146" s="264"/>
      <c r="F146" s="290"/>
      <c r="G146" s="290"/>
      <c r="H146" s="290"/>
      <c r="I146" s="251"/>
      <c r="J146" s="251"/>
      <c r="K146" s="251"/>
      <c r="L146" s="251"/>
      <c r="M146" s="278"/>
    </row>
    <row r="147" spans="1:13" ht="16.2" x14ac:dyDescent="0.3">
      <c r="A147" s="387" t="s">
        <v>203</v>
      </c>
      <c r="B147" s="388"/>
      <c r="C147" s="388"/>
      <c r="D147" s="388"/>
      <c r="E147" s="388"/>
      <c r="F147" s="388"/>
      <c r="G147" s="388"/>
      <c r="H147" s="291">
        <f ca="1">SUM(H125:H146)</f>
        <v>0.89373825000000007</v>
      </c>
      <c r="I147" s="293"/>
      <c r="J147" s="293"/>
      <c r="K147" s="293"/>
      <c r="L147" s="293"/>
      <c r="M147" s="294"/>
    </row>
    <row r="150" spans="1:13" ht="14.4" x14ac:dyDescent="0.25">
      <c r="A150" s="244" t="s">
        <v>206</v>
      </c>
      <c r="C150" s="240"/>
    </row>
    <row r="151" spans="1:13" x14ac:dyDescent="0.25">
      <c r="A151" s="245" t="s">
        <v>138</v>
      </c>
      <c r="B151" s="246"/>
      <c r="C151" s="246"/>
      <c r="D151" s="246"/>
      <c r="E151" s="246"/>
      <c r="F151" s="246"/>
      <c r="G151" s="246"/>
      <c r="H151" s="246"/>
      <c r="I151" s="246"/>
      <c r="J151" s="246"/>
      <c r="K151" s="246"/>
      <c r="L151" s="246"/>
      <c r="M151" s="277"/>
    </row>
    <row r="152" spans="1:13" ht="14.4" x14ac:dyDescent="0.25">
      <c r="A152" s="247" t="s">
        <v>139</v>
      </c>
      <c r="B152" s="248"/>
      <c r="C152" s="249" t="s">
        <v>140</v>
      </c>
      <c r="D152" s="250" t="s">
        <v>141</v>
      </c>
      <c r="E152" s="249" t="s">
        <v>142</v>
      </c>
      <c r="F152" s="251"/>
      <c r="G152" s="251"/>
      <c r="H152" s="251"/>
      <c r="I152" s="251"/>
      <c r="J152" s="251"/>
      <c r="K152" s="251"/>
      <c r="L152" s="251"/>
      <c r="M152" s="278"/>
    </row>
    <row r="153" spans="1:13" ht="14.4" x14ac:dyDescent="0.25">
      <c r="A153" s="247"/>
      <c r="B153" s="248" t="s">
        <v>143</v>
      </c>
      <c r="C153" s="229">
        <v>4.5</v>
      </c>
      <c r="D153" s="252">
        <f>C153*1.25</f>
        <v>5.625</v>
      </c>
      <c r="E153" s="231">
        <f>C153*0.4</f>
        <v>1.8</v>
      </c>
      <c r="F153" s="251"/>
      <c r="G153" s="251"/>
      <c r="H153" s="251"/>
      <c r="I153" s="251"/>
      <c r="J153" s="251"/>
      <c r="K153" s="251"/>
      <c r="L153" s="251"/>
      <c r="M153" s="278"/>
    </row>
    <row r="154" spans="1:13" ht="14.4" x14ac:dyDescent="0.25">
      <c r="A154" s="247"/>
      <c r="B154" s="248" t="s">
        <v>144</v>
      </c>
      <c r="C154" s="253">
        <v>1</v>
      </c>
      <c r="D154" s="254">
        <f>C154</f>
        <v>1</v>
      </c>
      <c r="E154" s="255">
        <f>D154</f>
        <v>1</v>
      </c>
      <c r="F154" s="251"/>
      <c r="G154" s="251"/>
      <c r="H154" s="251"/>
      <c r="I154" s="251"/>
      <c r="J154" s="251"/>
      <c r="K154" s="251"/>
      <c r="L154" s="251"/>
      <c r="M154" s="278"/>
    </row>
    <row r="155" spans="1:13" ht="14.4" x14ac:dyDescent="0.25">
      <c r="A155" s="247"/>
      <c r="B155" s="248" t="s">
        <v>145</v>
      </c>
      <c r="C155" s="231">
        <f>C153/C154</f>
        <v>4.5</v>
      </c>
      <c r="D155" s="252">
        <f>D153/D154</f>
        <v>5.625</v>
      </c>
      <c r="E155" s="231">
        <f>E153/E154</f>
        <v>1.8</v>
      </c>
      <c r="F155" s="251"/>
      <c r="G155" s="251"/>
      <c r="H155" s="251"/>
      <c r="I155" s="251"/>
      <c r="J155" s="251"/>
      <c r="K155" s="251"/>
      <c r="L155" s="251"/>
      <c r="M155" s="278"/>
    </row>
    <row r="156" spans="1:13" ht="14.4" x14ac:dyDescent="0.25">
      <c r="A156" s="247"/>
      <c r="B156" s="248" t="s">
        <v>146</v>
      </c>
      <c r="C156" s="256">
        <v>144</v>
      </c>
      <c r="D156" s="252">
        <f t="shared" ref="D156:E158" si="16">C156</f>
        <v>144</v>
      </c>
      <c r="E156" s="231">
        <f t="shared" si="16"/>
        <v>144</v>
      </c>
      <c r="F156" s="251"/>
      <c r="G156" s="251"/>
      <c r="H156" s="251"/>
      <c r="I156" s="251"/>
      <c r="J156" s="251"/>
      <c r="K156" s="251"/>
      <c r="L156" s="251"/>
      <c r="M156" s="278"/>
    </row>
    <row r="157" spans="1:13" ht="14.4" x14ac:dyDescent="0.25">
      <c r="A157" s="247"/>
      <c r="B157" s="248" t="s">
        <v>134</v>
      </c>
      <c r="C157" s="295">
        <f>$G$32</f>
        <v>1.0999999999999999E-2</v>
      </c>
      <c r="D157" s="258">
        <f t="shared" si="16"/>
        <v>1.0999999999999999E-2</v>
      </c>
      <c r="E157" s="258">
        <f t="shared" si="16"/>
        <v>1.0999999999999999E-2</v>
      </c>
      <c r="F157" s="251"/>
      <c r="G157" s="251"/>
      <c r="H157" s="251"/>
      <c r="I157" s="251"/>
      <c r="J157" s="251"/>
      <c r="K157" s="251"/>
      <c r="L157" s="251"/>
      <c r="M157" s="278"/>
    </row>
    <row r="158" spans="1:13" ht="14.4" x14ac:dyDescent="0.25">
      <c r="A158" s="247"/>
      <c r="B158" s="248" t="s">
        <v>147</v>
      </c>
      <c r="C158" s="229">
        <v>2</v>
      </c>
      <c r="D158" s="252">
        <f t="shared" si="16"/>
        <v>2</v>
      </c>
      <c r="E158" s="231">
        <f t="shared" si="16"/>
        <v>2</v>
      </c>
      <c r="F158" s="251"/>
      <c r="G158" s="251"/>
      <c r="H158" s="251"/>
      <c r="I158" s="251"/>
      <c r="J158" s="251"/>
      <c r="K158" s="251"/>
      <c r="L158" s="251"/>
      <c r="M158" s="278"/>
    </row>
    <row r="159" spans="1:13" ht="14.4" x14ac:dyDescent="0.25">
      <c r="A159" s="247"/>
      <c r="B159" s="248" t="s">
        <v>148</v>
      </c>
      <c r="C159" s="252">
        <f>4*C155/(C158^2*PI())</f>
        <v>1.432394487827058</v>
      </c>
      <c r="D159" s="252">
        <f>4*D155/(D158^2*PI())</f>
        <v>1.7904931097838226</v>
      </c>
      <c r="E159" s="252">
        <f>4*E155/(E158^2*PI())</f>
        <v>0.57295779513082323</v>
      </c>
      <c r="F159" s="251"/>
      <c r="G159" s="251"/>
      <c r="H159" s="251"/>
      <c r="I159" s="251"/>
      <c r="J159" s="251"/>
      <c r="K159" s="251"/>
      <c r="L159" s="251"/>
      <c r="M159" s="278"/>
    </row>
    <row r="160" spans="1:13" ht="14.4" x14ac:dyDescent="0.25">
      <c r="A160" s="247"/>
      <c r="B160" s="248" t="s">
        <v>149</v>
      </c>
      <c r="C160" s="231">
        <f>C155/C159</f>
        <v>3.1415926535897931</v>
      </c>
      <c r="D160" s="252">
        <f>D155/D159</f>
        <v>3.1415926535897931</v>
      </c>
      <c r="E160" s="231">
        <f>E155/E159</f>
        <v>3.1415926535897931</v>
      </c>
      <c r="F160" s="251"/>
      <c r="G160" s="251"/>
      <c r="H160" s="251"/>
      <c r="I160" s="251"/>
      <c r="J160" s="251"/>
      <c r="K160" s="251"/>
      <c r="L160" s="251"/>
      <c r="M160" s="278"/>
    </row>
    <row r="161" spans="1:15" ht="14.4" x14ac:dyDescent="0.25">
      <c r="A161" s="247" t="s">
        <v>150</v>
      </c>
      <c r="B161" s="248"/>
      <c r="C161" s="248"/>
      <c r="D161" s="259"/>
      <c r="E161" s="248"/>
      <c r="F161" s="251"/>
      <c r="G161" s="389" t="s">
        <v>151</v>
      </c>
      <c r="H161" s="390"/>
      <c r="I161" s="390"/>
      <c r="J161" s="390"/>
      <c r="K161" s="391"/>
      <c r="L161" s="251"/>
      <c r="M161" s="278"/>
    </row>
    <row r="162" spans="1:15" ht="14.4" x14ac:dyDescent="0.25">
      <c r="A162" s="247" t="s">
        <v>152</v>
      </c>
      <c r="B162" s="248" t="s">
        <v>153</v>
      </c>
      <c r="C162" s="231">
        <f>C158/4</f>
        <v>0.5</v>
      </c>
      <c r="D162" s="252">
        <f>D158/4</f>
        <v>0.5</v>
      </c>
      <c r="E162" s="231">
        <f>E158/4</f>
        <v>0.5</v>
      </c>
      <c r="F162" s="251"/>
      <c r="G162" s="381" t="s">
        <v>154</v>
      </c>
      <c r="H162" s="260" t="s">
        <v>155</v>
      </c>
      <c r="I162" s="261" t="s">
        <v>156</v>
      </c>
      <c r="J162" s="261" t="s">
        <v>157</v>
      </c>
      <c r="K162" s="279" t="s">
        <v>158</v>
      </c>
      <c r="L162" s="251"/>
      <c r="M162" s="278"/>
    </row>
    <row r="163" spans="1:15" ht="16.8" x14ac:dyDescent="0.25">
      <c r="A163" s="247"/>
      <c r="B163" s="248" t="s">
        <v>159</v>
      </c>
      <c r="C163" s="231">
        <f>C162^(1/6)/C157</f>
        <v>80.990792558212661</v>
      </c>
      <c r="D163" s="252">
        <f>D162^(1/6)/D157</f>
        <v>80.990792558212661</v>
      </c>
      <c r="E163" s="231">
        <f>E162^(1/6)/E157</f>
        <v>80.990792558212661</v>
      </c>
      <c r="F163" s="251"/>
      <c r="G163" s="382"/>
      <c r="H163" s="261" t="s">
        <v>160</v>
      </c>
      <c r="I163" s="261" t="s">
        <v>161</v>
      </c>
      <c r="J163" s="261" t="s">
        <v>162</v>
      </c>
      <c r="K163" s="279" t="s">
        <v>163</v>
      </c>
      <c r="L163" s="251"/>
      <c r="M163" s="278"/>
    </row>
    <row r="164" spans="1:15" ht="16.8" x14ac:dyDescent="0.25">
      <c r="A164" s="247"/>
      <c r="B164" s="248" t="s">
        <v>164</v>
      </c>
      <c r="C164" s="231">
        <f>8*9.81/C163^2</f>
        <v>1.196431108348571E-2</v>
      </c>
      <c r="D164" s="252">
        <f>8*9.81/D163^2</f>
        <v>1.196431108348571E-2</v>
      </c>
      <c r="E164" s="231">
        <f>8*9.81/E163^2</f>
        <v>1.196431108348571E-2</v>
      </c>
      <c r="F164" s="251"/>
      <c r="G164" s="262" t="s">
        <v>207</v>
      </c>
      <c r="H164" s="263">
        <f>C160</f>
        <v>3.1415926535897931</v>
      </c>
      <c r="I164" s="263">
        <f>I170*I171</f>
        <v>9.7799999999999994</v>
      </c>
      <c r="J164" s="263">
        <f>H164/I164</f>
        <v>0.32122624269834288</v>
      </c>
      <c r="K164" s="280">
        <f ca="1">TREND(OFFSET($L$51,MATCH(J164,$K$52:$K$60),0,2,1),OFFSET($K$51,MATCH(J164,$K$52:$K$60),0,2,1),J164)</f>
        <v>0.39150950292066289</v>
      </c>
      <c r="L164" s="251"/>
      <c r="M164" s="278"/>
    </row>
    <row r="165" spans="1:15" ht="16.8" x14ac:dyDescent="0.25">
      <c r="A165" s="247"/>
      <c r="B165" s="248" t="s">
        <v>166</v>
      </c>
      <c r="C165" s="231">
        <f>C164*C156*C159^2/(4*C162*2*9.81)</f>
        <v>9.0083753207299944E-2</v>
      </c>
      <c r="D165" s="252">
        <f>D164*D156*D159^2/(4*D162*2*9.81)</f>
        <v>0.14075586438640617</v>
      </c>
      <c r="E165" s="231">
        <f>E164*E156*E159^2/(4*E162*2*9.81)</f>
        <v>1.4413400513167991E-2</v>
      </c>
      <c r="F165" s="251"/>
      <c r="G165" s="251"/>
      <c r="H165" s="251"/>
      <c r="I165" s="251"/>
      <c r="J165" s="251"/>
      <c r="K165" s="251"/>
      <c r="L165" s="251"/>
      <c r="M165" s="278"/>
      <c r="O165" s="281">
        <f>0.4-(0.4-0.36)/0.1*(J164-0.3)</f>
        <v>0.39150950292066283</v>
      </c>
    </row>
    <row r="166" spans="1:15" ht="14.4" x14ac:dyDescent="0.25">
      <c r="A166" s="247" t="s">
        <v>167</v>
      </c>
      <c r="B166" s="248" t="s">
        <v>168</v>
      </c>
      <c r="C166" s="264">
        <v>0.25</v>
      </c>
      <c r="D166" s="252">
        <f t="shared" ref="D166:E171" si="17">C166</f>
        <v>0.25</v>
      </c>
      <c r="E166" s="231">
        <f t="shared" si="17"/>
        <v>0.25</v>
      </c>
      <c r="F166" s="251"/>
      <c r="G166" s="251"/>
      <c r="H166" s="251"/>
      <c r="I166" s="251"/>
      <c r="J166" s="251"/>
      <c r="K166" s="251"/>
      <c r="L166" s="251"/>
      <c r="M166" s="278"/>
    </row>
    <row r="167" spans="1:15" ht="15.6" x14ac:dyDescent="0.25">
      <c r="A167" s="247"/>
      <c r="B167" s="248" t="s">
        <v>169</v>
      </c>
      <c r="C167" s="264">
        <f>0.1*2</f>
        <v>0.2</v>
      </c>
      <c r="D167" s="252">
        <f t="shared" si="17"/>
        <v>0.2</v>
      </c>
      <c r="E167" s="231">
        <f t="shared" si="17"/>
        <v>0.2</v>
      </c>
      <c r="F167" s="251"/>
      <c r="G167" s="383" t="s">
        <v>170</v>
      </c>
      <c r="H167" s="265" t="s">
        <v>171</v>
      </c>
      <c r="I167" s="282"/>
      <c r="J167" s="251"/>
      <c r="K167" s="238" t="s">
        <v>162</v>
      </c>
      <c r="L167" s="238" t="s">
        <v>163</v>
      </c>
      <c r="M167" s="278"/>
    </row>
    <row r="168" spans="1:15" ht="15.6" x14ac:dyDescent="0.25">
      <c r="A168" s="247"/>
      <c r="B168" s="248" t="s">
        <v>172</v>
      </c>
      <c r="C168" s="264">
        <v>0.02</v>
      </c>
      <c r="D168" s="252">
        <f t="shared" si="17"/>
        <v>0.02</v>
      </c>
      <c r="E168" s="231">
        <f t="shared" si="17"/>
        <v>0.02</v>
      </c>
      <c r="F168" s="251"/>
      <c r="G168" s="384"/>
      <c r="H168" s="266" t="s">
        <v>173</v>
      </c>
      <c r="I168" s="283">
        <v>1.76</v>
      </c>
      <c r="J168" s="251"/>
      <c r="K168" s="238">
        <v>0.1</v>
      </c>
      <c r="L168" s="238">
        <v>0.81</v>
      </c>
      <c r="M168" s="278"/>
    </row>
    <row r="169" spans="1:15" ht="16.2" x14ac:dyDescent="0.25">
      <c r="A169" s="247"/>
      <c r="B169" s="248" t="s">
        <v>174</v>
      </c>
      <c r="C169" s="264">
        <v>0.1</v>
      </c>
      <c r="D169" s="252">
        <f t="shared" si="17"/>
        <v>0.1</v>
      </c>
      <c r="E169" s="231">
        <f t="shared" si="17"/>
        <v>0.1</v>
      </c>
      <c r="F169" s="251"/>
      <c r="G169" s="384"/>
      <c r="H169" s="266" t="s">
        <v>175</v>
      </c>
      <c r="I169" s="284"/>
      <c r="J169" s="251"/>
      <c r="K169" s="238">
        <v>0.2</v>
      </c>
      <c r="L169" s="238">
        <v>0.64</v>
      </c>
      <c r="M169" s="278"/>
    </row>
    <row r="170" spans="1:15" ht="15.6" x14ac:dyDescent="0.25">
      <c r="A170" s="247"/>
      <c r="B170" s="248" t="s">
        <v>176</v>
      </c>
      <c r="C170" s="264">
        <v>80</v>
      </c>
      <c r="D170" s="252">
        <f t="shared" si="17"/>
        <v>80</v>
      </c>
      <c r="E170" s="231">
        <f t="shared" si="17"/>
        <v>80</v>
      </c>
      <c r="F170" s="251"/>
      <c r="G170" s="384"/>
      <c r="H170" s="266" t="s">
        <v>177</v>
      </c>
      <c r="I170" s="283">
        <f>I168+1.5</f>
        <v>3.26</v>
      </c>
      <c r="J170" s="251"/>
      <c r="K170" s="238">
        <v>0.3</v>
      </c>
      <c r="L170" s="238">
        <v>0.4</v>
      </c>
      <c r="M170" s="278"/>
    </row>
    <row r="171" spans="1:15" ht="15.6" x14ac:dyDescent="0.25">
      <c r="A171" s="247"/>
      <c r="B171" s="248" t="s">
        <v>178</v>
      </c>
      <c r="C171" s="264">
        <v>1.83</v>
      </c>
      <c r="D171" s="252">
        <f t="shared" si="17"/>
        <v>1.83</v>
      </c>
      <c r="E171" s="231">
        <f t="shared" si="17"/>
        <v>1.83</v>
      </c>
      <c r="F171" s="251"/>
      <c r="G171" s="384"/>
      <c r="H171" s="266" t="s">
        <v>179</v>
      </c>
      <c r="I171" s="283">
        <v>3</v>
      </c>
      <c r="K171" s="238">
        <v>0.4</v>
      </c>
      <c r="L171" s="238">
        <v>0.36</v>
      </c>
      <c r="M171" s="278"/>
    </row>
    <row r="172" spans="1:15" ht="16.8" x14ac:dyDescent="0.25">
      <c r="A172" s="247"/>
      <c r="B172" s="248" t="s">
        <v>180</v>
      </c>
      <c r="C172" s="231">
        <f>C171*(C168/C169)^(4/3)*SIN(C170/180*PI())</f>
        <v>0.21078637878092679</v>
      </c>
      <c r="D172" s="252">
        <f>D171*(D168/D169)^(4/3)*SIN(D170/180*PI())</f>
        <v>0.21078637878092679</v>
      </c>
      <c r="E172" s="231">
        <f>E171*(E168/E169)^(4/3)*SIN(E170/180*PI())</f>
        <v>0.21078637878092679</v>
      </c>
      <c r="F172" s="251"/>
      <c r="G172" s="384"/>
      <c r="H172" s="266" t="s">
        <v>181</v>
      </c>
      <c r="I172" s="284"/>
      <c r="K172" s="238">
        <v>0.5</v>
      </c>
      <c r="L172" s="238">
        <v>0.25</v>
      </c>
      <c r="M172" s="278"/>
    </row>
    <row r="173" spans="1:15" ht="15.6" x14ac:dyDescent="0.25">
      <c r="A173" s="247"/>
      <c r="B173" s="247" t="s">
        <v>182</v>
      </c>
      <c r="C173" s="231">
        <f ca="1">H205</f>
        <v>0.82095750999999995</v>
      </c>
      <c r="D173" s="252">
        <f t="shared" ref="D173:E175" ca="1" si="18">C173</f>
        <v>0.82095750999999995</v>
      </c>
      <c r="E173" s="231">
        <f t="shared" ca="1" si="18"/>
        <v>0.82095750999999995</v>
      </c>
      <c r="F173" s="251"/>
      <c r="G173" s="384"/>
      <c r="H173" s="266" t="s">
        <v>183</v>
      </c>
      <c r="I173" s="284"/>
      <c r="K173" s="238">
        <v>0.6</v>
      </c>
      <c r="L173" s="238">
        <v>0.16</v>
      </c>
      <c r="M173" s="278"/>
    </row>
    <row r="174" spans="1:15" ht="16.2" x14ac:dyDescent="0.25">
      <c r="A174" s="247"/>
      <c r="B174" s="247" t="s">
        <v>184</v>
      </c>
      <c r="C174" s="264">
        <f ca="1">K164</f>
        <v>0.39150950292066289</v>
      </c>
      <c r="D174" s="252">
        <f t="shared" ca="1" si="18"/>
        <v>0.39150950292066289</v>
      </c>
      <c r="E174" s="231">
        <f t="shared" ca="1" si="18"/>
        <v>0.39150950292066289</v>
      </c>
      <c r="F174" s="251"/>
      <c r="G174" s="385"/>
      <c r="H174" s="266" t="s">
        <v>185</v>
      </c>
      <c r="I174" s="284"/>
      <c r="K174" s="238">
        <v>0.7</v>
      </c>
      <c r="L174" s="238">
        <v>0.09</v>
      </c>
      <c r="M174" s="278"/>
    </row>
    <row r="175" spans="1:15" ht="16.2" x14ac:dyDescent="0.25">
      <c r="A175" s="247"/>
      <c r="B175" s="248" t="s">
        <v>186</v>
      </c>
      <c r="C175" s="264">
        <f>0.1*1</f>
        <v>0.1</v>
      </c>
      <c r="D175" s="252">
        <f t="shared" si="18"/>
        <v>0.1</v>
      </c>
      <c r="E175" s="231">
        <f t="shared" si="18"/>
        <v>0.1</v>
      </c>
      <c r="F175" s="251"/>
      <c r="G175" s="386"/>
      <c r="H175" s="267" t="s">
        <v>187</v>
      </c>
      <c r="I175" s="285"/>
      <c r="J175" s="251"/>
      <c r="K175" s="238">
        <v>0.8</v>
      </c>
      <c r="L175" s="238">
        <v>0.04</v>
      </c>
      <c r="M175" s="278"/>
    </row>
    <row r="176" spans="1:15" ht="14.4" x14ac:dyDescent="0.25">
      <c r="A176" s="247"/>
      <c r="B176" s="248" t="s">
        <v>188</v>
      </c>
      <c r="C176" s="231">
        <f ca="1">C175+C172+C167+C166+C174+C173</f>
        <v>1.9732533917015895</v>
      </c>
      <c r="D176" s="252">
        <f ca="1">D175+D172+D167+D166+D174+D173</f>
        <v>1.9732533917015895</v>
      </c>
      <c r="E176" s="231">
        <f ca="1">E175+E172+E167+E166+E174+E173</f>
        <v>1.9732533917015895</v>
      </c>
      <c r="F176" s="251"/>
      <c r="G176" s="251"/>
      <c r="H176" s="251"/>
      <c r="I176" s="251"/>
      <c r="J176" s="251"/>
      <c r="K176" s="238">
        <v>0.9</v>
      </c>
      <c r="L176" s="238">
        <v>0.01</v>
      </c>
      <c r="M176" s="278"/>
    </row>
    <row r="177" spans="1:13" ht="16.8" x14ac:dyDescent="0.25">
      <c r="A177" s="247"/>
      <c r="B177" s="248" t="s">
        <v>189</v>
      </c>
      <c r="C177" s="231">
        <f ca="1">C176*C159^2/2/9.81</f>
        <v>0.20635221599325268</v>
      </c>
      <c r="D177" s="252">
        <f ca="1">D176*D159^2/2/9.81</f>
        <v>0.32242533748945734</v>
      </c>
      <c r="E177" s="231">
        <f ca="1">E176*E159^2/2/9.81</f>
        <v>3.3016354558920429E-2</v>
      </c>
      <c r="F177" s="251"/>
      <c r="G177" s="251"/>
      <c r="H177" s="251"/>
      <c r="I177" s="251"/>
      <c r="J177" s="251"/>
      <c r="K177" s="251"/>
      <c r="L177" s="251"/>
      <c r="M177" s="278"/>
    </row>
    <row r="178" spans="1:13" ht="14.4" x14ac:dyDescent="0.25">
      <c r="A178" s="268" t="s">
        <v>190</v>
      </c>
      <c r="B178" s="269" t="s">
        <v>191</v>
      </c>
      <c r="C178" s="270">
        <f ca="1">C165+C177</f>
        <v>0.2964359692005526</v>
      </c>
      <c r="D178" s="270">
        <f ca="1">D165+D177</f>
        <v>0.46318120187586354</v>
      </c>
      <c r="E178" s="271">
        <f ca="1">E165+E177</f>
        <v>4.7429755072088423E-2</v>
      </c>
      <c r="F178" s="251"/>
      <c r="G178" s="272" t="s">
        <v>192</v>
      </c>
      <c r="H178" s="241">
        <f>0.12</f>
        <v>0.12</v>
      </c>
      <c r="I178" s="251"/>
      <c r="J178" s="251"/>
      <c r="K178" s="251"/>
      <c r="L178" s="251"/>
      <c r="M178" s="278"/>
    </row>
    <row r="179" spans="1:13" ht="14.4" x14ac:dyDescent="0.25">
      <c r="A179" s="273" t="s">
        <v>193</v>
      </c>
      <c r="B179" s="274"/>
      <c r="C179" s="231">
        <f ca="1">C178+(C159^2-D134^2)/(2*9.81)</f>
        <v>-0.87319940446115274</v>
      </c>
      <c r="D179" s="252">
        <f ca="1">D178+(D159^2-D133^2)/(2*9.81)</f>
        <v>-0.64763095020449624</v>
      </c>
      <c r="E179" s="231">
        <f ca="1">E178+(E159^2-D135^2)/(2*9.81)</f>
        <v>6.4161693655226767E-2</v>
      </c>
      <c r="F179" s="251"/>
      <c r="G179" s="251"/>
      <c r="H179" s="251"/>
      <c r="I179" s="251"/>
      <c r="J179" s="251"/>
      <c r="K179" s="251"/>
      <c r="L179" s="251"/>
      <c r="M179" s="278"/>
    </row>
    <row r="180" spans="1:13" ht="14.4" x14ac:dyDescent="0.25">
      <c r="A180" s="273" t="s">
        <v>194</v>
      </c>
      <c r="B180" s="274"/>
      <c r="C180" s="231">
        <f ca="1">C179+C142-D142</f>
        <v>-0.87319940446115274</v>
      </c>
      <c r="D180" s="252">
        <f ca="1">D179+C140-D140</f>
        <v>-0.64763095020449624</v>
      </c>
      <c r="E180" s="231">
        <f ca="1">E179+C144-D144</f>
        <v>6.4161693655226767E-2</v>
      </c>
      <c r="F180" s="251"/>
      <c r="G180" s="251"/>
      <c r="H180" s="251"/>
      <c r="I180" s="251"/>
      <c r="J180" s="251"/>
      <c r="K180" s="251"/>
      <c r="L180" s="251"/>
      <c r="M180" s="278"/>
    </row>
    <row r="181" spans="1:13" x14ac:dyDescent="0.25">
      <c r="A181" s="286"/>
      <c r="B181" s="287"/>
      <c r="C181" s="251"/>
      <c r="D181" s="251"/>
      <c r="E181" s="251"/>
      <c r="F181" s="251"/>
      <c r="G181" s="251"/>
      <c r="H181" s="251"/>
      <c r="I181" s="251"/>
      <c r="J181" s="251"/>
      <c r="K181" s="251"/>
      <c r="L181" s="251"/>
      <c r="M181" s="278"/>
    </row>
    <row r="182" spans="1:13" ht="18" x14ac:dyDescent="0.4">
      <c r="A182" s="288"/>
      <c r="B182" s="289" t="s">
        <v>26</v>
      </c>
      <c r="C182" s="289" t="s">
        <v>195</v>
      </c>
      <c r="D182" s="289" t="s">
        <v>196</v>
      </c>
      <c r="E182" s="289" t="s">
        <v>197</v>
      </c>
      <c r="F182" s="289" t="s">
        <v>198</v>
      </c>
      <c r="G182" s="289" t="s">
        <v>199</v>
      </c>
      <c r="H182" s="289" t="s">
        <v>200</v>
      </c>
      <c r="I182" s="251"/>
      <c r="J182" s="289" t="s">
        <v>201</v>
      </c>
      <c r="K182" s="289" t="s">
        <v>202</v>
      </c>
      <c r="L182" s="289" t="s">
        <v>197</v>
      </c>
      <c r="M182" s="292" t="s">
        <v>199</v>
      </c>
    </row>
    <row r="183" spans="1:13" x14ac:dyDescent="0.25">
      <c r="A183" s="288">
        <v>1</v>
      </c>
      <c r="B183" s="264">
        <v>10</v>
      </c>
      <c r="C183" s="290">
        <f>C158</f>
        <v>2</v>
      </c>
      <c r="D183" s="290">
        <f t="shared" ref="D183:D188" si="19">B183/C183</f>
        <v>5</v>
      </c>
      <c r="E183" s="264">
        <v>35.808</v>
      </c>
      <c r="F183" s="290">
        <f t="shared" ref="F183:F188" ca="1" si="20">TREND(OFFSET($K$66,MATCH(D183,$J$67:$J$79),0,2,1),OFFSET($J$66,MATCH(D183,$J$67:$J$79),0,2,1),D183)</f>
        <v>0.28999999999999998</v>
      </c>
      <c r="G183" s="290">
        <f ca="1">TREND(OFFSET($M$66,MATCH(E183,$L$67:$L$80),0,2,1),OFFSET($L$66,MATCH(E183,$L$67:$L$80),0,2,1),E183)</f>
        <v>0.60808000000000018</v>
      </c>
      <c r="H183" s="290">
        <f t="shared" ref="H183:H188" ca="1" si="21">F183*G183</f>
        <v>0.17634320000000003</v>
      </c>
      <c r="I183" s="251"/>
      <c r="J183" s="289">
        <v>0.5</v>
      </c>
      <c r="K183" s="289">
        <v>1.2</v>
      </c>
      <c r="L183" s="289">
        <v>0</v>
      </c>
      <c r="M183" s="292">
        <v>0</v>
      </c>
    </row>
    <row r="184" spans="1:13" x14ac:dyDescent="0.25">
      <c r="A184" s="288">
        <v>2</v>
      </c>
      <c r="B184" s="264">
        <v>10</v>
      </c>
      <c r="C184" s="290">
        <f>C183</f>
        <v>2</v>
      </c>
      <c r="D184" s="290">
        <f t="shared" si="19"/>
        <v>5</v>
      </c>
      <c r="E184" s="264">
        <v>11.249000000000001</v>
      </c>
      <c r="F184" s="290">
        <f t="shared" ca="1" si="20"/>
        <v>0.28999999999999998</v>
      </c>
      <c r="G184" s="290">
        <f ca="1">TREND(OFFSET($M$66,MATCH(E184,$L$67:$L$79),0,2,1),OFFSET($L$66,MATCH(E184,$L$67:$L$79),0,2,1),E184)</f>
        <v>0.25123300000000004</v>
      </c>
      <c r="H184" s="290">
        <f t="shared" ca="1" si="21"/>
        <v>7.285757000000001E-2</v>
      </c>
      <c r="I184" s="251"/>
      <c r="J184" s="289">
        <v>1</v>
      </c>
      <c r="K184" s="289">
        <v>0.8</v>
      </c>
      <c r="L184" s="289">
        <v>5</v>
      </c>
      <c r="M184" s="292">
        <v>0.125</v>
      </c>
    </row>
    <row r="185" spans="1:13" x14ac:dyDescent="0.25">
      <c r="A185" s="288">
        <v>3</v>
      </c>
      <c r="B185" s="264">
        <v>10</v>
      </c>
      <c r="C185" s="290">
        <f>C184</f>
        <v>2</v>
      </c>
      <c r="D185" s="290">
        <f t="shared" si="19"/>
        <v>5</v>
      </c>
      <c r="E185" s="264">
        <v>13.009</v>
      </c>
      <c r="F185" s="290">
        <f t="shared" ca="1" si="20"/>
        <v>0.28999999999999998</v>
      </c>
      <c r="G185" s="290">
        <f ca="1">TREND(OFFSET($M$66,MATCH(E185,$L$67:$L$79),0,2,1),OFFSET($L$66,MATCH(E185,$L$67:$L$79),0,2,1),E185)</f>
        <v>0.28115299999999999</v>
      </c>
      <c r="H185" s="290">
        <f t="shared" ca="1" si="21"/>
        <v>8.1534369999999995E-2</v>
      </c>
      <c r="I185" s="251"/>
      <c r="J185" s="289">
        <v>1.5</v>
      </c>
      <c r="K185" s="289">
        <v>0.6</v>
      </c>
      <c r="L185" s="289">
        <v>10</v>
      </c>
      <c r="M185" s="292">
        <v>0.23</v>
      </c>
    </row>
    <row r="186" spans="1:13" x14ac:dyDescent="0.25">
      <c r="A186" s="288">
        <v>4</v>
      </c>
      <c r="B186" s="264">
        <v>10</v>
      </c>
      <c r="C186" s="290">
        <f>C185</f>
        <v>2</v>
      </c>
      <c r="D186" s="290">
        <f t="shared" si="19"/>
        <v>5</v>
      </c>
      <c r="E186" s="264">
        <v>22.134</v>
      </c>
      <c r="F186" s="290">
        <f t="shared" ca="1" si="20"/>
        <v>0.28999999999999998</v>
      </c>
      <c r="G186" s="290">
        <f ca="1">TREND(OFFSET($M$66,MATCH(E186,$L$67:$L$79),0,2,1),OFFSET($L$66,MATCH(E186,$L$67:$L$79),0,2,1),E186)</f>
        <v>0.43201000000000006</v>
      </c>
      <c r="H186" s="290">
        <f t="shared" ca="1" si="21"/>
        <v>0.1252829</v>
      </c>
      <c r="I186" s="251"/>
      <c r="J186" s="289">
        <v>2</v>
      </c>
      <c r="K186" s="289">
        <v>0.48</v>
      </c>
      <c r="L186" s="289">
        <v>20</v>
      </c>
      <c r="M186" s="292">
        <v>0.4</v>
      </c>
    </row>
    <row r="187" spans="1:13" x14ac:dyDescent="0.25">
      <c r="A187" s="288">
        <v>5</v>
      </c>
      <c r="B187" s="264">
        <v>6</v>
      </c>
      <c r="C187" s="290">
        <f>C186</f>
        <v>2</v>
      </c>
      <c r="D187" s="290">
        <f t="shared" si="19"/>
        <v>3</v>
      </c>
      <c r="E187" s="264">
        <v>45.685000000000002</v>
      </c>
      <c r="F187" s="290">
        <f t="shared" ca="1" si="20"/>
        <v>0.36</v>
      </c>
      <c r="G187" s="290">
        <f ca="1">TREND(OFFSET($M$66,MATCH(E187,$L$67:$L$79),0,2,1),OFFSET($L$66,MATCH(E187,$L$67:$L$79),0,2,1),E187)</f>
        <v>0.70684999999999998</v>
      </c>
      <c r="H187" s="290">
        <f t="shared" ca="1" si="21"/>
        <v>0.25446599999999997</v>
      </c>
      <c r="I187" s="251"/>
      <c r="J187" s="289">
        <v>3</v>
      </c>
      <c r="K187" s="289">
        <v>0.36</v>
      </c>
      <c r="L187" s="289">
        <v>30</v>
      </c>
      <c r="M187" s="292">
        <v>0.55000000000000004</v>
      </c>
    </row>
    <row r="188" spans="1:13" x14ac:dyDescent="0.25">
      <c r="A188" s="288">
        <v>6</v>
      </c>
      <c r="B188" s="264">
        <v>10</v>
      </c>
      <c r="C188" s="290">
        <v>2</v>
      </c>
      <c r="D188" s="290">
        <f t="shared" si="19"/>
        <v>5</v>
      </c>
      <c r="E188" s="264">
        <v>18.879000000000001</v>
      </c>
      <c r="F188" s="290">
        <f t="shared" ca="1" si="20"/>
        <v>0.28999999999999998</v>
      </c>
      <c r="G188" s="290">
        <f ca="1">TREND(OFFSET($M$66,MATCH(E188,$L$67:$L$79),0,2,1),OFFSET($L$66,MATCH(E188,$L$67:$L$79),0,2,1),E188)</f>
        <v>0.38094300000000003</v>
      </c>
      <c r="H188" s="290">
        <f t="shared" ca="1" si="21"/>
        <v>0.11047347</v>
      </c>
      <c r="I188" s="251"/>
      <c r="J188" s="289">
        <v>4</v>
      </c>
      <c r="K188" s="289">
        <v>0.3</v>
      </c>
      <c r="L188" s="289">
        <v>40</v>
      </c>
      <c r="M188" s="292">
        <v>0.65</v>
      </c>
    </row>
    <row r="189" spans="1:13" x14ac:dyDescent="0.25">
      <c r="A189" s="288"/>
      <c r="B189" s="264"/>
      <c r="C189" s="290"/>
      <c r="D189" s="290"/>
      <c r="E189" s="264"/>
      <c r="F189" s="290"/>
      <c r="G189" s="290"/>
      <c r="H189" s="290"/>
      <c r="I189" s="251"/>
      <c r="J189" s="289">
        <v>5</v>
      </c>
      <c r="K189" s="289">
        <v>0.28999999999999998</v>
      </c>
      <c r="L189" s="289">
        <v>50</v>
      </c>
      <c r="M189" s="292">
        <v>0.75</v>
      </c>
    </row>
    <row r="190" spans="1:13" x14ac:dyDescent="0.25">
      <c r="A190" s="288"/>
      <c r="B190" s="264"/>
      <c r="C190" s="290"/>
      <c r="D190" s="290"/>
      <c r="E190" s="264"/>
      <c r="F190" s="290"/>
      <c r="G190" s="290"/>
      <c r="H190" s="290"/>
      <c r="I190" s="251"/>
      <c r="J190" s="289">
        <v>6</v>
      </c>
      <c r="K190" s="289">
        <v>0.28000000000000003</v>
      </c>
      <c r="L190" s="289">
        <v>60</v>
      </c>
      <c r="M190" s="292">
        <v>0.83</v>
      </c>
    </row>
    <row r="191" spans="1:13" x14ac:dyDescent="0.25">
      <c r="A191" s="288"/>
      <c r="B191" s="264"/>
      <c r="C191" s="290"/>
      <c r="D191" s="290"/>
      <c r="E191" s="264"/>
      <c r="F191" s="290"/>
      <c r="G191" s="290"/>
      <c r="H191" s="290"/>
      <c r="I191" s="251"/>
      <c r="J191" s="289">
        <v>7</v>
      </c>
      <c r="K191" s="289">
        <v>0.27</v>
      </c>
      <c r="L191" s="289">
        <v>70</v>
      </c>
      <c r="M191" s="292">
        <v>0.88</v>
      </c>
    </row>
    <row r="192" spans="1:13" x14ac:dyDescent="0.25">
      <c r="A192" s="288"/>
      <c r="B192" s="264"/>
      <c r="C192" s="290"/>
      <c r="D192" s="290"/>
      <c r="E192" s="264"/>
      <c r="F192" s="290"/>
      <c r="G192" s="290"/>
      <c r="H192" s="290"/>
      <c r="I192" s="251"/>
      <c r="J192" s="289">
        <v>8</v>
      </c>
      <c r="K192" s="289">
        <v>0.26</v>
      </c>
      <c r="L192" s="289">
        <v>80</v>
      </c>
      <c r="M192" s="292">
        <v>0.95</v>
      </c>
    </row>
    <row r="193" spans="1:13" x14ac:dyDescent="0.25">
      <c r="A193" s="288"/>
      <c r="B193" s="264"/>
      <c r="C193" s="290"/>
      <c r="D193" s="290"/>
      <c r="E193" s="264"/>
      <c r="F193" s="290"/>
      <c r="G193" s="290"/>
      <c r="H193" s="290"/>
      <c r="I193" s="251"/>
      <c r="J193" s="289">
        <v>9</v>
      </c>
      <c r="K193" s="289">
        <v>0.25</v>
      </c>
      <c r="L193" s="289">
        <v>90</v>
      </c>
      <c r="M193" s="292">
        <v>1</v>
      </c>
    </row>
    <row r="194" spans="1:13" x14ac:dyDescent="0.25">
      <c r="A194" s="288"/>
      <c r="B194" s="264"/>
      <c r="C194" s="290"/>
      <c r="D194" s="290"/>
      <c r="E194" s="264"/>
      <c r="F194" s="290"/>
      <c r="G194" s="290"/>
      <c r="H194" s="290"/>
      <c r="I194" s="251"/>
      <c r="J194" s="289">
        <v>10</v>
      </c>
      <c r="K194" s="289">
        <v>0.24</v>
      </c>
      <c r="L194" s="289">
        <v>100</v>
      </c>
      <c r="M194" s="292">
        <v>1.05</v>
      </c>
    </row>
    <row r="195" spans="1:13" x14ac:dyDescent="0.25">
      <c r="A195" s="288"/>
      <c r="B195" s="264"/>
      <c r="C195" s="290"/>
      <c r="D195" s="290"/>
      <c r="E195" s="264"/>
      <c r="F195" s="290"/>
      <c r="G195" s="290"/>
      <c r="H195" s="290"/>
      <c r="I195" s="251"/>
      <c r="J195" s="289">
        <v>11</v>
      </c>
      <c r="K195" s="289">
        <v>0.23</v>
      </c>
      <c r="L195" s="289">
        <v>120</v>
      </c>
      <c r="M195" s="292">
        <v>1.1299999999999999</v>
      </c>
    </row>
    <row r="196" spans="1:13" x14ac:dyDescent="0.25">
      <c r="A196" s="288"/>
      <c r="B196" s="264"/>
      <c r="C196" s="290"/>
      <c r="D196" s="290"/>
      <c r="E196" s="264"/>
      <c r="F196" s="290"/>
      <c r="G196" s="290"/>
      <c r="H196" s="290"/>
      <c r="I196" s="251"/>
      <c r="J196" s="289"/>
      <c r="K196" s="289"/>
      <c r="L196" s="289">
        <v>140</v>
      </c>
      <c r="M196" s="292">
        <v>1.2</v>
      </c>
    </row>
    <row r="197" spans="1:13" x14ac:dyDescent="0.25">
      <c r="A197" s="288"/>
      <c r="B197" s="264"/>
      <c r="C197" s="290"/>
      <c r="D197" s="290"/>
      <c r="E197" s="264"/>
      <c r="F197" s="290"/>
      <c r="G197" s="290"/>
      <c r="H197" s="290"/>
      <c r="I197" s="251"/>
      <c r="J197" s="251"/>
      <c r="K197" s="251"/>
      <c r="L197" s="251"/>
      <c r="M197" s="278"/>
    </row>
    <row r="198" spans="1:13" x14ac:dyDescent="0.25">
      <c r="A198" s="288"/>
      <c r="B198" s="264"/>
      <c r="C198" s="290"/>
      <c r="D198" s="290"/>
      <c r="E198" s="264"/>
      <c r="F198" s="290"/>
      <c r="G198" s="290"/>
      <c r="H198" s="290"/>
      <c r="I198" s="251"/>
      <c r="J198" s="251"/>
      <c r="K198" s="251"/>
      <c r="L198" s="251"/>
      <c r="M198" s="278"/>
    </row>
    <row r="199" spans="1:13" x14ac:dyDescent="0.25">
      <c r="A199" s="288"/>
      <c r="B199" s="264"/>
      <c r="C199" s="290"/>
      <c r="D199" s="290"/>
      <c r="E199" s="264"/>
      <c r="F199" s="290"/>
      <c r="G199" s="290"/>
      <c r="H199" s="290"/>
      <c r="I199" s="251"/>
      <c r="J199" s="251"/>
      <c r="K199" s="251"/>
      <c r="L199" s="251"/>
      <c r="M199" s="278"/>
    </row>
    <row r="200" spans="1:13" x14ac:dyDescent="0.25">
      <c r="A200" s="288"/>
      <c r="B200" s="264"/>
      <c r="C200" s="290"/>
      <c r="D200" s="290"/>
      <c r="E200" s="264"/>
      <c r="F200" s="290"/>
      <c r="G200" s="290"/>
      <c r="H200" s="290"/>
      <c r="I200" s="251"/>
      <c r="J200" s="251"/>
      <c r="K200" s="251"/>
      <c r="L200" s="251"/>
      <c r="M200" s="278"/>
    </row>
    <row r="201" spans="1:13" x14ac:dyDescent="0.25">
      <c r="A201" s="288"/>
      <c r="B201" s="264"/>
      <c r="C201" s="290"/>
      <c r="D201" s="290"/>
      <c r="E201" s="264"/>
      <c r="F201" s="290"/>
      <c r="G201" s="290"/>
      <c r="H201" s="290"/>
      <c r="I201" s="251"/>
      <c r="J201" s="251"/>
      <c r="K201" s="251"/>
      <c r="L201" s="251"/>
      <c r="M201" s="278"/>
    </row>
    <row r="202" spans="1:13" x14ac:dyDescent="0.25">
      <c r="A202" s="288"/>
      <c r="B202" s="264"/>
      <c r="C202" s="290"/>
      <c r="D202" s="290"/>
      <c r="E202" s="264"/>
      <c r="F202" s="290"/>
      <c r="G202" s="290"/>
      <c r="H202" s="290"/>
      <c r="I202" s="251"/>
      <c r="J202" s="251"/>
      <c r="K202" s="251"/>
      <c r="L202" s="251"/>
      <c r="M202" s="278"/>
    </row>
    <row r="203" spans="1:13" x14ac:dyDescent="0.25">
      <c r="A203" s="288"/>
      <c r="B203" s="264"/>
      <c r="C203" s="290"/>
      <c r="D203" s="290"/>
      <c r="E203" s="264"/>
      <c r="F203" s="290"/>
      <c r="G203" s="290"/>
      <c r="H203" s="290"/>
      <c r="I203" s="251"/>
      <c r="J203" s="251"/>
      <c r="K203" s="251"/>
      <c r="L203" s="251"/>
      <c r="M203" s="278"/>
    </row>
    <row r="204" spans="1:13" x14ac:dyDescent="0.25">
      <c r="A204" s="288"/>
      <c r="B204" s="264"/>
      <c r="C204" s="290"/>
      <c r="D204" s="290"/>
      <c r="E204" s="264"/>
      <c r="F204" s="290"/>
      <c r="G204" s="290"/>
      <c r="H204" s="290"/>
      <c r="I204" s="251"/>
      <c r="J204" s="251"/>
      <c r="K204" s="251"/>
      <c r="L204" s="251"/>
      <c r="M204" s="278"/>
    </row>
    <row r="205" spans="1:13" ht="16.2" x14ac:dyDescent="0.3">
      <c r="A205" s="387" t="s">
        <v>203</v>
      </c>
      <c r="B205" s="388"/>
      <c r="C205" s="388"/>
      <c r="D205" s="388"/>
      <c r="E205" s="388"/>
      <c r="F205" s="388"/>
      <c r="G205" s="388"/>
      <c r="H205" s="291">
        <f ca="1">SUM(H183:H204)</f>
        <v>0.82095750999999995</v>
      </c>
      <c r="I205" s="293"/>
      <c r="J205" s="293"/>
      <c r="K205" s="293"/>
      <c r="L205" s="293"/>
      <c r="M205" s="294"/>
    </row>
    <row r="208" spans="1:13" ht="14.4" x14ac:dyDescent="0.25">
      <c r="A208" s="244" t="s">
        <v>208</v>
      </c>
      <c r="C208" s="240"/>
    </row>
    <row r="209" spans="1:15" x14ac:dyDescent="0.25">
      <c r="A209" s="245" t="s">
        <v>138</v>
      </c>
      <c r="B209" s="246"/>
      <c r="C209" s="246"/>
      <c r="D209" s="246"/>
      <c r="E209" s="246"/>
      <c r="F209" s="246"/>
      <c r="G209" s="246"/>
      <c r="H209" s="246"/>
      <c r="I209" s="246"/>
      <c r="J209" s="246"/>
      <c r="K209" s="246"/>
      <c r="L209" s="246"/>
      <c r="M209" s="277"/>
    </row>
    <row r="210" spans="1:15" ht="14.4" x14ac:dyDescent="0.25">
      <c r="A210" s="247" t="s">
        <v>139</v>
      </c>
      <c r="B210" s="248"/>
      <c r="C210" s="249" t="s">
        <v>140</v>
      </c>
      <c r="D210" s="250" t="s">
        <v>141</v>
      </c>
      <c r="E210" s="249" t="s">
        <v>142</v>
      </c>
      <c r="F210" s="251"/>
      <c r="G210" s="251"/>
      <c r="H210" s="251"/>
      <c r="I210" s="251"/>
      <c r="J210" s="251"/>
      <c r="K210" s="251"/>
      <c r="L210" s="251"/>
      <c r="M210" s="278"/>
    </row>
    <row r="211" spans="1:15" ht="14.4" x14ac:dyDescent="0.25">
      <c r="A211" s="247"/>
      <c r="B211" s="248" t="s">
        <v>143</v>
      </c>
      <c r="C211" s="229">
        <v>4.5</v>
      </c>
      <c r="D211" s="252">
        <f>C211*1.25</f>
        <v>5.625</v>
      </c>
      <c r="E211" s="231">
        <f>C211*0.4</f>
        <v>1.8</v>
      </c>
      <c r="F211" s="251"/>
      <c r="G211" s="251"/>
      <c r="H211" s="251"/>
      <c r="I211" s="251"/>
      <c r="J211" s="251"/>
      <c r="K211" s="251"/>
      <c r="L211" s="251"/>
      <c r="M211" s="278"/>
    </row>
    <row r="212" spans="1:15" ht="14.4" x14ac:dyDescent="0.25">
      <c r="A212" s="247"/>
      <c r="B212" s="248" t="s">
        <v>144</v>
      </c>
      <c r="C212" s="253">
        <v>1</v>
      </c>
      <c r="D212" s="254">
        <f>C212</f>
        <v>1</v>
      </c>
      <c r="E212" s="255">
        <f>D212</f>
        <v>1</v>
      </c>
      <c r="F212" s="251"/>
      <c r="G212" s="251"/>
      <c r="H212" s="251"/>
      <c r="I212" s="251"/>
      <c r="J212" s="251"/>
      <c r="K212" s="251"/>
      <c r="L212" s="251"/>
      <c r="M212" s="278"/>
    </row>
    <row r="213" spans="1:15" ht="14.4" x14ac:dyDescent="0.25">
      <c r="A213" s="247"/>
      <c r="B213" s="248" t="s">
        <v>145</v>
      </c>
      <c r="C213" s="231">
        <f>C211/C212</f>
        <v>4.5</v>
      </c>
      <c r="D213" s="252">
        <f>D211/D212</f>
        <v>5.625</v>
      </c>
      <c r="E213" s="231">
        <f>E211/E212</f>
        <v>1.8</v>
      </c>
      <c r="F213" s="251"/>
      <c r="G213" s="251"/>
      <c r="H213" s="251"/>
      <c r="I213" s="251"/>
      <c r="J213" s="251"/>
      <c r="K213" s="251"/>
      <c r="L213" s="251"/>
      <c r="M213" s="278"/>
    </row>
    <row r="214" spans="1:15" ht="14.4" x14ac:dyDescent="0.25">
      <c r="A214" s="247"/>
      <c r="B214" s="248" t="s">
        <v>146</v>
      </c>
      <c r="C214" s="256">
        <v>178</v>
      </c>
      <c r="D214" s="252">
        <f t="shared" ref="D214:E216" si="22">C214</f>
        <v>178</v>
      </c>
      <c r="E214" s="231">
        <f t="shared" si="22"/>
        <v>178</v>
      </c>
      <c r="F214" s="251"/>
      <c r="G214" s="251"/>
      <c r="H214" s="251"/>
      <c r="I214" s="251"/>
      <c r="J214" s="251"/>
      <c r="K214" s="251"/>
      <c r="L214" s="251"/>
      <c r="M214" s="278"/>
    </row>
    <row r="215" spans="1:15" ht="14.4" x14ac:dyDescent="0.25">
      <c r="A215" s="247"/>
      <c r="B215" s="248" t="s">
        <v>134</v>
      </c>
      <c r="C215" s="295">
        <f>$G$32</f>
        <v>1.0999999999999999E-2</v>
      </c>
      <c r="D215" s="258">
        <f t="shared" si="22"/>
        <v>1.0999999999999999E-2</v>
      </c>
      <c r="E215" s="258">
        <f t="shared" si="22"/>
        <v>1.0999999999999999E-2</v>
      </c>
      <c r="F215" s="251"/>
      <c r="G215" s="251"/>
      <c r="H215" s="251"/>
      <c r="I215" s="251"/>
      <c r="J215" s="251"/>
      <c r="K215" s="251"/>
      <c r="L215" s="251"/>
      <c r="M215" s="278"/>
    </row>
    <row r="216" spans="1:15" ht="14.4" x14ac:dyDescent="0.25">
      <c r="A216" s="247"/>
      <c r="B216" s="248" t="s">
        <v>147</v>
      </c>
      <c r="C216" s="229">
        <v>2</v>
      </c>
      <c r="D216" s="252">
        <f t="shared" si="22"/>
        <v>2</v>
      </c>
      <c r="E216" s="231">
        <f t="shared" si="22"/>
        <v>2</v>
      </c>
      <c r="F216" s="251"/>
      <c r="G216" s="251"/>
      <c r="H216" s="251"/>
      <c r="I216" s="251"/>
      <c r="J216" s="251"/>
      <c r="K216" s="251"/>
      <c r="L216" s="251"/>
      <c r="M216" s="278"/>
    </row>
    <row r="217" spans="1:15" ht="14.4" x14ac:dyDescent="0.25">
      <c r="A217" s="247"/>
      <c r="B217" s="248" t="s">
        <v>148</v>
      </c>
      <c r="C217" s="252">
        <f>4*C213/(C216^2*PI())</f>
        <v>1.432394487827058</v>
      </c>
      <c r="D217" s="252">
        <f>4*D213/(D216^2*PI())</f>
        <v>1.7904931097838226</v>
      </c>
      <c r="E217" s="252">
        <f>4*E213/(E216^2*PI())</f>
        <v>0.57295779513082323</v>
      </c>
      <c r="F217" s="251"/>
      <c r="G217" s="251"/>
      <c r="H217" s="251"/>
      <c r="I217" s="251"/>
      <c r="J217" s="251"/>
      <c r="K217" s="251"/>
      <c r="L217" s="251"/>
      <c r="M217" s="278"/>
    </row>
    <row r="218" spans="1:15" ht="14.4" x14ac:dyDescent="0.25">
      <c r="A218" s="247"/>
      <c r="B218" s="248" t="s">
        <v>149</v>
      </c>
      <c r="C218" s="231">
        <f>C213/C217</f>
        <v>3.1415926535897931</v>
      </c>
      <c r="D218" s="252">
        <f>D213/D217</f>
        <v>3.1415926535897931</v>
      </c>
      <c r="E218" s="231">
        <f>E213/E217</f>
        <v>3.1415926535897931</v>
      </c>
      <c r="F218" s="251"/>
      <c r="G218" s="251"/>
      <c r="H218" s="251"/>
      <c r="I218" s="251"/>
      <c r="J218" s="251"/>
      <c r="K218" s="251"/>
      <c r="L218" s="251"/>
      <c r="M218" s="278"/>
    </row>
    <row r="219" spans="1:15" ht="14.4" x14ac:dyDescent="0.25">
      <c r="A219" s="247" t="s">
        <v>150</v>
      </c>
      <c r="B219" s="248"/>
      <c r="C219" s="248"/>
      <c r="D219" s="259"/>
      <c r="E219" s="248"/>
      <c r="F219" s="251"/>
      <c r="G219" s="389" t="s">
        <v>151</v>
      </c>
      <c r="H219" s="390"/>
      <c r="I219" s="390"/>
      <c r="J219" s="390"/>
      <c r="K219" s="391"/>
      <c r="L219" s="251"/>
      <c r="M219" s="278"/>
    </row>
    <row r="220" spans="1:15" ht="14.4" x14ac:dyDescent="0.25">
      <c r="A220" s="247" t="s">
        <v>152</v>
      </c>
      <c r="B220" s="248" t="s">
        <v>153</v>
      </c>
      <c r="C220" s="231">
        <f>C216/4</f>
        <v>0.5</v>
      </c>
      <c r="D220" s="252">
        <f>D216/4</f>
        <v>0.5</v>
      </c>
      <c r="E220" s="231">
        <f>E216/4</f>
        <v>0.5</v>
      </c>
      <c r="F220" s="251"/>
      <c r="G220" s="381" t="s">
        <v>154</v>
      </c>
      <c r="H220" s="260" t="s">
        <v>155</v>
      </c>
      <c r="I220" s="261" t="s">
        <v>156</v>
      </c>
      <c r="J220" s="261" t="s">
        <v>157</v>
      </c>
      <c r="K220" s="279" t="s">
        <v>158</v>
      </c>
      <c r="L220" s="251"/>
      <c r="M220" s="278"/>
    </row>
    <row r="221" spans="1:15" ht="16.8" x14ac:dyDescent="0.25">
      <c r="A221" s="247"/>
      <c r="B221" s="248" t="s">
        <v>159</v>
      </c>
      <c r="C221" s="231">
        <f>C220^(1/6)/C215</f>
        <v>80.990792558212661</v>
      </c>
      <c r="D221" s="252">
        <f>D220^(1/6)/D215</f>
        <v>80.990792558212661</v>
      </c>
      <c r="E221" s="231">
        <f>E220^(1/6)/E215</f>
        <v>80.990792558212661</v>
      </c>
      <c r="F221" s="251"/>
      <c r="G221" s="382"/>
      <c r="H221" s="261" t="s">
        <v>160</v>
      </c>
      <c r="I221" s="261" t="s">
        <v>161</v>
      </c>
      <c r="J221" s="261" t="s">
        <v>162</v>
      </c>
      <c r="K221" s="279" t="s">
        <v>163</v>
      </c>
      <c r="L221" s="251"/>
      <c r="M221" s="278"/>
    </row>
    <row r="222" spans="1:15" ht="16.8" x14ac:dyDescent="0.25">
      <c r="A222" s="247"/>
      <c r="B222" s="248" t="s">
        <v>164</v>
      </c>
      <c r="C222" s="231">
        <f>8*9.81/C221^2</f>
        <v>1.196431108348571E-2</v>
      </c>
      <c r="D222" s="252">
        <f>8*9.81/D221^2</f>
        <v>1.196431108348571E-2</v>
      </c>
      <c r="E222" s="231">
        <f>8*9.81/E221^2</f>
        <v>1.196431108348571E-2</v>
      </c>
      <c r="F222" s="251"/>
      <c r="G222" s="262" t="s">
        <v>209</v>
      </c>
      <c r="H222" s="263">
        <f>C218</f>
        <v>3.1415926535897931</v>
      </c>
      <c r="I222" s="263">
        <f>I228*I229</f>
        <v>9.7799999999999994</v>
      </c>
      <c r="J222" s="263">
        <f>H222/I222</f>
        <v>0.32122624269834288</v>
      </c>
      <c r="K222" s="280">
        <f ca="1">TREND(OFFSET($L$51,MATCH(J222,$K$52:$K$60),0,2,1),OFFSET($K$51,MATCH(J222,$K$52:$K$60),0,2,1),J222)</f>
        <v>0.39150950292066289</v>
      </c>
      <c r="L222" s="251"/>
      <c r="M222" s="278"/>
    </row>
    <row r="223" spans="1:15" ht="16.8" x14ac:dyDescent="0.25">
      <c r="A223" s="247"/>
      <c r="B223" s="248" t="s">
        <v>166</v>
      </c>
      <c r="C223" s="231">
        <f>C222*C214*C217^2/(4*C220*2*9.81)</f>
        <v>0.11135352827013462</v>
      </c>
      <c r="D223" s="252">
        <f>D222*D214*D217^2/(4*D220*2*9.81)</f>
        <v>0.17398988792208539</v>
      </c>
      <c r="E223" s="231">
        <f>E222*E214*E217^2/(4*E220*2*9.81)</f>
        <v>1.7816564523221542E-2</v>
      </c>
      <c r="F223" s="251"/>
      <c r="G223" s="251"/>
      <c r="H223" s="251"/>
      <c r="I223" s="251"/>
      <c r="J223" s="251"/>
      <c r="K223" s="251"/>
      <c r="L223" s="251"/>
      <c r="M223" s="278"/>
      <c r="O223" s="281">
        <f>0.4-(0.4-0.36)/0.1*(J222-0.3)</f>
        <v>0.39150950292066283</v>
      </c>
    </row>
    <row r="224" spans="1:15" ht="14.4" x14ac:dyDescent="0.25">
      <c r="A224" s="247" t="s">
        <v>167</v>
      </c>
      <c r="B224" s="248" t="s">
        <v>168</v>
      </c>
      <c r="C224" s="264">
        <v>0.25</v>
      </c>
      <c r="D224" s="252">
        <f t="shared" ref="D224:E229" si="23">C224</f>
        <v>0.25</v>
      </c>
      <c r="E224" s="231">
        <f t="shared" si="23"/>
        <v>0.25</v>
      </c>
      <c r="F224" s="251"/>
      <c r="G224" s="251"/>
      <c r="H224" s="251"/>
      <c r="I224" s="251"/>
      <c r="J224" s="251"/>
      <c r="K224" s="251"/>
      <c r="L224" s="251"/>
      <c r="M224" s="278"/>
    </row>
    <row r="225" spans="1:13" ht="15.6" x14ac:dyDescent="0.25">
      <c r="A225" s="247"/>
      <c r="B225" s="248" t="s">
        <v>169</v>
      </c>
      <c r="C225" s="264">
        <f>0.1*2</f>
        <v>0.2</v>
      </c>
      <c r="D225" s="252">
        <f t="shared" si="23"/>
        <v>0.2</v>
      </c>
      <c r="E225" s="231">
        <f t="shared" si="23"/>
        <v>0.2</v>
      </c>
      <c r="F225" s="251"/>
      <c r="G225" s="383" t="s">
        <v>170</v>
      </c>
      <c r="H225" s="265" t="s">
        <v>171</v>
      </c>
      <c r="I225" s="282"/>
      <c r="J225" s="251"/>
      <c r="K225" s="238" t="s">
        <v>162</v>
      </c>
      <c r="L225" s="238" t="s">
        <v>163</v>
      </c>
      <c r="M225" s="278"/>
    </row>
    <row r="226" spans="1:13" ht="15.6" x14ac:dyDescent="0.25">
      <c r="A226" s="247"/>
      <c r="B226" s="248" t="s">
        <v>172</v>
      </c>
      <c r="C226" s="264">
        <v>0.02</v>
      </c>
      <c r="D226" s="252">
        <f t="shared" si="23"/>
        <v>0.02</v>
      </c>
      <c r="E226" s="231">
        <f t="shared" si="23"/>
        <v>0.02</v>
      </c>
      <c r="F226" s="251"/>
      <c r="G226" s="384"/>
      <c r="H226" s="266" t="s">
        <v>173</v>
      </c>
      <c r="I226" s="283">
        <v>1.76</v>
      </c>
      <c r="J226" s="251"/>
      <c r="K226" s="238">
        <v>0.1</v>
      </c>
      <c r="L226" s="238">
        <v>0.81</v>
      </c>
      <c r="M226" s="278"/>
    </row>
    <row r="227" spans="1:13" ht="16.2" x14ac:dyDescent="0.25">
      <c r="A227" s="247"/>
      <c r="B227" s="248" t="s">
        <v>174</v>
      </c>
      <c r="C227" s="264">
        <v>0.1</v>
      </c>
      <c r="D227" s="252">
        <f t="shared" si="23"/>
        <v>0.1</v>
      </c>
      <c r="E227" s="231">
        <f t="shared" si="23"/>
        <v>0.1</v>
      </c>
      <c r="F227" s="251"/>
      <c r="G227" s="384"/>
      <c r="H227" s="266" t="s">
        <v>175</v>
      </c>
      <c r="I227" s="284"/>
      <c r="J227" s="251"/>
      <c r="K227" s="238">
        <v>0.2</v>
      </c>
      <c r="L227" s="238">
        <v>0.64</v>
      </c>
      <c r="M227" s="278"/>
    </row>
    <row r="228" spans="1:13" ht="15.6" x14ac:dyDescent="0.25">
      <c r="A228" s="247"/>
      <c r="B228" s="248" t="s">
        <v>176</v>
      </c>
      <c r="C228" s="264">
        <v>80</v>
      </c>
      <c r="D228" s="252">
        <f t="shared" si="23"/>
        <v>80</v>
      </c>
      <c r="E228" s="231">
        <f t="shared" si="23"/>
        <v>80</v>
      </c>
      <c r="F228" s="251"/>
      <c r="G228" s="384"/>
      <c r="H228" s="266" t="s">
        <v>177</v>
      </c>
      <c r="I228" s="283">
        <f>I226+1.5</f>
        <v>3.26</v>
      </c>
      <c r="J228" s="251"/>
      <c r="K228" s="238">
        <v>0.3</v>
      </c>
      <c r="L228" s="238">
        <v>0.4</v>
      </c>
      <c r="M228" s="278"/>
    </row>
    <row r="229" spans="1:13" ht="15.6" x14ac:dyDescent="0.25">
      <c r="A229" s="247"/>
      <c r="B229" s="248" t="s">
        <v>178</v>
      </c>
      <c r="C229" s="264">
        <v>1.83</v>
      </c>
      <c r="D229" s="252">
        <f t="shared" si="23"/>
        <v>1.83</v>
      </c>
      <c r="E229" s="231">
        <f t="shared" si="23"/>
        <v>1.83</v>
      </c>
      <c r="F229" s="251"/>
      <c r="G229" s="384"/>
      <c r="H229" s="266" t="s">
        <v>179</v>
      </c>
      <c r="I229" s="283">
        <v>3</v>
      </c>
      <c r="K229" s="238">
        <v>0.4</v>
      </c>
      <c r="L229" s="238">
        <v>0.36</v>
      </c>
      <c r="M229" s="278"/>
    </row>
    <row r="230" spans="1:13" ht="16.8" x14ac:dyDescent="0.25">
      <c r="A230" s="247"/>
      <c r="B230" s="248" t="s">
        <v>180</v>
      </c>
      <c r="C230" s="231">
        <f>C229*(C226/C227)^(4/3)*SIN(C228/180*PI())</f>
        <v>0.21078637878092679</v>
      </c>
      <c r="D230" s="252">
        <f>D229*(D226/D227)^(4/3)*SIN(D228/180*PI())</f>
        <v>0.21078637878092679</v>
      </c>
      <c r="E230" s="231">
        <f>E229*(E226/E227)^(4/3)*SIN(E228/180*PI())</f>
        <v>0.21078637878092679</v>
      </c>
      <c r="F230" s="251"/>
      <c r="G230" s="384"/>
      <c r="H230" s="266" t="s">
        <v>181</v>
      </c>
      <c r="I230" s="284"/>
      <c r="K230" s="238">
        <v>0.5</v>
      </c>
      <c r="L230" s="238">
        <v>0.25</v>
      </c>
      <c r="M230" s="278"/>
    </row>
    <row r="231" spans="1:13" ht="15.6" x14ac:dyDescent="0.25">
      <c r="A231" s="247"/>
      <c r="B231" s="247" t="s">
        <v>182</v>
      </c>
      <c r="C231" s="231">
        <f ca="1">H263</f>
        <v>0.35814488999999999</v>
      </c>
      <c r="D231" s="252">
        <f t="shared" ref="D231:E233" ca="1" si="24">C231</f>
        <v>0.35814488999999999</v>
      </c>
      <c r="E231" s="231">
        <f t="shared" ca="1" si="24"/>
        <v>0.35814488999999999</v>
      </c>
      <c r="F231" s="251"/>
      <c r="G231" s="384"/>
      <c r="H231" s="266" t="s">
        <v>183</v>
      </c>
      <c r="I231" s="284"/>
      <c r="K231" s="238">
        <v>0.6</v>
      </c>
      <c r="L231" s="238">
        <v>0.16</v>
      </c>
      <c r="M231" s="278"/>
    </row>
    <row r="232" spans="1:13" ht="16.2" x14ac:dyDescent="0.25">
      <c r="A232" s="247"/>
      <c r="B232" s="247" t="s">
        <v>184</v>
      </c>
      <c r="C232" s="264">
        <f ca="1">K222</f>
        <v>0.39150950292066289</v>
      </c>
      <c r="D232" s="252">
        <f t="shared" ca="1" si="24"/>
        <v>0.39150950292066289</v>
      </c>
      <c r="E232" s="231">
        <f t="shared" ca="1" si="24"/>
        <v>0.39150950292066289</v>
      </c>
      <c r="F232" s="251"/>
      <c r="G232" s="385"/>
      <c r="H232" s="266" t="s">
        <v>185</v>
      </c>
      <c r="I232" s="284"/>
      <c r="K232" s="238">
        <v>0.7</v>
      </c>
      <c r="L232" s="238">
        <v>0.09</v>
      </c>
      <c r="M232" s="278"/>
    </row>
    <row r="233" spans="1:13" ht="16.2" x14ac:dyDescent="0.25">
      <c r="A233" s="247"/>
      <c r="B233" s="248" t="s">
        <v>186</v>
      </c>
      <c r="C233" s="264">
        <f>0.1*1</f>
        <v>0.1</v>
      </c>
      <c r="D233" s="252">
        <f t="shared" si="24"/>
        <v>0.1</v>
      </c>
      <c r="E233" s="231">
        <f t="shared" si="24"/>
        <v>0.1</v>
      </c>
      <c r="F233" s="251"/>
      <c r="G233" s="386"/>
      <c r="H233" s="267" t="s">
        <v>187</v>
      </c>
      <c r="I233" s="285"/>
      <c r="J233" s="251"/>
      <c r="K233" s="238">
        <v>0.8</v>
      </c>
      <c r="L233" s="238">
        <v>0.04</v>
      </c>
      <c r="M233" s="278"/>
    </row>
    <row r="234" spans="1:13" ht="14.4" x14ac:dyDescent="0.25">
      <c r="A234" s="247"/>
      <c r="B234" s="248" t="s">
        <v>188</v>
      </c>
      <c r="C234" s="231">
        <f ca="1">C233+C230+C225+C224+C232+C231</f>
        <v>1.5104407717015895</v>
      </c>
      <c r="D234" s="252">
        <f ca="1">D233+D230+D225+D224+D232+D231</f>
        <v>1.5104407717015895</v>
      </c>
      <c r="E234" s="231">
        <f ca="1">E233+E230+E225+E224+E232+E231</f>
        <v>1.5104407717015895</v>
      </c>
      <c r="F234" s="251"/>
      <c r="G234" s="251"/>
      <c r="H234" s="251"/>
      <c r="I234" s="251"/>
      <c r="J234" s="251"/>
      <c r="K234" s="238">
        <v>0.9</v>
      </c>
      <c r="L234" s="238">
        <v>0.01</v>
      </c>
      <c r="M234" s="278"/>
    </row>
    <row r="235" spans="1:13" ht="16.8" x14ac:dyDescent="0.25">
      <c r="A235" s="247"/>
      <c r="B235" s="248" t="s">
        <v>189</v>
      </c>
      <c r="C235" s="231">
        <f ca="1">C234*C217^2/2/9.81</f>
        <v>0.15795376390986929</v>
      </c>
      <c r="D235" s="252">
        <f ca="1">D234*D217^2/2/9.81</f>
        <v>0.24680275610917077</v>
      </c>
      <c r="E235" s="231">
        <f ca="1">E234*E217^2/2/9.81</f>
        <v>2.5272602225579085E-2</v>
      </c>
      <c r="F235" s="251"/>
      <c r="G235" s="251"/>
      <c r="H235" s="251"/>
      <c r="I235" s="251"/>
      <c r="J235" s="251"/>
      <c r="K235" s="251"/>
      <c r="L235" s="251"/>
      <c r="M235" s="278"/>
    </row>
    <row r="236" spans="1:13" ht="14.4" x14ac:dyDescent="0.25">
      <c r="A236" s="268" t="s">
        <v>190</v>
      </c>
      <c r="B236" s="269" t="s">
        <v>191</v>
      </c>
      <c r="C236" s="270">
        <f ca="1">C223+C235</f>
        <v>0.26930729218000393</v>
      </c>
      <c r="D236" s="270">
        <f ca="1">D223+D235</f>
        <v>0.42079264403125616</v>
      </c>
      <c r="E236" s="271">
        <f ca="1">E223+E235</f>
        <v>4.3089166748800631E-2</v>
      </c>
      <c r="F236" s="251"/>
      <c r="G236" s="272" t="s">
        <v>192</v>
      </c>
      <c r="H236" s="241">
        <f>0.18</f>
        <v>0.18</v>
      </c>
      <c r="I236" s="251"/>
      <c r="J236" s="251"/>
      <c r="K236" s="251"/>
      <c r="L236" s="251"/>
      <c r="M236" s="278"/>
    </row>
    <row r="237" spans="1:13" ht="14.4" x14ac:dyDescent="0.25">
      <c r="A237" s="273" t="s">
        <v>193</v>
      </c>
      <c r="B237" s="274"/>
      <c r="C237" s="231">
        <f ca="1">C236+(C217^2-D192^2)/(2*9.81)</f>
        <v>0.37388190832461859</v>
      </c>
      <c r="D237" s="252">
        <f ca="1">D236+(D217^2-D191^2)/(2*9.81)</f>
        <v>0.58419048175721655</v>
      </c>
      <c r="E237" s="231">
        <f ca="1">E236+(E217^2-D193^2)/(2*9.81)</f>
        <v>5.9821105331938976E-2</v>
      </c>
      <c r="F237" s="251"/>
      <c r="G237" s="251"/>
      <c r="H237" s="251"/>
      <c r="I237" s="251"/>
      <c r="J237" s="251"/>
      <c r="K237" s="251"/>
      <c r="L237" s="251"/>
      <c r="M237" s="278"/>
    </row>
    <row r="238" spans="1:13" ht="14.4" x14ac:dyDescent="0.25">
      <c r="A238" s="273" t="s">
        <v>194</v>
      </c>
      <c r="B238" s="274"/>
      <c r="C238" s="231">
        <f ca="1">C237+C200-D200</f>
        <v>0.37388190832461859</v>
      </c>
      <c r="D238" s="252">
        <f ca="1">D237+C198-D198</f>
        <v>0.58419048175721655</v>
      </c>
      <c r="E238" s="231">
        <f ca="1">E237+C202-D202</f>
        <v>5.9821105331938976E-2</v>
      </c>
      <c r="F238" s="251"/>
      <c r="G238" s="251"/>
      <c r="H238" s="251"/>
      <c r="I238" s="251"/>
      <c r="J238" s="251"/>
      <c r="K238" s="251"/>
      <c r="L238" s="251"/>
      <c r="M238" s="278"/>
    </row>
    <row r="239" spans="1:13" x14ac:dyDescent="0.25">
      <c r="A239" s="286"/>
      <c r="B239" s="287"/>
      <c r="C239" s="251"/>
      <c r="D239" s="251"/>
      <c r="E239" s="251"/>
      <c r="F239" s="251"/>
      <c r="G239" s="251"/>
      <c r="H239" s="251"/>
      <c r="I239" s="251"/>
      <c r="J239" s="251"/>
      <c r="K239" s="251"/>
      <c r="L239" s="251"/>
      <c r="M239" s="278"/>
    </row>
    <row r="240" spans="1:13" ht="18" x14ac:dyDescent="0.4">
      <c r="A240" s="288"/>
      <c r="B240" s="289" t="s">
        <v>26</v>
      </c>
      <c r="C240" s="289" t="s">
        <v>195</v>
      </c>
      <c r="D240" s="289" t="s">
        <v>196</v>
      </c>
      <c r="E240" s="289" t="s">
        <v>197</v>
      </c>
      <c r="F240" s="289" t="s">
        <v>198</v>
      </c>
      <c r="G240" s="289" t="s">
        <v>199</v>
      </c>
      <c r="H240" s="289" t="s">
        <v>200</v>
      </c>
      <c r="I240" s="251"/>
      <c r="J240" s="289" t="s">
        <v>201</v>
      </c>
      <c r="K240" s="289" t="s">
        <v>202</v>
      </c>
      <c r="L240" s="289" t="s">
        <v>197</v>
      </c>
      <c r="M240" s="292" t="s">
        <v>199</v>
      </c>
    </row>
    <row r="241" spans="1:13" x14ac:dyDescent="0.25">
      <c r="A241" s="288">
        <v>1</v>
      </c>
      <c r="B241" s="264">
        <v>10</v>
      </c>
      <c r="C241" s="290">
        <f>C216</f>
        <v>2</v>
      </c>
      <c r="D241" s="290">
        <f>B241/C241</f>
        <v>5</v>
      </c>
      <c r="E241" s="264">
        <v>15.865</v>
      </c>
      <c r="F241" s="290">
        <f ca="1">TREND(OFFSET($K$66,MATCH(D241,$J$67:$J$79),0,2,1),OFFSET($J$66,MATCH(D241,$J$67:$J$79),0,2,1),D241)</f>
        <v>0.28999999999999998</v>
      </c>
      <c r="G241" s="290">
        <f ca="1">TREND(OFFSET($M$66,MATCH(E241,$L$67:$L$80),0,2,1),OFFSET($L$66,MATCH(E241,$L$67:$L$80),0,2,1),E241)</f>
        <v>0.32970500000000003</v>
      </c>
      <c r="H241" s="290">
        <f ca="1">F241*G241</f>
        <v>9.5614450000000004E-2</v>
      </c>
      <c r="I241" s="251"/>
      <c r="J241" s="289">
        <v>0.5</v>
      </c>
      <c r="K241" s="289">
        <v>1.2</v>
      </c>
      <c r="L241" s="289">
        <v>0</v>
      </c>
      <c r="M241" s="292">
        <v>0</v>
      </c>
    </row>
    <row r="242" spans="1:13" x14ac:dyDescent="0.25">
      <c r="A242" s="288">
        <v>2</v>
      </c>
      <c r="B242" s="264">
        <v>10</v>
      </c>
      <c r="C242" s="290">
        <f>C241</f>
        <v>2</v>
      </c>
      <c r="D242" s="290">
        <f>B242/C242</f>
        <v>5</v>
      </c>
      <c r="E242" s="264">
        <v>12.138</v>
      </c>
      <c r="F242" s="290">
        <f ca="1">TREND(OFFSET($K$66,MATCH(D242,$J$67:$J$79),0,2,1),OFFSET($J$66,MATCH(D242,$J$67:$J$79),0,2,1),D242)</f>
        <v>0.28999999999999998</v>
      </c>
      <c r="G242" s="290">
        <f ca="1">TREND(OFFSET($M$66,MATCH(E242,$L$67:$L$79),0,2,1),OFFSET($L$66,MATCH(E242,$L$67:$L$79),0,2,1),E242)</f>
        <v>0.26634599999999997</v>
      </c>
      <c r="H242" s="290">
        <f ca="1">F242*G242</f>
        <v>7.7240339999999991E-2</v>
      </c>
      <c r="I242" s="251"/>
      <c r="J242" s="289">
        <v>1</v>
      </c>
      <c r="K242" s="289">
        <v>0.8</v>
      </c>
      <c r="L242" s="289">
        <v>5</v>
      </c>
      <c r="M242" s="292">
        <v>0.125</v>
      </c>
    </row>
    <row r="243" spans="1:13" x14ac:dyDescent="0.25">
      <c r="A243" s="288">
        <v>3</v>
      </c>
      <c r="B243" s="264">
        <v>10</v>
      </c>
      <c r="C243" s="290">
        <f>C242</f>
        <v>2</v>
      </c>
      <c r="D243" s="290">
        <f>B243/C243</f>
        <v>5</v>
      </c>
      <c r="E243" s="264">
        <v>8.3209999999999997</v>
      </c>
      <c r="F243" s="290">
        <f ca="1">TREND(OFFSET($K$66,MATCH(D243,$J$67:$J$79),0,2,1),OFFSET($J$66,MATCH(D243,$J$67:$J$79),0,2,1),D243)</f>
        <v>0.28999999999999998</v>
      </c>
      <c r="G243" s="290">
        <f ca="1">TREND(OFFSET($M$66,MATCH(E243,$L$67:$L$79),0,2,1),OFFSET($L$66,MATCH(E243,$L$67:$L$79),0,2,1),E243)</f>
        <v>0.194741</v>
      </c>
      <c r="H243" s="290">
        <f ca="1">F243*G243</f>
        <v>5.6474889999999993E-2</v>
      </c>
      <c r="I243" s="251"/>
      <c r="J243" s="289">
        <v>1.5</v>
      </c>
      <c r="K243" s="289">
        <v>0.6</v>
      </c>
      <c r="L243" s="289">
        <v>10</v>
      </c>
      <c r="M243" s="292">
        <v>0.23</v>
      </c>
    </row>
    <row r="244" spans="1:13" x14ac:dyDescent="0.25">
      <c r="A244" s="288">
        <v>4</v>
      </c>
      <c r="B244" s="264">
        <v>6</v>
      </c>
      <c r="C244" s="290">
        <f>C243</f>
        <v>2</v>
      </c>
      <c r="D244" s="290">
        <f>B244/C244</f>
        <v>3</v>
      </c>
      <c r="E244" s="264">
        <v>9.4510000000000005</v>
      </c>
      <c r="F244" s="290">
        <f ca="1">TREND(OFFSET($K$66,MATCH(D244,$J$67:$J$79),0,2,1),OFFSET($J$66,MATCH(D244,$J$67:$J$79),0,2,1),D244)</f>
        <v>0.36</v>
      </c>
      <c r="G244" s="290">
        <f ca="1">TREND(OFFSET($M$66,MATCH(E244,$L$67:$L$79),0,2,1),OFFSET($L$66,MATCH(E244,$L$67:$L$79),0,2,1),E244)</f>
        <v>0.218471</v>
      </c>
      <c r="H244" s="290">
        <f ca="1">F244*G244</f>
        <v>7.8649559999999993E-2</v>
      </c>
      <c r="I244" s="251"/>
      <c r="J244" s="289">
        <v>2</v>
      </c>
      <c r="K244" s="289">
        <v>0.48</v>
      </c>
      <c r="L244" s="289">
        <v>20</v>
      </c>
      <c r="M244" s="292">
        <v>0.4</v>
      </c>
    </row>
    <row r="245" spans="1:13" x14ac:dyDescent="0.25">
      <c r="A245" s="288">
        <v>5</v>
      </c>
      <c r="B245" s="264">
        <v>10</v>
      </c>
      <c r="C245" s="290">
        <v>2</v>
      </c>
      <c r="D245" s="290">
        <f>B245/C245</f>
        <v>5</v>
      </c>
      <c r="E245" s="264">
        <v>7.2850000000000001</v>
      </c>
      <c r="F245" s="290">
        <f ca="1">TREND(OFFSET($K$66,MATCH(D245,$J$67:$J$79),0,2,1),OFFSET($J$66,MATCH(D245,$J$67:$J$79),0,2,1),D245)</f>
        <v>0.28999999999999998</v>
      </c>
      <c r="G245" s="290">
        <f ca="1">TREND(OFFSET($M$66,MATCH(E245,$L$67:$L$79),0,2,1),OFFSET($L$66,MATCH(E245,$L$67:$L$79),0,2,1),E245)</f>
        <v>0.172985</v>
      </c>
      <c r="H245" s="290">
        <f ca="1">F245*G245</f>
        <v>5.0165649999999999E-2</v>
      </c>
      <c r="I245" s="251"/>
      <c r="J245" s="289">
        <v>3</v>
      </c>
      <c r="K245" s="289">
        <v>0.36</v>
      </c>
      <c r="L245" s="289">
        <v>30</v>
      </c>
      <c r="M245" s="292">
        <v>0.55000000000000004</v>
      </c>
    </row>
    <row r="246" spans="1:13" x14ac:dyDescent="0.25">
      <c r="A246" s="288"/>
      <c r="B246" s="264"/>
      <c r="C246" s="290"/>
      <c r="D246" s="290"/>
      <c r="E246" s="264"/>
      <c r="F246" s="290"/>
      <c r="G246" s="290"/>
      <c r="H246" s="290"/>
      <c r="I246" s="251"/>
      <c r="J246" s="289">
        <v>4</v>
      </c>
      <c r="K246" s="289">
        <v>0.3</v>
      </c>
      <c r="L246" s="289">
        <v>40</v>
      </c>
      <c r="M246" s="292">
        <v>0.65</v>
      </c>
    </row>
    <row r="247" spans="1:13" x14ac:dyDescent="0.25">
      <c r="A247" s="288"/>
      <c r="B247" s="264"/>
      <c r="C247" s="290"/>
      <c r="D247" s="290"/>
      <c r="E247" s="264"/>
      <c r="F247" s="290"/>
      <c r="G247" s="290"/>
      <c r="H247" s="290"/>
      <c r="I247" s="251"/>
      <c r="J247" s="289">
        <v>5</v>
      </c>
      <c r="K247" s="289">
        <v>0.28999999999999998</v>
      </c>
      <c r="L247" s="289">
        <v>50</v>
      </c>
      <c r="M247" s="292">
        <v>0.75</v>
      </c>
    </row>
    <row r="248" spans="1:13" x14ac:dyDescent="0.25">
      <c r="A248" s="288"/>
      <c r="B248" s="264"/>
      <c r="C248" s="290"/>
      <c r="D248" s="290"/>
      <c r="E248" s="264"/>
      <c r="F248" s="290"/>
      <c r="G248" s="290"/>
      <c r="H248" s="290"/>
      <c r="I248" s="251"/>
      <c r="J248" s="289">
        <v>6</v>
      </c>
      <c r="K248" s="289">
        <v>0.28000000000000003</v>
      </c>
      <c r="L248" s="289">
        <v>60</v>
      </c>
      <c r="M248" s="292">
        <v>0.83</v>
      </c>
    </row>
    <row r="249" spans="1:13" x14ac:dyDescent="0.25">
      <c r="A249" s="288"/>
      <c r="B249" s="264"/>
      <c r="C249" s="290"/>
      <c r="D249" s="290"/>
      <c r="E249" s="264"/>
      <c r="F249" s="290"/>
      <c r="G249" s="290"/>
      <c r="H249" s="290"/>
      <c r="I249" s="251"/>
      <c r="J249" s="289">
        <v>7</v>
      </c>
      <c r="K249" s="289">
        <v>0.27</v>
      </c>
      <c r="L249" s="289">
        <v>70</v>
      </c>
      <c r="M249" s="292">
        <v>0.88</v>
      </c>
    </row>
    <row r="250" spans="1:13" x14ac:dyDescent="0.25">
      <c r="A250" s="288"/>
      <c r="B250" s="264"/>
      <c r="C250" s="290"/>
      <c r="D250" s="290"/>
      <c r="E250" s="264"/>
      <c r="F250" s="290"/>
      <c r="G250" s="290"/>
      <c r="H250" s="290"/>
      <c r="I250" s="251"/>
      <c r="J250" s="289">
        <v>8</v>
      </c>
      <c r="K250" s="289">
        <v>0.26</v>
      </c>
      <c r="L250" s="289">
        <v>80</v>
      </c>
      <c r="M250" s="292">
        <v>0.95</v>
      </c>
    </row>
    <row r="251" spans="1:13" x14ac:dyDescent="0.25">
      <c r="A251" s="288"/>
      <c r="B251" s="264"/>
      <c r="C251" s="290"/>
      <c r="D251" s="290"/>
      <c r="E251" s="264"/>
      <c r="F251" s="290"/>
      <c r="G251" s="290"/>
      <c r="H251" s="290"/>
      <c r="I251" s="251"/>
      <c r="J251" s="289">
        <v>9</v>
      </c>
      <c r="K251" s="289">
        <v>0.25</v>
      </c>
      <c r="L251" s="289">
        <v>90</v>
      </c>
      <c r="M251" s="292">
        <v>1</v>
      </c>
    </row>
    <row r="252" spans="1:13" x14ac:dyDescent="0.25">
      <c r="A252" s="288"/>
      <c r="B252" s="264"/>
      <c r="C252" s="290"/>
      <c r="D252" s="290"/>
      <c r="E252" s="264"/>
      <c r="F252" s="290"/>
      <c r="G252" s="290"/>
      <c r="H252" s="290"/>
      <c r="I252" s="251"/>
      <c r="J252" s="289">
        <v>10</v>
      </c>
      <c r="K252" s="289">
        <v>0.24</v>
      </c>
      <c r="L252" s="289">
        <v>100</v>
      </c>
      <c r="M252" s="292">
        <v>1.05</v>
      </c>
    </row>
    <row r="253" spans="1:13" x14ac:dyDescent="0.25">
      <c r="A253" s="288"/>
      <c r="B253" s="264"/>
      <c r="C253" s="290"/>
      <c r="D253" s="290"/>
      <c r="E253" s="264"/>
      <c r="F253" s="290"/>
      <c r="G253" s="290"/>
      <c r="H253" s="290"/>
      <c r="I253" s="251"/>
      <c r="J253" s="289">
        <v>11</v>
      </c>
      <c r="K253" s="289">
        <v>0.23</v>
      </c>
      <c r="L253" s="289">
        <v>120</v>
      </c>
      <c r="M253" s="292">
        <v>1.1299999999999999</v>
      </c>
    </row>
    <row r="254" spans="1:13" x14ac:dyDescent="0.25">
      <c r="A254" s="288"/>
      <c r="B254" s="264"/>
      <c r="C254" s="290"/>
      <c r="D254" s="290"/>
      <c r="E254" s="264"/>
      <c r="F254" s="290"/>
      <c r="G254" s="290"/>
      <c r="H254" s="290"/>
      <c r="I254" s="251"/>
      <c r="J254" s="289"/>
      <c r="K254" s="289"/>
      <c r="L254" s="289">
        <v>140</v>
      </c>
      <c r="M254" s="292">
        <v>1.2</v>
      </c>
    </row>
    <row r="255" spans="1:13" x14ac:dyDescent="0.25">
      <c r="A255" s="288"/>
      <c r="B255" s="264"/>
      <c r="C255" s="290"/>
      <c r="D255" s="290"/>
      <c r="E255" s="264"/>
      <c r="F255" s="290"/>
      <c r="G255" s="290"/>
      <c r="H255" s="290"/>
      <c r="I255" s="251"/>
      <c r="J255" s="251"/>
      <c r="K255" s="251"/>
      <c r="L255" s="251"/>
      <c r="M255" s="278"/>
    </row>
    <row r="256" spans="1:13" x14ac:dyDescent="0.25">
      <c r="A256" s="288"/>
      <c r="B256" s="264"/>
      <c r="C256" s="290"/>
      <c r="D256" s="290"/>
      <c r="E256" s="264"/>
      <c r="F256" s="290"/>
      <c r="G256" s="290"/>
      <c r="H256" s="290"/>
      <c r="I256" s="251"/>
      <c r="J256" s="251"/>
      <c r="K256" s="251"/>
      <c r="L256" s="251"/>
      <c r="M256" s="278"/>
    </row>
    <row r="257" spans="1:13" x14ac:dyDescent="0.25">
      <c r="A257" s="288"/>
      <c r="B257" s="264"/>
      <c r="C257" s="290"/>
      <c r="D257" s="290"/>
      <c r="E257" s="264"/>
      <c r="F257" s="290"/>
      <c r="G257" s="290"/>
      <c r="H257" s="290"/>
      <c r="I257" s="251"/>
      <c r="J257" s="251"/>
      <c r="K257" s="251"/>
      <c r="L257" s="251"/>
      <c r="M257" s="278"/>
    </row>
    <row r="258" spans="1:13" x14ac:dyDescent="0.25">
      <c r="A258" s="288"/>
      <c r="B258" s="264"/>
      <c r="C258" s="290"/>
      <c r="D258" s="290"/>
      <c r="E258" s="264"/>
      <c r="F258" s="290"/>
      <c r="G258" s="290"/>
      <c r="H258" s="290"/>
      <c r="I258" s="251"/>
      <c r="J258" s="251"/>
      <c r="K258" s="251"/>
      <c r="L258" s="251"/>
      <c r="M258" s="278"/>
    </row>
    <row r="259" spans="1:13" x14ac:dyDescent="0.25">
      <c r="A259" s="288"/>
      <c r="B259" s="264"/>
      <c r="C259" s="290"/>
      <c r="D259" s="290"/>
      <c r="E259" s="264"/>
      <c r="F259" s="290"/>
      <c r="G259" s="290"/>
      <c r="H259" s="290"/>
      <c r="I259" s="251"/>
      <c r="J259" s="251"/>
      <c r="K259" s="251"/>
      <c r="L259" s="251"/>
      <c r="M259" s="278"/>
    </row>
    <row r="260" spans="1:13" x14ac:dyDescent="0.25">
      <c r="A260" s="288"/>
      <c r="B260" s="264"/>
      <c r="C260" s="290"/>
      <c r="D260" s="290"/>
      <c r="E260" s="264"/>
      <c r="F260" s="290"/>
      <c r="G260" s="290"/>
      <c r="H260" s="290"/>
      <c r="I260" s="251"/>
      <c r="J260" s="251"/>
      <c r="K260" s="251"/>
      <c r="L260" s="251"/>
      <c r="M260" s="278"/>
    </row>
    <row r="261" spans="1:13" x14ac:dyDescent="0.25">
      <c r="A261" s="288"/>
      <c r="B261" s="264"/>
      <c r="C261" s="290"/>
      <c r="D261" s="290"/>
      <c r="E261" s="264"/>
      <c r="F261" s="290"/>
      <c r="G261" s="290"/>
      <c r="H261" s="290"/>
      <c r="I261" s="251"/>
      <c r="J261" s="251"/>
      <c r="K261" s="251"/>
      <c r="L261" s="251"/>
      <c r="M261" s="278"/>
    </row>
    <row r="262" spans="1:13" x14ac:dyDescent="0.25">
      <c r="A262" s="288"/>
      <c r="B262" s="264"/>
      <c r="C262" s="290"/>
      <c r="D262" s="290"/>
      <c r="E262" s="264"/>
      <c r="F262" s="290"/>
      <c r="G262" s="290"/>
      <c r="H262" s="290"/>
      <c r="I262" s="251"/>
      <c r="J262" s="251"/>
      <c r="K262" s="251"/>
      <c r="L262" s="251"/>
      <c r="M262" s="278"/>
    </row>
    <row r="263" spans="1:13" ht="16.2" x14ac:dyDescent="0.3">
      <c r="A263" s="387" t="s">
        <v>203</v>
      </c>
      <c r="B263" s="388"/>
      <c r="C263" s="388"/>
      <c r="D263" s="388"/>
      <c r="E263" s="388"/>
      <c r="F263" s="388"/>
      <c r="G263" s="388"/>
      <c r="H263" s="291">
        <f ca="1">SUM(H241:H262)</f>
        <v>0.35814488999999999</v>
      </c>
      <c r="I263" s="293"/>
      <c r="J263" s="293"/>
      <c r="K263" s="293"/>
      <c r="L263" s="293"/>
      <c r="M263" s="294"/>
    </row>
    <row r="266" spans="1:13" ht="14.4" x14ac:dyDescent="0.25">
      <c r="A266" s="244" t="s">
        <v>210</v>
      </c>
      <c r="C266" s="240"/>
    </row>
    <row r="267" spans="1:13" x14ac:dyDescent="0.25">
      <c r="A267" s="245" t="s">
        <v>138</v>
      </c>
      <c r="B267" s="246"/>
      <c r="C267" s="246"/>
      <c r="D267" s="246"/>
      <c r="E267" s="246"/>
      <c r="F267" s="246"/>
      <c r="G267" s="246"/>
      <c r="H267" s="246"/>
      <c r="I267" s="246"/>
      <c r="J267" s="246"/>
      <c r="K267" s="246"/>
      <c r="L267" s="246"/>
      <c r="M267" s="277"/>
    </row>
    <row r="268" spans="1:13" ht="14.4" x14ac:dyDescent="0.25">
      <c r="A268" s="247" t="s">
        <v>139</v>
      </c>
      <c r="B268" s="248"/>
      <c r="C268" s="249" t="s">
        <v>140</v>
      </c>
      <c r="D268" s="250" t="s">
        <v>141</v>
      </c>
      <c r="E268" s="249" t="s">
        <v>142</v>
      </c>
      <c r="F268" s="251"/>
      <c r="G268" s="251"/>
      <c r="H268" s="251"/>
      <c r="I268" s="251"/>
      <c r="J268" s="251"/>
      <c r="K268" s="251"/>
      <c r="L268" s="251"/>
      <c r="M268" s="278"/>
    </row>
    <row r="269" spans="1:13" ht="14.4" x14ac:dyDescent="0.25">
      <c r="A269" s="247"/>
      <c r="B269" s="248" t="s">
        <v>143</v>
      </c>
      <c r="C269" s="229">
        <v>4.3</v>
      </c>
      <c r="D269" s="252">
        <f>C269*1.25</f>
        <v>5.375</v>
      </c>
      <c r="E269" s="231">
        <f>C269*0.4</f>
        <v>1.72</v>
      </c>
      <c r="F269" s="251"/>
      <c r="G269" s="251"/>
      <c r="H269" s="251"/>
      <c r="I269" s="251"/>
      <c r="J269" s="251"/>
      <c r="K269" s="251"/>
      <c r="L269" s="251"/>
      <c r="M269" s="278"/>
    </row>
    <row r="270" spans="1:13" ht="14.4" x14ac:dyDescent="0.25">
      <c r="A270" s="247"/>
      <c r="B270" s="248" t="s">
        <v>144</v>
      </c>
      <c r="C270" s="253">
        <v>1</v>
      </c>
      <c r="D270" s="254">
        <f>C270</f>
        <v>1</v>
      </c>
      <c r="E270" s="255">
        <f>D270</f>
        <v>1</v>
      </c>
      <c r="F270" s="251"/>
      <c r="G270" s="251"/>
      <c r="H270" s="251"/>
      <c r="I270" s="251"/>
      <c r="J270" s="251"/>
      <c r="K270" s="251"/>
      <c r="L270" s="251"/>
      <c r="M270" s="278"/>
    </row>
    <row r="271" spans="1:13" ht="14.4" x14ac:dyDescent="0.25">
      <c r="A271" s="247"/>
      <c r="B271" s="248" t="s">
        <v>145</v>
      </c>
      <c r="C271" s="231">
        <f>C269/C270</f>
        <v>4.3</v>
      </c>
      <c r="D271" s="252">
        <f>D269/D270</f>
        <v>5.375</v>
      </c>
      <c r="E271" s="231">
        <f>E269/E270</f>
        <v>1.72</v>
      </c>
      <c r="F271" s="251"/>
      <c r="G271" s="251"/>
      <c r="H271" s="251"/>
      <c r="I271" s="251"/>
      <c r="J271" s="251"/>
      <c r="K271" s="251"/>
      <c r="L271" s="251"/>
      <c r="M271" s="278"/>
    </row>
    <row r="272" spans="1:13" ht="14.4" x14ac:dyDescent="0.25">
      <c r="A272" s="247"/>
      <c r="B272" s="248" t="s">
        <v>146</v>
      </c>
      <c r="C272" s="256">
        <v>137</v>
      </c>
      <c r="D272" s="252">
        <f t="shared" ref="D272:E274" si="25">C272</f>
        <v>137</v>
      </c>
      <c r="E272" s="231">
        <f t="shared" si="25"/>
        <v>137</v>
      </c>
      <c r="F272" s="251"/>
      <c r="G272" s="251"/>
      <c r="H272" s="251"/>
      <c r="I272" s="251"/>
      <c r="J272" s="251"/>
      <c r="K272" s="251"/>
      <c r="L272" s="251"/>
      <c r="M272" s="278"/>
    </row>
    <row r="273" spans="1:15" ht="14.4" x14ac:dyDescent="0.25">
      <c r="A273" s="247"/>
      <c r="B273" s="248" t="s">
        <v>134</v>
      </c>
      <c r="C273" s="295">
        <f>$G$32</f>
        <v>1.0999999999999999E-2</v>
      </c>
      <c r="D273" s="258">
        <f t="shared" si="25"/>
        <v>1.0999999999999999E-2</v>
      </c>
      <c r="E273" s="258">
        <f t="shared" si="25"/>
        <v>1.0999999999999999E-2</v>
      </c>
      <c r="F273" s="251"/>
      <c r="G273" s="251"/>
      <c r="H273" s="251"/>
      <c r="I273" s="251"/>
      <c r="J273" s="251"/>
      <c r="K273" s="251"/>
      <c r="L273" s="251"/>
      <c r="M273" s="278"/>
    </row>
    <row r="274" spans="1:15" ht="14.4" x14ac:dyDescent="0.25">
      <c r="A274" s="247"/>
      <c r="B274" s="248" t="s">
        <v>147</v>
      </c>
      <c r="C274" s="229">
        <v>2</v>
      </c>
      <c r="D274" s="252">
        <f t="shared" si="25"/>
        <v>2</v>
      </c>
      <c r="E274" s="231">
        <f t="shared" si="25"/>
        <v>2</v>
      </c>
      <c r="F274" s="251"/>
      <c r="G274" s="251"/>
      <c r="H274" s="251"/>
      <c r="I274" s="251"/>
      <c r="J274" s="251"/>
      <c r="K274" s="251"/>
      <c r="L274" s="251"/>
      <c r="M274" s="278"/>
    </row>
    <row r="275" spans="1:15" ht="14.4" x14ac:dyDescent="0.25">
      <c r="A275" s="247"/>
      <c r="B275" s="248" t="s">
        <v>148</v>
      </c>
      <c r="C275" s="252">
        <f>4*C271/(C274^2*PI())</f>
        <v>1.3687325105902999</v>
      </c>
      <c r="D275" s="252">
        <f>4*D271/(D274^2*PI())</f>
        <v>1.710915638237875</v>
      </c>
      <c r="E275" s="252">
        <f>4*E271/(E274^2*PI())</f>
        <v>0.54749300423612002</v>
      </c>
      <c r="F275" s="251"/>
      <c r="G275" s="251"/>
      <c r="H275" s="251"/>
      <c r="I275" s="251"/>
      <c r="J275" s="251"/>
      <c r="K275" s="251"/>
      <c r="L275" s="251"/>
      <c r="M275" s="278"/>
    </row>
    <row r="276" spans="1:15" ht="14.4" x14ac:dyDescent="0.25">
      <c r="A276" s="247"/>
      <c r="B276" s="248" t="s">
        <v>149</v>
      </c>
      <c r="C276" s="231">
        <f>C271/C275</f>
        <v>3.1415926535897931</v>
      </c>
      <c r="D276" s="252">
        <f>D271/D275</f>
        <v>3.1415926535897931</v>
      </c>
      <c r="E276" s="231">
        <f>E271/E275</f>
        <v>3.1415926535897927</v>
      </c>
      <c r="F276" s="251"/>
      <c r="G276" s="251"/>
      <c r="H276" s="251"/>
      <c r="I276" s="251"/>
      <c r="J276" s="251"/>
      <c r="K276" s="251"/>
      <c r="L276" s="251"/>
      <c r="M276" s="278"/>
    </row>
    <row r="277" spans="1:15" ht="14.4" x14ac:dyDescent="0.25">
      <c r="A277" s="247" t="s">
        <v>150</v>
      </c>
      <c r="B277" s="248"/>
      <c r="C277" s="248"/>
      <c r="D277" s="259"/>
      <c r="E277" s="248"/>
      <c r="F277" s="251"/>
      <c r="G277" s="389" t="s">
        <v>151</v>
      </c>
      <c r="H277" s="390"/>
      <c r="I277" s="390"/>
      <c r="J277" s="390"/>
      <c r="K277" s="391"/>
      <c r="L277" s="251"/>
      <c r="M277" s="278"/>
    </row>
    <row r="278" spans="1:15" ht="14.4" x14ac:dyDescent="0.25">
      <c r="A278" s="247" t="s">
        <v>152</v>
      </c>
      <c r="B278" s="248" t="s">
        <v>153</v>
      </c>
      <c r="C278" s="231">
        <f>C274/4</f>
        <v>0.5</v>
      </c>
      <c r="D278" s="252">
        <f>D274/4</f>
        <v>0.5</v>
      </c>
      <c r="E278" s="231">
        <f>E274/4</f>
        <v>0.5</v>
      </c>
      <c r="F278" s="251"/>
      <c r="G278" s="381" t="s">
        <v>154</v>
      </c>
      <c r="H278" s="260" t="s">
        <v>155</v>
      </c>
      <c r="I278" s="261" t="s">
        <v>156</v>
      </c>
      <c r="J278" s="261" t="s">
        <v>157</v>
      </c>
      <c r="K278" s="279" t="s">
        <v>158</v>
      </c>
      <c r="L278" s="251"/>
      <c r="M278" s="278"/>
    </row>
    <row r="279" spans="1:15" ht="16.8" x14ac:dyDescent="0.25">
      <c r="A279" s="247"/>
      <c r="B279" s="248" t="s">
        <v>159</v>
      </c>
      <c r="C279" s="231">
        <f>C278^(1/6)/C273</f>
        <v>80.990792558212661</v>
      </c>
      <c r="D279" s="252">
        <f>D278^(1/6)/D273</f>
        <v>80.990792558212661</v>
      </c>
      <c r="E279" s="231">
        <f>E278^(1/6)/E273</f>
        <v>80.990792558212661</v>
      </c>
      <c r="F279" s="251"/>
      <c r="G279" s="382"/>
      <c r="H279" s="261" t="s">
        <v>160</v>
      </c>
      <c r="I279" s="261" t="s">
        <v>161</v>
      </c>
      <c r="J279" s="261" t="s">
        <v>162</v>
      </c>
      <c r="K279" s="279" t="s">
        <v>163</v>
      </c>
      <c r="L279" s="251"/>
      <c r="M279" s="278"/>
    </row>
    <row r="280" spans="1:15" ht="16.8" x14ac:dyDescent="0.25">
      <c r="A280" s="247"/>
      <c r="B280" s="248" t="s">
        <v>164</v>
      </c>
      <c r="C280" s="231">
        <f>8*9.81/C279^2</f>
        <v>1.196431108348571E-2</v>
      </c>
      <c r="D280" s="252">
        <f>8*9.81/D279^2</f>
        <v>1.196431108348571E-2</v>
      </c>
      <c r="E280" s="231">
        <f>8*9.81/E279^2</f>
        <v>1.196431108348571E-2</v>
      </c>
      <c r="F280" s="251"/>
      <c r="G280" s="262" t="s">
        <v>211</v>
      </c>
      <c r="H280" s="263">
        <f>C276</f>
        <v>3.1415926535897931</v>
      </c>
      <c r="I280" s="263">
        <f>I286*I287</f>
        <v>9.6690000000000005</v>
      </c>
      <c r="J280" s="263">
        <f>H280/I280</f>
        <v>0.32491391597784602</v>
      </c>
      <c r="K280" s="280">
        <f ca="1">TREND(OFFSET($L$51,MATCH(J280,$K$52:$K$60),0,2,1),OFFSET($K$51,MATCH(J280,$K$52:$K$60),0,2,1),J280)</f>
        <v>0.39003443360886159</v>
      </c>
      <c r="L280" s="251"/>
      <c r="M280" s="278"/>
    </row>
    <row r="281" spans="1:15" ht="16.8" x14ac:dyDescent="0.25">
      <c r="A281" s="247"/>
      <c r="B281" s="248" t="s">
        <v>166</v>
      </c>
      <c r="C281" s="231">
        <f>C280*C272*C275^2/(4*C278*2*9.81)</f>
        <v>7.8255781125517038E-2</v>
      </c>
      <c r="D281" s="252">
        <f>D280*D272*D275^2/(4*D278*2*9.81)</f>
        <v>0.12227465800862038</v>
      </c>
      <c r="E281" s="231">
        <f>E280*E272*E275^2/(4*E278*2*9.81)</f>
        <v>1.2520924980082728E-2</v>
      </c>
      <c r="F281" s="251"/>
      <c r="G281" s="251"/>
      <c r="H281" s="251"/>
      <c r="I281" s="251"/>
      <c r="J281" s="251"/>
      <c r="K281" s="251"/>
      <c r="L281" s="251"/>
      <c r="M281" s="278"/>
      <c r="O281" s="281">
        <f>0.4-(0.4-0.36)/0.1*(J280-0.3)</f>
        <v>0.39003443360886159</v>
      </c>
    </row>
    <row r="282" spans="1:15" ht="14.4" x14ac:dyDescent="0.25">
      <c r="A282" s="247" t="s">
        <v>167</v>
      </c>
      <c r="B282" s="248" t="s">
        <v>168</v>
      </c>
      <c r="C282" s="264">
        <v>0.25</v>
      </c>
      <c r="D282" s="252">
        <f t="shared" ref="D282:E287" si="26">C282</f>
        <v>0.25</v>
      </c>
      <c r="E282" s="231">
        <f t="shared" si="26"/>
        <v>0.25</v>
      </c>
      <c r="F282" s="251"/>
      <c r="G282" s="251"/>
      <c r="H282" s="251"/>
      <c r="I282" s="251"/>
      <c r="J282" s="251"/>
      <c r="K282" s="251"/>
      <c r="L282" s="251"/>
      <c r="M282" s="278"/>
    </row>
    <row r="283" spans="1:15" ht="15.6" x14ac:dyDescent="0.25">
      <c r="A283" s="247"/>
      <c r="B283" s="248" t="s">
        <v>169</v>
      </c>
      <c r="C283" s="264">
        <f>0.1*2</f>
        <v>0.2</v>
      </c>
      <c r="D283" s="252">
        <f t="shared" si="26"/>
        <v>0.2</v>
      </c>
      <c r="E283" s="231">
        <f t="shared" si="26"/>
        <v>0.2</v>
      </c>
      <c r="F283" s="251"/>
      <c r="G283" s="383" t="s">
        <v>170</v>
      </c>
      <c r="H283" s="265" t="s">
        <v>171</v>
      </c>
      <c r="I283" s="282"/>
      <c r="J283" s="251"/>
      <c r="K283" s="238" t="s">
        <v>162</v>
      </c>
      <c r="L283" s="238" t="s">
        <v>163</v>
      </c>
      <c r="M283" s="278"/>
    </row>
    <row r="284" spans="1:15" ht="15.6" x14ac:dyDescent="0.25">
      <c r="A284" s="247"/>
      <c r="B284" s="248" t="s">
        <v>172</v>
      </c>
      <c r="C284" s="264">
        <v>0.02</v>
      </c>
      <c r="D284" s="252">
        <f t="shared" si="26"/>
        <v>0.02</v>
      </c>
      <c r="E284" s="231">
        <f t="shared" si="26"/>
        <v>0.02</v>
      </c>
      <c r="F284" s="251"/>
      <c r="G284" s="384"/>
      <c r="H284" s="266" t="s">
        <v>173</v>
      </c>
      <c r="I284" s="283">
        <v>1.7230000000000001</v>
      </c>
      <c r="J284" s="251"/>
      <c r="K284" s="238">
        <v>0.1</v>
      </c>
      <c r="L284" s="238">
        <v>0.81</v>
      </c>
      <c r="M284" s="278"/>
    </row>
    <row r="285" spans="1:15" ht="16.2" x14ac:dyDescent="0.25">
      <c r="A285" s="247"/>
      <c r="B285" s="248" t="s">
        <v>174</v>
      </c>
      <c r="C285" s="264">
        <v>0.1</v>
      </c>
      <c r="D285" s="252">
        <f t="shared" si="26"/>
        <v>0.1</v>
      </c>
      <c r="E285" s="231">
        <f t="shared" si="26"/>
        <v>0.1</v>
      </c>
      <c r="F285" s="251"/>
      <c r="G285" s="384"/>
      <c r="H285" s="266" t="s">
        <v>175</v>
      </c>
      <c r="I285" s="284"/>
      <c r="J285" s="251"/>
      <c r="K285" s="238">
        <v>0.2</v>
      </c>
      <c r="L285" s="238">
        <v>0.64</v>
      </c>
      <c r="M285" s="278"/>
    </row>
    <row r="286" spans="1:15" ht="15.6" x14ac:dyDescent="0.25">
      <c r="A286" s="247"/>
      <c r="B286" s="248" t="s">
        <v>176</v>
      </c>
      <c r="C286" s="264">
        <v>80</v>
      </c>
      <c r="D286" s="252">
        <f t="shared" si="26"/>
        <v>80</v>
      </c>
      <c r="E286" s="231">
        <f t="shared" si="26"/>
        <v>80</v>
      </c>
      <c r="F286" s="251"/>
      <c r="G286" s="384"/>
      <c r="H286" s="266" t="s">
        <v>177</v>
      </c>
      <c r="I286" s="283">
        <f>I284+1.5</f>
        <v>3.2229999999999999</v>
      </c>
      <c r="J286" s="251"/>
      <c r="K286" s="238">
        <v>0.3</v>
      </c>
      <c r="L286" s="238">
        <v>0.4</v>
      </c>
      <c r="M286" s="278"/>
    </row>
    <row r="287" spans="1:15" ht="15.6" x14ac:dyDescent="0.25">
      <c r="A287" s="247"/>
      <c r="B287" s="248" t="s">
        <v>178</v>
      </c>
      <c r="C287" s="264">
        <v>1.83</v>
      </c>
      <c r="D287" s="252">
        <f t="shared" si="26"/>
        <v>1.83</v>
      </c>
      <c r="E287" s="231">
        <f t="shared" si="26"/>
        <v>1.83</v>
      </c>
      <c r="F287" s="251"/>
      <c r="G287" s="384"/>
      <c r="H287" s="266" t="s">
        <v>179</v>
      </c>
      <c r="I287" s="283">
        <v>3</v>
      </c>
      <c r="K287" s="238">
        <v>0.4</v>
      </c>
      <c r="L287" s="238">
        <v>0.36</v>
      </c>
      <c r="M287" s="278"/>
    </row>
    <row r="288" spans="1:15" ht="16.8" x14ac:dyDescent="0.25">
      <c r="A288" s="247"/>
      <c r="B288" s="248" t="s">
        <v>180</v>
      </c>
      <c r="C288" s="231">
        <f>C287*(C284/C285)^(4/3)*SIN(C286/180*PI())</f>
        <v>0.21078637878092679</v>
      </c>
      <c r="D288" s="252">
        <f>D287*(D284/D285)^(4/3)*SIN(D286/180*PI())</f>
        <v>0.21078637878092679</v>
      </c>
      <c r="E288" s="231">
        <f>E287*(E284/E285)^(4/3)*SIN(E286/180*PI())</f>
        <v>0.21078637878092679</v>
      </c>
      <c r="F288" s="251"/>
      <c r="G288" s="384"/>
      <c r="H288" s="266" t="s">
        <v>181</v>
      </c>
      <c r="I288" s="284"/>
      <c r="K288" s="238">
        <v>0.5</v>
      </c>
      <c r="L288" s="238">
        <v>0.25</v>
      </c>
      <c r="M288" s="278"/>
    </row>
    <row r="289" spans="1:13" ht="15.6" x14ac:dyDescent="0.25">
      <c r="A289" s="247"/>
      <c r="B289" s="247" t="s">
        <v>182</v>
      </c>
      <c r="C289" s="231">
        <f ca="1">H321</f>
        <v>0.91630497999999994</v>
      </c>
      <c r="D289" s="252">
        <f t="shared" ref="D289:E291" ca="1" si="27">C289</f>
        <v>0.91630497999999994</v>
      </c>
      <c r="E289" s="231">
        <f t="shared" ca="1" si="27"/>
        <v>0.91630497999999994</v>
      </c>
      <c r="F289" s="251"/>
      <c r="G289" s="384"/>
      <c r="H289" s="266" t="s">
        <v>183</v>
      </c>
      <c r="I289" s="284"/>
      <c r="K289" s="238">
        <v>0.6</v>
      </c>
      <c r="L289" s="238">
        <v>0.16</v>
      </c>
      <c r="M289" s="278"/>
    </row>
    <row r="290" spans="1:13" ht="16.2" x14ac:dyDescent="0.25">
      <c r="A290" s="247"/>
      <c r="B290" s="247" t="s">
        <v>184</v>
      </c>
      <c r="C290" s="264">
        <f ca="1">K280</f>
        <v>0.39003443360886159</v>
      </c>
      <c r="D290" s="252">
        <f t="shared" ca="1" si="27"/>
        <v>0.39003443360886159</v>
      </c>
      <c r="E290" s="231">
        <f t="shared" ca="1" si="27"/>
        <v>0.39003443360886159</v>
      </c>
      <c r="F290" s="251"/>
      <c r="G290" s="385"/>
      <c r="H290" s="266" t="s">
        <v>185</v>
      </c>
      <c r="I290" s="284"/>
      <c r="K290" s="238">
        <v>0.7</v>
      </c>
      <c r="L290" s="238">
        <v>0.09</v>
      </c>
      <c r="M290" s="278"/>
    </row>
    <row r="291" spans="1:13" ht="16.2" x14ac:dyDescent="0.25">
      <c r="A291" s="247"/>
      <c r="B291" s="248" t="s">
        <v>186</v>
      </c>
      <c r="C291" s="264">
        <f>0.1*1</f>
        <v>0.1</v>
      </c>
      <c r="D291" s="252">
        <f t="shared" si="27"/>
        <v>0.1</v>
      </c>
      <c r="E291" s="231">
        <f t="shared" si="27"/>
        <v>0.1</v>
      </c>
      <c r="F291" s="251"/>
      <c r="G291" s="386"/>
      <c r="H291" s="267" t="s">
        <v>187</v>
      </c>
      <c r="I291" s="285"/>
      <c r="J291" s="251"/>
      <c r="K291" s="238">
        <v>0.8</v>
      </c>
      <c r="L291" s="238">
        <v>0.04</v>
      </c>
      <c r="M291" s="278"/>
    </row>
    <row r="292" spans="1:13" ht="14.4" x14ac:dyDescent="0.25">
      <c r="A292" s="247"/>
      <c r="B292" s="248" t="s">
        <v>188</v>
      </c>
      <c r="C292" s="231">
        <f ca="1">C291+C288+C283+C282+C290+C289</f>
        <v>2.0671257923897883</v>
      </c>
      <c r="D292" s="252">
        <f ca="1">D291+D288+D283+D282+D290+D289</f>
        <v>2.0671257923897883</v>
      </c>
      <c r="E292" s="231">
        <f ca="1">E291+E288+E283+E282+E290+E289</f>
        <v>2.0671257923897883</v>
      </c>
      <c r="F292" s="251"/>
      <c r="G292" s="251"/>
      <c r="H292" s="251"/>
      <c r="I292" s="251"/>
      <c r="J292" s="251"/>
      <c r="K292" s="238">
        <v>0.9</v>
      </c>
      <c r="L292" s="238">
        <v>0.01</v>
      </c>
      <c r="M292" s="278"/>
    </row>
    <row r="293" spans="1:13" ht="16.8" x14ac:dyDescent="0.25">
      <c r="A293" s="247"/>
      <c r="B293" s="248" t="s">
        <v>189</v>
      </c>
      <c r="C293" s="231">
        <f ca="1">C292*C275^2/2/9.81</f>
        <v>0.19738087441879412</v>
      </c>
      <c r="D293" s="252">
        <f ca="1">D292*D275^2/2/9.81</f>
        <v>0.30840761627936586</v>
      </c>
      <c r="E293" s="231">
        <f ca="1">E292*E275^2/2/9.81</f>
        <v>3.1580939907007069E-2</v>
      </c>
      <c r="F293" s="251"/>
      <c r="G293" s="251"/>
      <c r="H293" s="251"/>
      <c r="I293" s="251"/>
      <c r="J293" s="251"/>
      <c r="K293" s="251"/>
      <c r="L293" s="251"/>
      <c r="M293" s="278"/>
    </row>
    <row r="294" spans="1:13" ht="14.4" x14ac:dyDescent="0.25">
      <c r="A294" s="268" t="s">
        <v>190</v>
      </c>
      <c r="B294" s="269" t="s">
        <v>191</v>
      </c>
      <c r="C294" s="270">
        <f ca="1">C281+C293</f>
        <v>0.27563665554431116</v>
      </c>
      <c r="D294" s="270">
        <f ca="1">D281+D293</f>
        <v>0.43068227428798622</v>
      </c>
      <c r="E294" s="271">
        <f ca="1">E281+E293</f>
        <v>4.4101864887089795E-2</v>
      </c>
      <c r="F294" s="251"/>
      <c r="G294" s="272" t="s">
        <v>192</v>
      </c>
      <c r="H294" s="241">
        <v>0.12</v>
      </c>
      <c r="I294" s="251"/>
      <c r="J294" s="251"/>
      <c r="K294" s="251"/>
      <c r="L294" s="251"/>
      <c r="M294" s="278"/>
    </row>
    <row r="295" spans="1:13" ht="14.4" x14ac:dyDescent="0.25">
      <c r="A295" s="273" t="s">
        <v>193</v>
      </c>
      <c r="B295" s="274"/>
      <c r="C295" s="231">
        <f ca="1">C294+(C275^2-D250^2)/(2*9.81)</f>
        <v>0.37112231739685064</v>
      </c>
      <c r="D295" s="252">
        <f ca="1">D294+(D275^2-D249^2)/(2*9.81)</f>
        <v>0.57987862093257925</v>
      </c>
      <c r="E295" s="231">
        <f ca="1">E294+(E275^2-D251^2)/(2*9.81)</f>
        <v>5.9379570783496122E-2</v>
      </c>
      <c r="F295" s="251"/>
      <c r="G295" s="251"/>
      <c r="H295" s="251"/>
      <c r="I295" s="251"/>
      <c r="J295" s="251"/>
      <c r="K295" s="251"/>
      <c r="L295" s="251"/>
      <c r="M295" s="278"/>
    </row>
    <row r="296" spans="1:13" ht="14.4" x14ac:dyDescent="0.25">
      <c r="A296" s="273" t="s">
        <v>194</v>
      </c>
      <c r="B296" s="274"/>
      <c r="C296" s="231">
        <f ca="1">C295+C258-D258</f>
        <v>0.37112231739685064</v>
      </c>
      <c r="D296" s="252">
        <f ca="1">D295+C256-D256</f>
        <v>0.57987862093257925</v>
      </c>
      <c r="E296" s="231">
        <f ca="1">E295+C260-D260</f>
        <v>5.9379570783496122E-2</v>
      </c>
      <c r="F296" s="251"/>
      <c r="G296" s="251"/>
      <c r="H296" s="251"/>
      <c r="I296" s="251"/>
      <c r="J296" s="251"/>
      <c r="K296" s="251"/>
      <c r="L296" s="251"/>
      <c r="M296" s="278"/>
    </row>
    <row r="297" spans="1:13" x14ac:dyDescent="0.25">
      <c r="A297" s="286"/>
      <c r="B297" s="287"/>
      <c r="C297" s="251"/>
      <c r="D297" s="251"/>
      <c r="E297" s="251"/>
      <c r="F297" s="251"/>
      <c r="G297" s="251"/>
      <c r="H297" s="251"/>
      <c r="I297" s="251"/>
      <c r="J297" s="251"/>
      <c r="K297" s="251"/>
      <c r="L297" s="251"/>
      <c r="M297" s="278"/>
    </row>
    <row r="298" spans="1:13" ht="18" x14ac:dyDescent="0.4">
      <c r="A298" s="288"/>
      <c r="B298" s="289" t="s">
        <v>26</v>
      </c>
      <c r="C298" s="289" t="s">
        <v>195</v>
      </c>
      <c r="D298" s="289" t="s">
        <v>196</v>
      </c>
      <c r="E298" s="289" t="s">
        <v>197</v>
      </c>
      <c r="F298" s="289" t="s">
        <v>198</v>
      </c>
      <c r="G298" s="289" t="s">
        <v>199</v>
      </c>
      <c r="H298" s="289" t="s">
        <v>200</v>
      </c>
      <c r="I298" s="251"/>
      <c r="J298" s="289" t="s">
        <v>201</v>
      </c>
      <c r="K298" s="289" t="s">
        <v>202</v>
      </c>
      <c r="L298" s="289" t="s">
        <v>197</v>
      </c>
      <c r="M298" s="292" t="s">
        <v>199</v>
      </c>
    </row>
    <row r="299" spans="1:13" x14ac:dyDescent="0.25">
      <c r="A299" s="288">
        <v>1</v>
      </c>
      <c r="B299" s="264">
        <v>10</v>
      </c>
      <c r="C299" s="290">
        <f>C274</f>
        <v>2</v>
      </c>
      <c r="D299" s="290">
        <f t="shared" ref="D299:D306" si="28">B299/C299</f>
        <v>5</v>
      </c>
      <c r="E299" s="264">
        <v>14.646000000000001</v>
      </c>
      <c r="F299" s="290">
        <f t="shared" ref="F299:F306" ca="1" si="29">TREND(OFFSET($K$66,MATCH(D299,$J$67:$J$79),0,2,1),OFFSET($J$66,MATCH(D299,$J$67:$J$79),0,2,1),D299)</f>
        <v>0.28999999999999998</v>
      </c>
      <c r="G299" s="290">
        <f ca="1">TREND(OFFSET($M$66,MATCH(E299,$L$67:$L$80),0,2,1),OFFSET($L$66,MATCH(E299,$L$67:$L$80),0,2,1),E299)</f>
        <v>0.30898200000000003</v>
      </c>
      <c r="H299" s="290">
        <f t="shared" ref="H299:H306" ca="1" si="30">F299*G299</f>
        <v>8.9604780000000009E-2</v>
      </c>
      <c r="I299" s="251"/>
      <c r="J299" s="289">
        <v>0.5</v>
      </c>
      <c r="K299" s="289">
        <v>1.2</v>
      </c>
      <c r="L299" s="289">
        <v>0</v>
      </c>
      <c r="M299" s="292">
        <v>0</v>
      </c>
    </row>
    <row r="300" spans="1:13" x14ac:dyDescent="0.25">
      <c r="A300" s="288">
        <v>2</v>
      </c>
      <c r="B300" s="264">
        <v>10</v>
      </c>
      <c r="C300" s="290">
        <f t="shared" ref="C300:C306" si="31">C299</f>
        <v>2</v>
      </c>
      <c r="D300" s="290">
        <f t="shared" si="28"/>
        <v>5</v>
      </c>
      <c r="E300" s="264">
        <v>18.989999999999998</v>
      </c>
      <c r="F300" s="290">
        <f t="shared" ca="1" si="29"/>
        <v>0.28999999999999998</v>
      </c>
      <c r="G300" s="290">
        <f t="shared" ref="G300:G306" ca="1" si="32">TREND(OFFSET($M$66,MATCH(E300,$L$67:$L$79),0,2,1),OFFSET($L$66,MATCH(E300,$L$67:$L$79),0,2,1),E300)</f>
        <v>0.38283</v>
      </c>
      <c r="H300" s="290">
        <f t="shared" ca="1" si="30"/>
        <v>0.1110207</v>
      </c>
      <c r="I300" s="251"/>
      <c r="J300" s="289">
        <v>1</v>
      </c>
      <c r="K300" s="289">
        <v>0.8</v>
      </c>
      <c r="L300" s="289">
        <v>5</v>
      </c>
      <c r="M300" s="292">
        <v>0.125</v>
      </c>
    </row>
    <row r="301" spans="1:13" x14ac:dyDescent="0.25">
      <c r="A301" s="288">
        <v>3</v>
      </c>
      <c r="B301" s="264">
        <v>10</v>
      </c>
      <c r="C301" s="290">
        <f t="shared" si="31"/>
        <v>2</v>
      </c>
      <c r="D301" s="290">
        <f t="shared" si="28"/>
        <v>5</v>
      </c>
      <c r="E301" s="264">
        <v>21.314</v>
      </c>
      <c r="F301" s="290">
        <f t="shared" ca="1" si="29"/>
        <v>0.28999999999999998</v>
      </c>
      <c r="G301" s="290">
        <f t="shared" ca="1" si="32"/>
        <v>0.41971000000000003</v>
      </c>
      <c r="H301" s="290">
        <f t="shared" ca="1" si="30"/>
        <v>0.1217159</v>
      </c>
      <c r="I301" s="251"/>
      <c r="J301" s="289">
        <v>1.5</v>
      </c>
      <c r="K301" s="289">
        <v>0.6</v>
      </c>
      <c r="L301" s="289">
        <v>10</v>
      </c>
      <c r="M301" s="292">
        <v>0.23</v>
      </c>
    </row>
    <row r="302" spans="1:13" x14ac:dyDescent="0.25">
      <c r="A302" s="288">
        <v>4</v>
      </c>
      <c r="B302" s="264">
        <v>10</v>
      </c>
      <c r="C302" s="290">
        <f t="shared" si="31"/>
        <v>2</v>
      </c>
      <c r="D302" s="290">
        <f t="shared" si="28"/>
        <v>5</v>
      </c>
      <c r="E302" s="264">
        <v>21.314</v>
      </c>
      <c r="F302" s="290">
        <f t="shared" ca="1" si="29"/>
        <v>0.28999999999999998</v>
      </c>
      <c r="G302" s="290">
        <f t="shared" ca="1" si="32"/>
        <v>0.41971000000000003</v>
      </c>
      <c r="H302" s="290">
        <f t="shared" ca="1" si="30"/>
        <v>0.1217159</v>
      </c>
      <c r="I302" s="251"/>
      <c r="J302" s="289">
        <v>2</v>
      </c>
      <c r="K302" s="289">
        <v>0.48</v>
      </c>
      <c r="L302" s="289">
        <v>20</v>
      </c>
      <c r="M302" s="292">
        <v>0.4</v>
      </c>
    </row>
    <row r="303" spans="1:13" x14ac:dyDescent="0.25">
      <c r="A303" s="288">
        <v>5</v>
      </c>
      <c r="B303" s="264">
        <v>10</v>
      </c>
      <c r="C303" s="290">
        <f t="shared" si="31"/>
        <v>2</v>
      </c>
      <c r="D303" s="290">
        <f t="shared" si="28"/>
        <v>5</v>
      </c>
      <c r="E303" s="264">
        <v>24.289000000000001</v>
      </c>
      <c r="F303" s="290">
        <f t="shared" ca="1" si="29"/>
        <v>0.28999999999999998</v>
      </c>
      <c r="G303" s="290">
        <f t="shared" ca="1" si="32"/>
        <v>0.46433500000000005</v>
      </c>
      <c r="H303" s="290">
        <f t="shared" ca="1" si="30"/>
        <v>0.13465715</v>
      </c>
      <c r="I303" s="251"/>
      <c r="J303" s="289">
        <v>3</v>
      </c>
      <c r="K303" s="289">
        <v>0.36</v>
      </c>
      <c r="L303" s="289">
        <v>30</v>
      </c>
      <c r="M303" s="292">
        <v>0.55000000000000004</v>
      </c>
    </row>
    <row r="304" spans="1:13" x14ac:dyDescent="0.25">
      <c r="A304" s="288">
        <v>6</v>
      </c>
      <c r="B304" s="264">
        <v>10</v>
      </c>
      <c r="C304" s="290">
        <f t="shared" si="31"/>
        <v>2</v>
      </c>
      <c r="D304" s="290">
        <f t="shared" si="28"/>
        <v>5</v>
      </c>
      <c r="E304" s="264">
        <v>20.53</v>
      </c>
      <c r="F304" s="290">
        <f t="shared" ca="1" si="29"/>
        <v>0.28999999999999998</v>
      </c>
      <c r="G304" s="290">
        <f t="shared" ca="1" si="32"/>
        <v>0.40795000000000003</v>
      </c>
      <c r="H304" s="290">
        <f t="shared" ca="1" si="30"/>
        <v>0.11830550000000001</v>
      </c>
      <c r="I304" s="251"/>
      <c r="J304" s="289">
        <v>4</v>
      </c>
      <c r="K304" s="289">
        <v>0.3</v>
      </c>
      <c r="L304" s="289">
        <v>40</v>
      </c>
      <c r="M304" s="292">
        <v>0.65</v>
      </c>
    </row>
    <row r="305" spans="1:13" x14ac:dyDescent="0.25">
      <c r="A305" s="288">
        <v>7</v>
      </c>
      <c r="B305" s="264">
        <v>6</v>
      </c>
      <c r="C305" s="290">
        <f t="shared" si="31"/>
        <v>2</v>
      </c>
      <c r="D305" s="290">
        <f t="shared" si="28"/>
        <v>3</v>
      </c>
      <c r="E305" s="264">
        <v>28.672000000000001</v>
      </c>
      <c r="F305" s="290">
        <f t="shared" ca="1" si="29"/>
        <v>0.36</v>
      </c>
      <c r="G305" s="290">
        <f t="shared" ca="1" si="32"/>
        <v>0.53008000000000011</v>
      </c>
      <c r="H305" s="290">
        <f t="shared" ca="1" si="30"/>
        <v>0.19082880000000002</v>
      </c>
      <c r="I305" s="251"/>
      <c r="J305" s="289">
        <v>5</v>
      </c>
      <c r="K305" s="289">
        <v>0.28999999999999998</v>
      </c>
      <c r="L305" s="289">
        <v>50</v>
      </c>
      <c r="M305" s="292">
        <v>0.75</v>
      </c>
    </row>
    <row r="306" spans="1:13" x14ac:dyDescent="0.25">
      <c r="A306" s="288">
        <v>8</v>
      </c>
      <c r="B306" s="264">
        <v>10</v>
      </c>
      <c r="C306" s="290">
        <f t="shared" si="31"/>
        <v>2</v>
      </c>
      <c r="D306" s="290">
        <f t="shared" si="28"/>
        <v>5</v>
      </c>
      <c r="E306" s="264">
        <v>3.9249999999999998</v>
      </c>
      <c r="F306" s="290">
        <f t="shared" ca="1" si="29"/>
        <v>0.28999999999999998</v>
      </c>
      <c r="G306" s="290">
        <f t="shared" ca="1" si="32"/>
        <v>9.812499999999999E-2</v>
      </c>
      <c r="H306" s="290">
        <f t="shared" ca="1" si="30"/>
        <v>2.8456249999999995E-2</v>
      </c>
      <c r="I306" s="251"/>
      <c r="J306" s="289">
        <v>6</v>
      </c>
      <c r="K306" s="289">
        <v>0.28000000000000003</v>
      </c>
      <c r="L306" s="289">
        <v>60</v>
      </c>
      <c r="M306" s="292">
        <v>0.83</v>
      </c>
    </row>
    <row r="307" spans="1:13" x14ac:dyDescent="0.25">
      <c r="A307" s="288">
        <v>9</v>
      </c>
      <c r="B307" s="264"/>
      <c r="C307" s="290"/>
      <c r="D307" s="290"/>
      <c r="E307" s="264"/>
      <c r="F307" s="290"/>
      <c r="G307" s="290"/>
      <c r="H307" s="290"/>
      <c r="I307" s="251"/>
      <c r="J307" s="289">
        <v>7</v>
      </c>
      <c r="K307" s="289">
        <v>0.27</v>
      </c>
      <c r="L307" s="289">
        <v>70</v>
      </c>
      <c r="M307" s="292">
        <v>0.88</v>
      </c>
    </row>
    <row r="308" spans="1:13" x14ac:dyDescent="0.25">
      <c r="A308" s="288">
        <v>10</v>
      </c>
      <c r="B308" s="264"/>
      <c r="C308" s="290"/>
      <c r="D308" s="290"/>
      <c r="E308" s="264"/>
      <c r="F308" s="290"/>
      <c r="G308" s="290"/>
      <c r="H308" s="290"/>
      <c r="I308" s="251"/>
      <c r="J308" s="289">
        <v>8</v>
      </c>
      <c r="K308" s="289">
        <v>0.26</v>
      </c>
      <c r="L308" s="289">
        <v>80</v>
      </c>
      <c r="M308" s="292">
        <v>0.95</v>
      </c>
    </row>
    <row r="309" spans="1:13" x14ac:dyDescent="0.25">
      <c r="A309" s="288">
        <v>11</v>
      </c>
      <c r="B309" s="264"/>
      <c r="C309" s="290"/>
      <c r="D309" s="290"/>
      <c r="E309" s="264"/>
      <c r="F309" s="290"/>
      <c r="G309" s="290"/>
      <c r="H309" s="290"/>
      <c r="I309" s="251"/>
      <c r="J309" s="289">
        <v>9</v>
      </c>
      <c r="K309" s="289">
        <v>0.25</v>
      </c>
      <c r="L309" s="289">
        <v>90</v>
      </c>
      <c r="M309" s="292">
        <v>1</v>
      </c>
    </row>
    <row r="310" spans="1:13" x14ac:dyDescent="0.25">
      <c r="A310" s="288">
        <v>12</v>
      </c>
      <c r="B310" s="264"/>
      <c r="C310" s="290"/>
      <c r="D310" s="290"/>
      <c r="E310" s="264"/>
      <c r="F310" s="290"/>
      <c r="G310" s="290"/>
      <c r="H310" s="290"/>
      <c r="I310" s="251"/>
      <c r="J310" s="289">
        <v>10</v>
      </c>
      <c r="K310" s="289">
        <v>0.24</v>
      </c>
      <c r="L310" s="289">
        <v>100</v>
      </c>
      <c r="M310" s="292">
        <v>1.05</v>
      </c>
    </row>
    <row r="311" spans="1:13" x14ac:dyDescent="0.25">
      <c r="A311" s="288"/>
      <c r="B311" s="264"/>
      <c r="C311" s="290"/>
      <c r="D311" s="290"/>
      <c r="E311" s="264"/>
      <c r="F311" s="290"/>
      <c r="G311" s="290"/>
      <c r="H311" s="290"/>
      <c r="I311" s="251"/>
      <c r="J311" s="289">
        <v>11</v>
      </c>
      <c r="K311" s="289">
        <v>0.23</v>
      </c>
      <c r="L311" s="289">
        <v>120</v>
      </c>
      <c r="M311" s="292">
        <v>1.1299999999999999</v>
      </c>
    </row>
    <row r="312" spans="1:13" x14ac:dyDescent="0.25">
      <c r="A312" s="288"/>
      <c r="B312" s="264"/>
      <c r="C312" s="290"/>
      <c r="D312" s="290"/>
      <c r="E312" s="264"/>
      <c r="F312" s="290"/>
      <c r="G312" s="290"/>
      <c r="H312" s="290"/>
      <c r="I312" s="251"/>
      <c r="J312" s="289"/>
      <c r="K312" s="289"/>
      <c r="L312" s="289">
        <v>140</v>
      </c>
      <c r="M312" s="292">
        <v>1.2</v>
      </c>
    </row>
    <row r="313" spans="1:13" x14ac:dyDescent="0.25">
      <c r="A313" s="288"/>
      <c r="B313" s="264"/>
      <c r="C313" s="290"/>
      <c r="D313" s="290"/>
      <c r="E313" s="264"/>
      <c r="F313" s="290"/>
      <c r="G313" s="290"/>
      <c r="H313" s="290"/>
      <c r="I313" s="251"/>
      <c r="J313" s="251"/>
      <c r="K313" s="251"/>
      <c r="L313" s="251"/>
      <c r="M313" s="278"/>
    </row>
    <row r="314" spans="1:13" x14ac:dyDescent="0.25">
      <c r="A314" s="288"/>
      <c r="B314" s="264"/>
      <c r="C314" s="290"/>
      <c r="D314" s="290"/>
      <c r="E314" s="264"/>
      <c r="F314" s="290"/>
      <c r="G314" s="290"/>
      <c r="H314" s="290"/>
      <c r="I314" s="251"/>
      <c r="J314" s="251"/>
      <c r="K314" s="251"/>
      <c r="L314" s="251"/>
      <c r="M314" s="278"/>
    </row>
    <row r="315" spans="1:13" x14ac:dyDescent="0.25">
      <c r="A315" s="288"/>
      <c r="B315" s="264"/>
      <c r="C315" s="290"/>
      <c r="D315" s="290"/>
      <c r="E315" s="264"/>
      <c r="F315" s="290"/>
      <c r="G315" s="290"/>
      <c r="H315" s="290"/>
      <c r="I315" s="251"/>
      <c r="J315" s="251"/>
      <c r="K315" s="251"/>
      <c r="L315" s="251"/>
      <c r="M315" s="278"/>
    </row>
    <row r="316" spans="1:13" x14ac:dyDescent="0.25">
      <c r="A316" s="288"/>
      <c r="B316" s="264"/>
      <c r="C316" s="290"/>
      <c r="D316" s="290"/>
      <c r="E316" s="264"/>
      <c r="F316" s="290"/>
      <c r="G316" s="290"/>
      <c r="H316" s="290"/>
      <c r="I316" s="251"/>
      <c r="J316" s="251"/>
      <c r="K316" s="251"/>
      <c r="L316" s="251"/>
      <c r="M316" s="278"/>
    </row>
    <row r="317" spans="1:13" x14ac:dyDescent="0.25">
      <c r="A317" s="288"/>
      <c r="B317" s="264"/>
      <c r="C317" s="290"/>
      <c r="D317" s="290"/>
      <c r="E317" s="264"/>
      <c r="F317" s="290"/>
      <c r="G317" s="290"/>
      <c r="H317" s="290"/>
      <c r="I317" s="251"/>
      <c r="J317" s="251"/>
      <c r="K317" s="251"/>
      <c r="L317" s="251"/>
      <c r="M317" s="278"/>
    </row>
    <row r="318" spans="1:13" x14ac:dyDescent="0.25">
      <c r="A318" s="288"/>
      <c r="B318" s="264"/>
      <c r="C318" s="290"/>
      <c r="D318" s="290"/>
      <c r="E318" s="264"/>
      <c r="F318" s="290"/>
      <c r="G318" s="290"/>
      <c r="H318" s="290"/>
      <c r="I318" s="251"/>
      <c r="J318" s="251"/>
      <c r="K318" s="251"/>
      <c r="L318" s="251"/>
      <c r="M318" s="278"/>
    </row>
    <row r="319" spans="1:13" x14ac:dyDescent="0.25">
      <c r="A319" s="288"/>
      <c r="B319" s="264"/>
      <c r="C319" s="290"/>
      <c r="D319" s="290"/>
      <c r="E319" s="264"/>
      <c r="F319" s="290"/>
      <c r="G319" s="290"/>
      <c r="H319" s="290"/>
      <c r="I319" s="251"/>
      <c r="J319" s="251"/>
      <c r="K319" s="251"/>
      <c r="L319" s="251"/>
      <c r="M319" s="278"/>
    </row>
    <row r="320" spans="1:13" x14ac:dyDescent="0.25">
      <c r="A320" s="288"/>
      <c r="B320" s="264"/>
      <c r="C320" s="290"/>
      <c r="D320" s="290"/>
      <c r="E320" s="264"/>
      <c r="F320" s="290"/>
      <c r="G320" s="290"/>
      <c r="H320" s="290"/>
      <c r="I320" s="251"/>
      <c r="J320" s="251"/>
      <c r="K320" s="251"/>
      <c r="L320" s="251"/>
      <c r="M320" s="278"/>
    </row>
    <row r="321" spans="1:13" ht="16.2" x14ac:dyDescent="0.3">
      <c r="A321" s="387" t="s">
        <v>203</v>
      </c>
      <c r="B321" s="388"/>
      <c r="C321" s="388"/>
      <c r="D321" s="388"/>
      <c r="E321" s="388"/>
      <c r="F321" s="388"/>
      <c r="G321" s="388"/>
      <c r="H321" s="291">
        <f ca="1">SUM(H299:H320)</f>
        <v>0.91630497999999994</v>
      </c>
      <c r="I321" s="293"/>
      <c r="J321" s="293"/>
      <c r="K321" s="293"/>
      <c r="L321" s="293"/>
      <c r="M321" s="294"/>
    </row>
    <row r="324" spans="1:13" ht="14.4" x14ac:dyDescent="0.25">
      <c r="A324" s="244" t="s">
        <v>212</v>
      </c>
      <c r="C324" s="240"/>
    </row>
    <row r="325" spans="1:13" x14ac:dyDescent="0.25">
      <c r="A325" s="245" t="s">
        <v>138</v>
      </c>
      <c r="B325" s="246"/>
      <c r="C325" s="246"/>
      <c r="D325" s="246"/>
      <c r="E325" s="246"/>
      <c r="F325" s="246"/>
      <c r="G325" s="246"/>
      <c r="H325" s="246"/>
      <c r="I325" s="246"/>
      <c r="J325" s="246"/>
      <c r="K325" s="246"/>
      <c r="L325" s="246"/>
      <c r="M325" s="277"/>
    </row>
    <row r="326" spans="1:13" ht="14.4" x14ac:dyDescent="0.25">
      <c r="A326" s="247" t="s">
        <v>139</v>
      </c>
      <c r="B326" s="248"/>
      <c r="C326" s="249" t="s">
        <v>140</v>
      </c>
      <c r="D326" s="250" t="s">
        <v>141</v>
      </c>
      <c r="E326" s="249" t="s">
        <v>142</v>
      </c>
      <c r="F326" s="251"/>
      <c r="G326" s="251"/>
      <c r="H326" s="251"/>
      <c r="I326" s="251"/>
      <c r="J326" s="251"/>
      <c r="K326" s="251"/>
      <c r="L326" s="251"/>
      <c r="M326" s="278"/>
    </row>
    <row r="327" spans="1:13" ht="14.4" x14ac:dyDescent="0.25">
      <c r="A327" s="247"/>
      <c r="B327" s="248" t="s">
        <v>143</v>
      </c>
      <c r="C327" s="229">
        <v>4</v>
      </c>
      <c r="D327" s="252">
        <f>C327*1.25</f>
        <v>5</v>
      </c>
      <c r="E327" s="231">
        <f>C327*0.4</f>
        <v>1.6</v>
      </c>
      <c r="F327" s="251"/>
      <c r="G327" s="251"/>
      <c r="H327" s="251"/>
      <c r="I327" s="251"/>
      <c r="J327" s="251"/>
      <c r="K327" s="251"/>
      <c r="L327" s="251"/>
      <c r="M327" s="278"/>
    </row>
    <row r="328" spans="1:13" ht="14.4" x14ac:dyDescent="0.25">
      <c r="A328" s="247"/>
      <c r="B328" s="248" t="s">
        <v>144</v>
      </c>
      <c r="C328" s="253">
        <v>1</v>
      </c>
      <c r="D328" s="254">
        <f>C328</f>
        <v>1</v>
      </c>
      <c r="E328" s="255">
        <f>D328</f>
        <v>1</v>
      </c>
      <c r="F328" s="251"/>
      <c r="G328" s="251"/>
      <c r="H328" s="251"/>
      <c r="I328" s="251"/>
      <c r="J328" s="251"/>
      <c r="K328" s="251"/>
      <c r="L328" s="251"/>
      <c r="M328" s="278"/>
    </row>
    <row r="329" spans="1:13" ht="14.4" x14ac:dyDescent="0.25">
      <c r="A329" s="247"/>
      <c r="B329" s="248" t="s">
        <v>145</v>
      </c>
      <c r="C329" s="231">
        <f>C327/C328</f>
        <v>4</v>
      </c>
      <c r="D329" s="252">
        <f>D327/D328</f>
        <v>5</v>
      </c>
      <c r="E329" s="231">
        <f>E327/E328</f>
        <v>1.6</v>
      </c>
      <c r="F329" s="251"/>
      <c r="G329" s="251"/>
      <c r="H329" s="251"/>
      <c r="I329" s="251"/>
      <c r="J329" s="251"/>
      <c r="K329" s="251"/>
      <c r="L329" s="251"/>
      <c r="M329" s="278"/>
    </row>
    <row r="330" spans="1:13" ht="14.4" x14ac:dyDescent="0.25">
      <c r="A330" s="247"/>
      <c r="B330" s="248" t="s">
        <v>146</v>
      </c>
      <c r="C330" s="256">
        <v>515</v>
      </c>
      <c r="D330" s="252">
        <f t="shared" ref="D330:E332" si="33">C330</f>
        <v>515</v>
      </c>
      <c r="E330" s="231">
        <f t="shared" si="33"/>
        <v>515</v>
      </c>
      <c r="F330" s="251"/>
      <c r="G330" s="251"/>
      <c r="H330" s="251"/>
      <c r="I330" s="251"/>
      <c r="J330" s="251"/>
      <c r="K330" s="251"/>
      <c r="L330" s="251"/>
      <c r="M330" s="278"/>
    </row>
    <row r="331" spans="1:13" ht="14.4" x14ac:dyDescent="0.25">
      <c r="A331" s="247"/>
      <c r="B331" s="248" t="s">
        <v>134</v>
      </c>
      <c r="C331" s="257">
        <v>0.01</v>
      </c>
      <c r="D331" s="258">
        <f t="shared" si="33"/>
        <v>0.01</v>
      </c>
      <c r="E331" s="258">
        <f t="shared" si="33"/>
        <v>0.01</v>
      </c>
      <c r="F331" s="251"/>
      <c r="G331" s="251"/>
      <c r="H331" s="251"/>
      <c r="I331" s="251"/>
      <c r="J331" s="251"/>
      <c r="K331" s="251"/>
      <c r="L331" s="251"/>
      <c r="M331" s="278"/>
    </row>
    <row r="332" spans="1:13" ht="14.4" x14ac:dyDescent="0.25">
      <c r="A332" s="247"/>
      <c r="B332" s="248" t="s">
        <v>147</v>
      </c>
      <c r="C332" s="229">
        <v>2</v>
      </c>
      <c r="D332" s="252">
        <f t="shared" si="33"/>
        <v>2</v>
      </c>
      <c r="E332" s="231">
        <f t="shared" si="33"/>
        <v>2</v>
      </c>
      <c r="F332" s="251"/>
      <c r="G332" s="251"/>
      <c r="H332" s="251"/>
      <c r="I332" s="251"/>
      <c r="J332" s="251"/>
      <c r="K332" s="251"/>
      <c r="L332" s="251"/>
      <c r="M332" s="278"/>
    </row>
    <row r="333" spans="1:13" ht="14.4" x14ac:dyDescent="0.25">
      <c r="A333" s="247"/>
      <c r="B333" s="248" t="s">
        <v>148</v>
      </c>
      <c r="C333" s="252">
        <f>4*C329/(C332^2*PI())</f>
        <v>1.2732395447351628</v>
      </c>
      <c r="D333" s="252">
        <f>4*D329/(D332^2*PI())</f>
        <v>1.5915494309189535</v>
      </c>
      <c r="E333" s="252">
        <f>4*E329/(E332^2*PI())</f>
        <v>0.50929581789406508</v>
      </c>
      <c r="F333" s="251"/>
      <c r="G333" s="251"/>
      <c r="H333" s="251"/>
      <c r="I333" s="251"/>
      <c r="J333" s="251"/>
      <c r="K333" s="251"/>
      <c r="L333" s="251"/>
      <c r="M333" s="278"/>
    </row>
    <row r="334" spans="1:13" ht="14.4" x14ac:dyDescent="0.25">
      <c r="A334" s="247"/>
      <c r="B334" s="248" t="s">
        <v>149</v>
      </c>
      <c r="C334" s="231">
        <f>C329/C333</f>
        <v>3.1415926535897931</v>
      </c>
      <c r="D334" s="252">
        <f>D329/D333</f>
        <v>3.1415926535897931</v>
      </c>
      <c r="E334" s="231">
        <f>E329/E333</f>
        <v>3.1415926535897936</v>
      </c>
      <c r="F334" s="251"/>
      <c r="G334" s="251"/>
      <c r="H334" s="251"/>
      <c r="I334" s="251"/>
      <c r="J334" s="251"/>
      <c r="K334" s="251"/>
      <c r="L334" s="251"/>
      <c r="M334" s="278"/>
    </row>
    <row r="335" spans="1:13" ht="14.4" x14ac:dyDescent="0.25">
      <c r="A335" s="247" t="s">
        <v>150</v>
      </c>
      <c r="B335" s="248"/>
      <c r="C335" s="248"/>
      <c r="D335" s="259"/>
      <c r="E335" s="248"/>
      <c r="F335" s="251"/>
      <c r="G335" s="389" t="s">
        <v>151</v>
      </c>
      <c r="H335" s="390"/>
      <c r="I335" s="390"/>
      <c r="J335" s="390"/>
      <c r="K335" s="391"/>
      <c r="L335" s="251"/>
      <c r="M335" s="278"/>
    </row>
    <row r="336" spans="1:13" ht="14.4" x14ac:dyDescent="0.25">
      <c r="A336" s="247" t="s">
        <v>152</v>
      </c>
      <c r="B336" s="248" t="s">
        <v>153</v>
      </c>
      <c r="C336" s="231">
        <f>C332/4</f>
        <v>0.5</v>
      </c>
      <c r="D336" s="252">
        <f>D332/4</f>
        <v>0.5</v>
      </c>
      <c r="E336" s="231">
        <f>E332/4</f>
        <v>0.5</v>
      </c>
      <c r="F336" s="251"/>
      <c r="G336" s="381" t="s">
        <v>154</v>
      </c>
      <c r="H336" s="260" t="s">
        <v>155</v>
      </c>
      <c r="I336" s="261" t="s">
        <v>156</v>
      </c>
      <c r="J336" s="261" t="s">
        <v>157</v>
      </c>
      <c r="K336" s="279" t="s">
        <v>158</v>
      </c>
      <c r="L336" s="251"/>
      <c r="M336" s="278"/>
    </row>
    <row r="337" spans="1:15" ht="16.8" x14ac:dyDescent="0.25">
      <c r="A337" s="247"/>
      <c r="B337" s="248" t="s">
        <v>159</v>
      </c>
      <c r="C337" s="231">
        <f>C336^(1/6)/C331</f>
        <v>89.089871814033927</v>
      </c>
      <c r="D337" s="252">
        <f>D336^(1/6)/D331</f>
        <v>89.089871814033927</v>
      </c>
      <c r="E337" s="231">
        <f>E336^(1/6)/E331</f>
        <v>89.089871814033927</v>
      </c>
      <c r="F337" s="251"/>
      <c r="G337" s="382"/>
      <c r="H337" s="261" t="s">
        <v>160</v>
      </c>
      <c r="I337" s="261" t="s">
        <v>161</v>
      </c>
      <c r="J337" s="261" t="s">
        <v>162</v>
      </c>
      <c r="K337" s="279" t="s">
        <v>163</v>
      </c>
      <c r="L337" s="251"/>
      <c r="M337" s="278"/>
    </row>
    <row r="338" spans="1:15" ht="16.8" x14ac:dyDescent="0.25">
      <c r="A338" s="247"/>
      <c r="B338" s="248" t="s">
        <v>164</v>
      </c>
      <c r="C338" s="231">
        <f>8*9.81/C337^2</f>
        <v>9.8878603995749669E-3</v>
      </c>
      <c r="D338" s="252">
        <f>8*9.81/D337^2</f>
        <v>9.8878603995749669E-3</v>
      </c>
      <c r="E338" s="231">
        <f>8*9.81/E337^2</f>
        <v>9.8878603995749669E-3</v>
      </c>
      <c r="F338" s="251"/>
      <c r="G338" s="262" t="s">
        <v>213</v>
      </c>
      <c r="H338" s="263">
        <f>C334</f>
        <v>3.1415926535897931</v>
      </c>
      <c r="I338" s="263">
        <f>I344*I345</f>
        <v>9.495000000000001</v>
      </c>
      <c r="J338" s="263">
        <f>H338/I338</f>
        <v>0.33086810464347477</v>
      </c>
      <c r="K338" s="280">
        <f ca="1">TREND(OFFSET($L$51,MATCH(J338,$K$52:$K$60),0,2,1),OFFSET($K$51,MATCH(J338,$K$52:$K$60),0,2,1),J338)</f>
        <v>0.38765275814261013</v>
      </c>
      <c r="L338" s="251"/>
      <c r="M338" s="278"/>
    </row>
    <row r="339" spans="1:15" ht="16.8" x14ac:dyDescent="0.25">
      <c r="A339" s="247"/>
      <c r="B339" s="248" t="s">
        <v>166</v>
      </c>
      <c r="C339" s="231">
        <f>C338*C330*C333^2/(4*C336*2*9.81)</f>
        <v>0.21037822853341259</v>
      </c>
      <c r="D339" s="252">
        <f>D338*D330*D333^2/(4*D336*2*9.81)</f>
        <v>0.3287159820834572</v>
      </c>
      <c r="E339" s="231">
        <f>E338*E330*E333^2/(4*E336*2*9.81)</f>
        <v>3.3660516565346008E-2</v>
      </c>
      <c r="F339" s="251"/>
      <c r="G339" s="251"/>
      <c r="H339" s="251"/>
      <c r="I339" s="251"/>
      <c r="J339" s="251"/>
      <c r="K339" s="251"/>
      <c r="L339" s="251"/>
      <c r="M339" s="278"/>
      <c r="O339" s="281">
        <f>0.4-(0.4-0.36)/0.1*(J338-0.3)</f>
        <v>0.38765275814261008</v>
      </c>
    </row>
    <row r="340" spans="1:15" ht="14.4" x14ac:dyDescent="0.25">
      <c r="A340" s="247" t="s">
        <v>167</v>
      </c>
      <c r="B340" s="248" t="s">
        <v>168</v>
      </c>
      <c r="C340" s="264">
        <v>0.25</v>
      </c>
      <c r="D340" s="252">
        <f t="shared" ref="D340:E345" si="34">C340</f>
        <v>0.25</v>
      </c>
      <c r="E340" s="231">
        <f t="shared" si="34"/>
        <v>0.25</v>
      </c>
      <c r="F340" s="251"/>
      <c r="G340" s="251"/>
      <c r="H340" s="251"/>
      <c r="I340" s="251"/>
      <c r="J340" s="251"/>
      <c r="K340" s="251"/>
      <c r="L340" s="251"/>
      <c r="M340" s="278"/>
    </row>
    <row r="341" spans="1:15" ht="15.6" x14ac:dyDescent="0.25">
      <c r="A341" s="247"/>
      <c r="B341" s="248" t="s">
        <v>169</v>
      </c>
      <c r="C341" s="264">
        <f>0.1*2</f>
        <v>0.2</v>
      </c>
      <c r="D341" s="252">
        <f t="shared" si="34"/>
        <v>0.2</v>
      </c>
      <c r="E341" s="231">
        <f t="shared" si="34"/>
        <v>0.2</v>
      </c>
      <c r="F341" s="251"/>
      <c r="G341" s="383" t="s">
        <v>170</v>
      </c>
      <c r="H341" s="265" t="s">
        <v>171</v>
      </c>
      <c r="I341" s="282"/>
      <c r="J341" s="251"/>
      <c r="K341" s="238" t="s">
        <v>162</v>
      </c>
      <c r="L341" s="238" t="s">
        <v>163</v>
      </c>
      <c r="M341" s="278"/>
    </row>
    <row r="342" spans="1:15" ht="15.6" x14ac:dyDescent="0.25">
      <c r="A342" s="247"/>
      <c r="B342" s="248" t="s">
        <v>172</v>
      </c>
      <c r="C342" s="264">
        <v>0.02</v>
      </c>
      <c r="D342" s="252">
        <f t="shared" si="34"/>
        <v>0.02</v>
      </c>
      <c r="E342" s="231">
        <f t="shared" si="34"/>
        <v>0.02</v>
      </c>
      <c r="F342" s="251"/>
      <c r="G342" s="384"/>
      <c r="H342" s="266" t="s">
        <v>173</v>
      </c>
      <c r="I342" s="283">
        <v>1.665</v>
      </c>
      <c r="J342" s="251"/>
      <c r="K342" s="238">
        <v>0.1</v>
      </c>
      <c r="L342" s="238">
        <v>0.81</v>
      </c>
      <c r="M342" s="278"/>
    </row>
    <row r="343" spans="1:15" ht="16.2" x14ac:dyDescent="0.25">
      <c r="A343" s="247"/>
      <c r="B343" s="248" t="s">
        <v>174</v>
      </c>
      <c r="C343" s="264">
        <v>0.1</v>
      </c>
      <c r="D343" s="252">
        <f t="shared" si="34"/>
        <v>0.1</v>
      </c>
      <c r="E343" s="231">
        <f t="shared" si="34"/>
        <v>0.1</v>
      </c>
      <c r="F343" s="251"/>
      <c r="G343" s="384"/>
      <c r="H343" s="266" t="s">
        <v>175</v>
      </c>
      <c r="I343" s="284"/>
      <c r="J343" s="251"/>
      <c r="K343" s="238">
        <v>0.2</v>
      </c>
      <c r="L343" s="238">
        <v>0.64</v>
      </c>
      <c r="M343" s="278"/>
    </row>
    <row r="344" spans="1:15" ht="15.6" x14ac:dyDescent="0.25">
      <c r="A344" s="247"/>
      <c r="B344" s="248" t="s">
        <v>176</v>
      </c>
      <c r="C344" s="264">
        <v>80</v>
      </c>
      <c r="D344" s="252">
        <f t="shared" si="34"/>
        <v>80</v>
      </c>
      <c r="E344" s="231">
        <f t="shared" si="34"/>
        <v>80</v>
      </c>
      <c r="F344" s="251"/>
      <c r="G344" s="384"/>
      <c r="H344" s="266" t="s">
        <v>177</v>
      </c>
      <c r="I344" s="283">
        <f>I342+1.5</f>
        <v>3.165</v>
      </c>
      <c r="J344" s="251"/>
      <c r="K344" s="238">
        <v>0.3</v>
      </c>
      <c r="L344" s="238">
        <v>0.4</v>
      </c>
      <c r="M344" s="278"/>
    </row>
    <row r="345" spans="1:15" ht="15.6" x14ac:dyDescent="0.25">
      <c r="A345" s="247"/>
      <c r="B345" s="248" t="s">
        <v>178</v>
      </c>
      <c r="C345" s="264">
        <v>1.83</v>
      </c>
      <c r="D345" s="252">
        <f t="shared" si="34"/>
        <v>1.83</v>
      </c>
      <c r="E345" s="231">
        <f t="shared" si="34"/>
        <v>1.83</v>
      </c>
      <c r="F345" s="251"/>
      <c r="G345" s="384"/>
      <c r="H345" s="266" t="s">
        <v>179</v>
      </c>
      <c r="I345" s="283">
        <v>3</v>
      </c>
      <c r="K345" s="238">
        <v>0.4</v>
      </c>
      <c r="L345" s="238">
        <v>0.36</v>
      </c>
      <c r="M345" s="278"/>
    </row>
    <row r="346" spans="1:15" ht="16.8" x14ac:dyDescent="0.25">
      <c r="A346" s="247"/>
      <c r="B346" s="248" t="s">
        <v>180</v>
      </c>
      <c r="C346" s="231">
        <f>C345*(C342/C343)^(4/3)*SIN(C344/180*PI())</f>
        <v>0.21078637878092679</v>
      </c>
      <c r="D346" s="252">
        <f>D345*(D342/D343)^(4/3)*SIN(D344/180*PI())</f>
        <v>0.21078637878092679</v>
      </c>
      <c r="E346" s="231">
        <f>E345*(E342/E343)^(4/3)*SIN(E344/180*PI())</f>
        <v>0.21078637878092679</v>
      </c>
      <c r="F346" s="251"/>
      <c r="G346" s="384"/>
      <c r="H346" s="266" t="s">
        <v>181</v>
      </c>
      <c r="I346" s="284"/>
      <c r="K346" s="238">
        <v>0.5</v>
      </c>
      <c r="L346" s="238">
        <v>0.25</v>
      </c>
      <c r="M346" s="278"/>
    </row>
    <row r="347" spans="1:15" ht="15.6" x14ac:dyDescent="0.25">
      <c r="A347" s="247"/>
      <c r="B347" s="247" t="s">
        <v>182</v>
      </c>
      <c r="C347" s="231">
        <f ca="1">H379</f>
        <v>1.19179357</v>
      </c>
      <c r="D347" s="252">
        <f t="shared" ref="D347:E349" ca="1" si="35">C347</f>
        <v>1.19179357</v>
      </c>
      <c r="E347" s="231">
        <f t="shared" ca="1" si="35"/>
        <v>1.19179357</v>
      </c>
      <c r="F347" s="251"/>
      <c r="G347" s="384"/>
      <c r="H347" s="266" t="s">
        <v>183</v>
      </c>
      <c r="I347" s="284"/>
      <c r="K347" s="238">
        <v>0.6</v>
      </c>
      <c r="L347" s="238">
        <v>0.16</v>
      </c>
      <c r="M347" s="278"/>
    </row>
    <row r="348" spans="1:15" ht="16.2" x14ac:dyDescent="0.25">
      <c r="A348" s="247"/>
      <c r="B348" s="247" t="s">
        <v>184</v>
      </c>
      <c r="C348" s="264">
        <f ca="1">K338</f>
        <v>0.38765275814261013</v>
      </c>
      <c r="D348" s="252">
        <f t="shared" ca="1" si="35"/>
        <v>0.38765275814261013</v>
      </c>
      <c r="E348" s="231">
        <f t="shared" ca="1" si="35"/>
        <v>0.38765275814261013</v>
      </c>
      <c r="F348" s="251"/>
      <c r="G348" s="385"/>
      <c r="H348" s="266" t="s">
        <v>185</v>
      </c>
      <c r="I348" s="284"/>
      <c r="K348" s="238">
        <v>0.7</v>
      </c>
      <c r="L348" s="238">
        <v>0.09</v>
      </c>
      <c r="M348" s="278"/>
    </row>
    <row r="349" spans="1:15" ht="16.2" x14ac:dyDescent="0.25">
      <c r="A349" s="247"/>
      <c r="B349" s="248" t="s">
        <v>186</v>
      </c>
      <c r="C349" s="264">
        <f>0.1*1</f>
        <v>0.1</v>
      </c>
      <c r="D349" s="252">
        <f t="shared" si="35"/>
        <v>0.1</v>
      </c>
      <c r="E349" s="231">
        <f t="shared" si="35"/>
        <v>0.1</v>
      </c>
      <c r="F349" s="251"/>
      <c r="G349" s="386"/>
      <c r="H349" s="267" t="s">
        <v>187</v>
      </c>
      <c r="I349" s="285"/>
      <c r="J349" s="251"/>
      <c r="K349" s="238">
        <v>0.8</v>
      </c>
      <c r="L349" s="238">
        <v>0.04</v>
      </c>
      <c r="M349" s="278"/>
    </row>
    <row r="350" spans="1:15" ht="14.4" x14ac:dyDescent="0.25">
      <c r="A350" s="247"/>
      <c r="B350" s="248" t="s">
        <v>188</v>
      </c>
      <c r="C350" s="231">
        <f ca="1">C349+C346+C341+C340+C348+C347</f>
        <v>2.3402327069235369</v>
      </c>
      <c r="D350" s="252">
        <f ca="1">D349+D346+D341+D340+D348+D347</f>
        <v>2.3402327069235369</v>
      </c>
      <c r="E350" s="231">
        <f ca="1">E349+E346+E341+E340+E348+E347</f>
        <v>2.3402327069235369</v>
      </c>
      <c r="F350" s="251"/>
      <c r="G350" s="251"/>
      <c r="H350" s="251"/>
      <c r="I350" s="251"/>
      <c r="J350" s="251"/>
      <c r="K350" s="238">
        <v>0.9</v>
      </c>
      <c r="L350" s="238">
        <v>0.01</v>
      </c>
      <c r="M350" s="278"/>
    </row>
    <row r="351" spans="1:15" ht="16.8" x14ac:dyDescent="0.25">
      <c r="A351" s="247"/>
      <c r="B351" s="248" t="s">
        <v>189</v>
      </c>
      <c r="C351" s="231">
        <f ca="1">C350*C333^2/2/9.81</f>
        <v>0.1933660736913394</v>
      </c>
      <c r="D351" s="252">
        <f ca="1">D350*D333^2/2/9.81</f>
        <v>0.30213449014271782</v>
      </c>
      <c r="E351" s="231">
        <f ca="1">E350*E333^2/2/9.81</f>
        <v>3.0938571790614301E-2</v>
      </c>
      <c r="F351" s="251"/>
      <c r="G351" s="251"/>
      <c r="H351" s="251"/>
      <c r="I351" s="251"/>
      <c r="J351" s="251"/>
      <c r="K351" s="251"/>
      <c r="L351" s="251"/>
      <c r="M351" s="278"/>
    </row>
    <row r="352" spans="1:15" ht="14.4" x14ac:dyDescent="0.25">
      <c r="A352" s="268" t="s">
        <v>190</v>
      </c>
      <c r="B352" s="269" t="s">
        <v>191</v>
      </c>
      <c r="C352" s="270">
        <f ca="1">C339+C351</f>
        <v>0.40374430222475199</v>
      </c>
      <c r="D352" s="270">
        <f ca="1">D339+D351</f>
        <v>0.63085047222617496</v>
      </c>
      <c r="E352" s="271">
        <f ca="1">E339+E351</f>
        <v>6.4599088355960316E-2</v>
      </c>
      <c r="F352" s="251"/>
      <c r="G352" s="272" t="s">
        <v>192</v>
      </c>
      <c r="H352" s="241">
        <v>0.55000000000000004</v>
      </c>
      <c r="I352" s="251"/>
      <c r="J352" s="251"/>
      <c r="K352" s="251"/>
      <c r="L352" s="251"/>
      <c r="M352" s="278"/>
    </row>
    <row r="353" spans="1:13" ht="14.4" x14ac:dyDescent="0.25">
      <c r="A353" s="273" t="s">
        <v>193</v>
      </c>
      <c r="B353" s="274"/>
      <c r="C353" s="231">
        <f ca="1">C352+(C333^2-D308^2)/(2*9.81)</f>
        <v>0.48637115942543518</v>
      </c>
      <c r="D353" s="252">
        <f ca="1">D352+(D333^2-D307^2)/(2*9.81)</f>
        <v>0.75995493660224245</v>
      </c>
      <c r="E353" s="231">
        <f ca="1">E352+(E333^2-D309^2)/(2*9.81)</f>
        <v>7.7819385508069633E-2</v>
      </c>
      <c r="F353" s="251"/>
      <c r="G353" s="251"/>
      <c r="H353" s="251"/>
      <c r="I353" s="251"/>
      <c r="J353" s="251"/>
      <c r="K353" s="251"/>
      <c r="L353" s="251"/>
      <c r="M353" s="278"/>
    </row>
    <row r="354" spans="1:13" ht="14.4" x14ac:dyDescent="0.25">
      <c r="A354" s="273" t="s">
        <v>194</v>
      </c>
      <c r="B354" s="274"/>
      <c r="C354" s="231">
        <f ca="1">C353+C316-D316</f>
        <v>0.48637115942543518</v>
      </c>
      <c r="D354" s="252">
        <f ca="1">D353+C314-D314</f>
        <v>0.75995493660224245</v>
      </c>
      <c r="E354" s="231">
        <f ca="1">E353+C318-D318</f>
        <v>7.7819385508069633E-2</v>
      </c>
      <c r="F354" s="251"/>
      <c r="G354" s="251"/>
      <c r="H354" s="251"/>
      <c r="I354" s="251"/>
      <c r="J354" s="251"/>
      <c r="K354" s="251"/>
      <c r="L354" s="251"/>
      <c r="M354" s="278"/>
    </row>
    <row r="355" spans="1:13" x14ac:dyDescent="0.25">
      <c r="A355" s="286"/>
      <c r="B355" s="287"/>
      <c r="C355" s="251"/>
      <c r="D355" s="251"/>
      <c r="E355" s="251"/>
      <c r="F355" s="251"/>
      <c r="G355" s="251"/>
      <c r="H355" s="251"/>
      <c r="I355" s="251"/>
      <c r="J355" s="251"/>
      <c r="K355" s="251"/>
      <c r="L355" s="251"/>
      <c r="M355" s="278"/>
    </row>
    <row r="356" spans="1:13" ht="18" x14ac:dyDescent="0.4">
      <c r="A356" s="288"/>
      <c r="B356" s="289" t="s">
        <v>26</v>
      </c>
      <c r="C356" s="289" t="s">
        <v>195</v>
      </c>
      <c r="D356" s="289" t="s">
        <v>196</v>
      </c>
      <c r="E356" s="289" t="s">
        <v>197</v>
      </c>
      <c r="F356" s="289" t="s">
        <v>198</v>
      </c>
      <c r="G356" s="289" t="s">
        <v>199</v>
      </c>
      <c r="H356" s="289" t="s">
        <v>200</v>
      </c>
      <c r="I356" s="251"/>
      <c r="J356" s="289" t="s">
        <v>201</v>
      </c>
      <c r="K356" s="289" t="s">
        <v>202</v>
      </c>
      <c r="L356" s="289" t="s">
        <v>197</v>
      </c>
      <c r="M356" s="292" t="s">
        <v>199</v>
      </c>
    </row>
    <row r="357" spans="1:13" x14ac:dyDescent="0.25">
      <c r="A357" s="288">
        <v>1</v>
      </c>
      <c r="B357" s="264">
        <v>10</v>
      </c>
      <c r="C357" s="290">
        <f>C332</f>
        <v>2</v>
      </c>
      <c r="D357" s="290">
        <f>B357/C357</f>
        <v>5</v>
      </c>
      <c r="E357" s="264">
        <v>10.634</v>
      </c>
      <c r="F357" s="290">
        <f ca="1">TREND(OFFSET($K$66,MATCH(D357,$J$67:$J$79),0,2,1),OFFSET($J$66,MATCH(D357,$J$67:$J$79),0,2,1),D357)</f>
        <v>0.28999999999999998</v>
      </c>
      <c r="G357" s="290">
        <f ca="1">TREND(OFFSET($M$66,MATCH(E357,$L$67:$L$80),0,2,1),OFFSET($L$66,MATCH(E357,$L$67:$L$80),0,2,1),E357)</f>
        <v>0.24077800000000002</v>
      </c>
      <c r="H357" s="290">
        <f ca="1">F357*G357</f>
        <v>6.9825620000000005E-2</v>
      </c>
      <c r="I357" s="251"/>
      <c r="J357" s="289">
        <v>0.5</v>
      </c>
      <c r="K357" s="289">
        <v>1.2</v>
      </c>
      <c r="L357" s="289">
        <v>0</v>
      </c>
      <c r="M357" s="292">
        <v>0</v>
      </c>
    </row>
    <row r="358" spans="1:13" x14ac:dyDescent="0.25">
      <c r="A358" s="288">
        <v>2</v>
      </c>
      <c r="B358" s="264">
        <v>10</v>
      </c>
      <c r="C358" s="290">
        <f>C357</f>
        <v>2</v>
      </c>
      <c r="D358" s="290">
        <f>B358/C358</f>
        <v>5</v>
      </c>
      <c r="E358" s="264">
        <v>14.292</v>
      </c>
      <c r="F358" s="290">
        <f ca="1">TREND(OFFSET($K$66,MATCH(D358,$J$67:$J$79),0,2,1),OFFSET($J$66,MATCH(D358,$J$67:$J$79),0,2,1),D358)</f>
        <v>0.28999999999999998</v>
      </c>
      <c r="G358" s="290">
        <f ca="1">TREND(OFFSET($M$66,MATCH(E358,$L$67:$L$79),0,2,1),OFFSET($L$66,MATCH(E358,$L$67:$L$79),0,2,1),E358)</f>
        <v>0.30296400000000001</v>
      </c>
      <c r="H358" s="290">
        <f ca="1">F358*G358</f>
        <v>8.7859560000000003E-2</v>
      </c>
      <c r="I358" s="251"/>
      <c r="J358" s="289">
        <v>1</v>
      </c>
      <c r="K358" s="289">
        <v>0.8</v>
      </c>
      <c r="L358" s="289">
        <v>5</v>
      </c>
      <c r="M358" s="292">
        <v>0.125</v>
      </c>
    </row>
    <row r="359" spans="1:13" x14ac:dyDescent="0.25">
      <c r="A359" s="288">
        <v>3</v>
      </c>
      <c r="B359" s="264">
        <v>10</v>
      </c>
      <c r="C359" s="290">
        <f>C358</f>
        <v>2</v>
      </c>
      <c r="D359" s="290">
        <f>B359/C359</f>
        <v>5</v>
      </c>
      <c r="E359" s="264">
        <v>7.3049999999999997</v>
      </c>
      <c r="F359" s="290">
        <f ca="1">TREND(OFFSET($K$66,MATCH(D359,$J$67:$J$79),0,2,1),OFFSET($J$66,MATCH(D359,$J$67:$J$79),0,2,1),D359)</f>
        <v>0.28999999999999998</v>
      </c>
      <c r="G359" s="290">
        <f ca="1">TREND(OFFSET($M$66,MATCH(E359,$L$67:$L$79),0,2,1),OFFSET($L$66,MATCH(E359,$L$67:$L$79),0,2,1),E359)</f>
        <v>0.173405</v>
      </c>
      <c r="H359" s="290">
        <f ca="1">F359*G359</f>
        <v>5.0287449999999997E-2</v>
      </c>
      <c r="I359" s="251"/>
      <c r="J359" s="289">
        <v>1.5</v>
      </c>
      <c r="K359" s="289">
        <v>0.6</v>
      </c>
      <c r="L359" s="289">
        <v>10</v>
      </c>
      <c r="M359" s="292">
        <v>0.23</v>
      </c>
    </row>
    <row r="360" spans="1:13" x14ac:dyDescent="0.25">
      <c r="A360" s="288">
        <v>4</v>
      </c>
      <c r="B360" s="264">
        <v>10</v>
      </c>
      <c r="C360" s="290">
        <v>2</v>
      </c>
      <c r="D360" s="290">
        <f>B360/C360</f>
        <v>5</v>
      </c>
      <c r="E360" s="264">
        <v>1.1719999999999999</v>
      </c>
      <c r="F360" s="290">
        <f ca="1">TREND(OFFSET($K$66,MATCH(D360,$J$67:$J$79),0,2,1),OFFSET($J$66,MATCH(D360,$J$67:$J$79),0,2,1),D360)</f>
        <v>0.28999999999999998</v>
      </c>
      <c r="G360" s="290">
        <f ca="1">TREND(OFFSET($M$66,MATCH(E360,$L$67:$L$79),0,2,1),OFFSET($L$66,MATCH(E360,$L$67:$L$79),0,2,1),E360)</f>
        <v>2.9300000000000003E-2</v>
      </c>
      <c r="H360" s="290">
        <f ca="1">F360*G360</f>
        <v>8.4970000000000011E-3</v>
      </c>
      <c r="I360" s="251"/>
      <c r="J360" s="289">
        <v>2</v>
      </c>
      <c r="K360" s="289">
        <v>0.48</v>
      </c>
      <c r="L360" s="289">
        <v>20</v>
      </c>
      <c r="M360" s="292">
        <v>0.4</v>
      </c>
    </row>
    <row r="361" spans="1:13" x14ac:dyDescent="0.25">
      <c r="A361" s="288">
        <v>5</v>
      </c>
      <c r="B361" s="264">
        <v>10</v>
      </c>
      <c r="C361" s="290">
        <v>2</v>
      </c>
      <c r="D361" s="290">
        <f t="shared" ref="D361:D366" si="36">B361/C361</f>
        <v>5</v>
      </c>
      <c r="E361" s="264">
        <v>7.9249999999999998</v>
      </c>
      <c r="F361" s="290">
        <f t="shared" ref="F361:F366" ca="1" si="37">TREND(OFFSET($K$66,MATCH(D361,$J$67:$J$79),0,2,1),OFFSET($J$66,MATCH(D361,$J$67:$J$79),0,2,1),D361)</f>
        <v>0.28999999999999998</v>
      </c>
      <c r="G361" s="290">
        <f t="shared" ref="G361:G366" ca="1" si="38">TREND(OFFSET($M$66,MATCH(E361,$L$67:$L$79),0,2,1),OFFSET($L$66,MATCH(E361,$L$67:$L$79),0,2,1),E361)</f>
        <v>0.18642500000000001</v>
      </c>
      <c r="H361" s="290">
        <f t="shared" ref="H361:H366" ca="1" si="39">F361*G361</f>
        <v>5.406325E-2</v>
      </c>
      <c r="I361" s="251"/>
      <c r="J361" s="289">
        <v>3</v>
      </c>
      <c r="K361" s="289">
        <v>0.36</v>
      </c>
      <c r="L361" s="289">
        <v>30</v>
      </c>
      <c r="M361" s="292">
        <v>0.55000000000000004</v>
      </c>
    </row>
    <row r="362" spans="1:13" x14ac:dyDescent="0.25">
      <c r="A362" s="288">
        <v>6</v>
      </c>
      <c r="B362" s="264">
        <v>10</v>
      </c>
      <c r="C362" s="290">
        <v>2</v>
      </c>
      <c r="D362" s="290">
        <f t="shared" si="36"/>
        <v>5</v>
      </c>
      <c r="E362" s="264">
        <v>37.99</v>
      </c>
      <c r="F362" s="290">
        <f t="shared" ca="1" si="37"/>
        <v>0.28999999999999998</v>
      </c>
      <c r="G362" s="290">
        <f t="shared" ca="1" si="38"/>
        <v>0.62990000000000013</v>
      </c>
      <c r="H362" s="290">
        <f t="shared" ca="1" si="39"/>
        <v>0.18267100000000003</v>
      </c>
      <c r="I362" s="251"/>
      <c r="J362" s="289">
        <v>4</v>
      </c>
      <c r="K362" s="289">
        <v>0.3</v>
      </c>
      <c r="L362" s="289">
        <v>40</v>
      </c>
      <c r="M362" s="292">
        <v>0.65</v>
      </c>
    </row>
    <row r="363" spans="1:13" x14ac:dyDescent="0.25">
      <c r="A363" s="288">
        <v>7</v>
      </c>
      <c r="B363" s="264">
        <v>10</v>
      </c>
      <c r="C363" s="290">
        <v>2</v>
      </c>
      <c r="D363" s="290">
        <f t="shared" si="36"/>
        <v>5</v>
      </c>
      <c r="E363" s="264">
        <v>56.262</v>
      </c>
      <c r="F363" s="290">
        <f t="shared" ca="1" si="37"/>
        <v>0.28999999999999998</v>
      </c>
      <c r="G363" s="290">
        <f t="shared" ca="1" si="38"/>
        <v>0.80009600000000003</v>
      </c>
      <c r="H363" s="290">
        <f t="shared" ca="1" si="39"/>
        <v>0.23202783999999999</v>
      </c>
      <c r="I363" s="251"/>
      <c r="J363" s="289">
        <v>5</v>
      </c>
      <c r="K363" s="289">
        <v>0.28999999999999998</v>
      </c>
      <c r="L363" s="289">
        <v>50</v>
      </c>
      <c r="M363" s="292">
        <v>0.75</v>
      </c>
    </row>
    <row r="364" spans="1:13" x14ac:dyDescent="0.25">
      <c r="A364" s="288">
        <v>8</v>
      </c>
      <c r="B364" s="264">
        <v>10</v>
      </c>
      <c r="C364" s="290">
        <v>2</v>
      </c>
      <c r="D364" s="290">
        <f t="shared" si="36"/>
        <v>5</v>
      </c>
      <c r="E364" s="264">
        <v>22.535</v>
      </c>
      <c r="F364" s="290">
        <f t="shared" ca="1" si="37"/>
        <v>0.28999999999999998</v>
      </c>
      <c r="G364" s="290">
        <f t="shared" ca="1" si="38"/>
        <v>0.43802500000000005</v>
      </c>
      <c r="H364" s="290">
        <f t="shared" ca="1" si="39"/>
        <v>0.12702725000000001</v>
      </c>
      <c r="I364" s="251"/>
      <c r="J364" s="289">
        <v>6</v>
      </c>
      <c r="K364" s="289">
        <v>0.28000000000000003</v>
      </c>
      <c r="L364" s="289">
        <v>60</v>
      </c>
      <c r="M364" s="292">
        <v>0.83</v>
      </c>
    </row>
    <row r="365" spans="1:13" x14ac:dyDescent="0.25">
      <c r="A365" s="288">
        <v>9</v>
      </c>
      <c r="B365" s="264">
        <v>10</v>
      </c>
      <c r="C365" s="290">
        <v>2</v>
      </c>
      <c r="D365" s="290">
        <f t="shared" si="36"/>
        <v>5</v>
      </c>
      <c r="E365" s="264">
        <v>39.195999999999998</v>
      </c>
      <c r="F365" s="290">
        <f t="shared" ca="1" si="37"/>
        <v>0.28999999999999998</v>
      </c>
      <c r="G365" s="290">
        <f t="shared" ca="1" si="38"/>
        <v>0.64196000000000009</v>
      </c>
      <c r="H365" s="290">
        <f t="shared" ca="1" si="39"/>
        <v>0.18616840000000001</v>
      </c>
      <c r="I365" s="251"/>
      <c r="J365" s="289">
        <v>7</v>
      </c>
      <c r="K365" s="289">
        <v>0.27</v>
      </c>
      <c r="L365" s="289">
        <v>70</v>
      </c>
      <c r="M365" s="292">
        <v>0.88</v>
      </c>
    </row>
    <row r="366" spans="1:13" x14ac:dyDescent="0.25">
      <c r="A366" s="288">
        <v>10</v>
      </c>
      <c r="B366" s="264">
        <v>10</v>
      </c>
      <c r="C366" s="290">
        <v>2</v>
      </c>
      <c r="D366" s="290">
        <f t="shared" si="36"/>
        <v>5</v>
      </c>
      <c r="E366" s="264">
        <v>41.677999999999997</v>
      </c>
      <c r="F366" s="290">
        <f t="shared" ca="1" si="37"/>
        <v>0.28999999999999998</v>
      </c>
      <c r="G366" s="290">
        <f t="shared" ca="1" si="38"/>
        <v>0.66677999999999993</v>
      </c>
      <c r="H366" s="290">
        <f t="shared" ca="1" si="39"/>
        <v>0.19336619999999996</v>
      </c>
      <c r="I366" s="251"/>
      <c r="J366" s="289">
        <v>8</v>
      </c>
      <c r="K366" s="289">
        <v>0.26</v>
      </c>
      <c r="L366" s="289">
        <v>80</v>
      </c>
      <c r="M366" s="292">
        <v>0.95</v>
      </c>
    </row>
    <row r="367" spans="1:13" x14ac:dyDescent="0.25">
      <c r="A367" s="288">
        <v>11</v>
      </c>
      <c r="B367" s="264"/>
      <c r="C367" s="290"/>
      <c r="D367" s="290"/>
      <c r="E367" s="264"/>
      <c r="F367" s="290"/>
      <c r="G367" s="290"/>
      <c r="H367" s="290"/>
      <c r="I367" s="251"/>
      <c r="J367" s="289">
        <v>9</v>
      </c>
      <c r="K367" s="289">
        <v>0.25</v>
      </c>
      <c r="L367" s="289">
        <v>90</v>
      </c>
      <c r="M367" s="292">
        <v>1</v>
      </c>
    </row>
    <row r="368" spans="1:13" x14ac:dyDescent="0.25">
      <c r="A368" s="288">
        <v>12</v>
      </c>
      <c r="B368" s="264"/>
      <c r="C368" s="290"/>
      <c r="D368" s="290"/>
      <c r="E368" s="264"/>
      <c r="F368" s="290"/>
      <c r="G368" s="290"/>
      <c r="H368" s="290"/>
      <c r="I368" s="251"/>
      <c r="J368" s="289">
        <v>10</v>
      </c>
      <c r="K368" s="289">
        <v>0.24</v>
      </c>
      <c r="L368" s="289">
        <v>100</v>
      </c>
      <c r="M368" s="292">
        <v>1.05</v>
      </c>
    </row>
    <row r="369" spans="1:13" x14ac:dyDescent="0.25">
      <c r="A369" s="288">
        <v>13</v>
      </c>
      <c r="B369" s="264"/>
      <c r="C369" s="290"/>
      <c r="D369" s="290"/>
      <c r="E369" s="264"/>
      <c r="F369" s="290"/>
      <c r="G369" s="290"/>
      <c r="H369" s="290"/>
      <c r="I369" s="251"/>
      <c r="J369" s="289">
        <v>11</v>
      </c>
      <c r="K369" s="289">
        <v>0.23</v>
      </c>
      <c r="L369" s="289">
        <v>120</v>
      </c>
      <c r="M369" s="292">
        <v>1.1299999999999999</v>
      </c>
    </row>
    <row r="370" spans="1:13" x14ac:dyDescent="0.25">
      <c r="A370" s="288">
        <v>14</v>
      </c>
      <c r="B370" s="264"/>
      <c r="C370" s="290"/>
      <c r="D370" s="290"/>
      <c r="E370" s="264"/>
      <c r="F370" s="290"/>
      <c r="G370" s="290"/>
      <c r="H370" s="290"/>
      <c r="I370" s="251"/>
      <c r="J370" s="289"/>
      <c r="K370" s="289"/>
      <c r="L370" s="289">
        <v>140</v>
      </c>
      <c r="M370" s="292">
        <v>1.2</v>
      </c>
    </row>
    <row r="371" spans="1:13" x14ac:dyDescent="0.25">
      <c r="A371" s="288"/>
      <c r="B371" s="264"/>
      <c r="C371" s="290"/>
      <c r="D371" s="290"/>
      <c r="E371" s="264"/>
      <c r="F371" s="290"/>
      <c r="G371" s="290"/>
      <c r="H371" s="290"/>
      <c r="I371" s="251"/>
      <c r="J371" s="251"/>
      <c r="K371" s="251"/>
      <c r="L371" s="251"/>
      <c r="M371" s="278"/>
    </row>
    <row r="372" spans="1:13" x14ac:dyDescent="0.25">
      <c r="A372" s="288"/>
      <c r="B372" s="264"/>
      <c r="C372" s="290"/>
      <c r="D372" s="290"/>
      <c r="E372" s="264"/>
      <c r="F372" s="290"/>
      <c r="G372" s="290"/>
      <c r="H372" s="290"/>
      <c r="I372" s="251"/>
      <c r="J372" s="251"/>
      <c r="K372" s="251"/>
      <c r="L372" s="251"/>
      <c r="M372" s="278"/>
    </row>
    <row r="373" spans="1:13" x14ac:dyDescent="0.25">
      <c r="A373" s="288"/>
      <c r="B373" s="264"/>
      <c r="C373" s="290"/>
      <c r="D373" s="290"/>
      <c r="E373" s="264"/>
      <c r="F373" s="290"/>
      <c r="G373" s="290"/>
      <c r="H373" s="290"/>
      <c r="I373" s="251"/>
      <c r="J373" s="251"/>
      <c r="K373" s="251"/>
      <c r="L373" s="251"/>
      <c r="M373" s="278"/>
    </row>
    <row r="374" spans="1:13" x14ac:dyDescent="0.25">
      <c r="A374" s="288"/>
      <c r="B374" s="264"/>
      <c r="C374" s="290"/>
      <c r="D374" s="290"/>
      <c r="E374" s="264"/>
      <c r="F374" s="290"/>
      <c r="G374" s="290"/>
      <c r="H374" s="290"/>
      <c r="I374" s="251"/>
      <c r="J374" s="251"/>
      <c r="K374" s="251"/>
      <c r="L374" s="251"/>
      <c r="M374" s="278"/>
    </row>
    <row r="375" spans="1:13" x14ac:dyDescent="0.25">
      <c r="A375" s="288"/>
      <c r="B375" s="264"/>
      <c r="C375" s="290"/>
      <c r="D375" s="290"/>
      <c r="E375" s="264"/>
      <c r="F375" s="290"/>
      <c r="G375" s="290"/>
      <c r="H375" s="290"/>
      <c r="I375" s="251"/>
      <c r="J375" s="251"/>
      <c r="K375" s="251"/>
      <c r="L375" s="251"/>
      <c r="M375" s="278"/>
    </row>
    <row r="376" spans="1:13" x14ac:dyDescent="0.25">
      <c r="A376" s="288"/>
      <c r="B376" s="264"/>
      <c r="C376" s="290"/>
      <c r="D376" s="290"/>
      <c r="E376" s="264"/>
      <c r="F376" s="290"/>
      <c r="G376" s="290"/>
      <c r="H376" s="290"/>
      <c r="I376" s="251"/>
      <c r="J376" s="251"/>
      <c r="K376" s="251"/>
      <c r="L376" s="251"/>
      <c r="M376" s="278"/>
    </row>
    <row r="377" spans="1:13" x14ac:dyDescent="0.25">
      <c r="A377" s="288"/>
      <c r="B377" s="264"/>
      <c r="C377" s="290"/>
      <c r="D377" s="290"/>
      <c r="E377" s="264"/>
      <c r="F377" s="290"/>
      <c r="G377" s="290"/>
      <c r="H377" s="290"/>
      <c r="I377" s="251"/>
      <c r="J377" s="251"/>
      <c r="K377" s="251"/>
      <c r="L377" s="251"/>
      <c r="M377" s="278"/>
    </row>
    <row r="378" spans="1:13" x14ac:dyDescent="0.25">
      <c r="A378" s="288"/>
      <c r="B378" s="264"/>
      <c r="C378" s="290"/>
      <c r="D378" s="290"/>
      <c r="E378" s="264"/>
      <c r="F378" s="290"/>
      <c r="G378" s="290"/>
      <c r="H378" s="290"/>
      <c r="I378" s="251"/>
      <c r="J378" s="251"/>
      <c r="K378" s="251"/>
      <c r="L378" s="251"/>
      <c r="M378" s="278"/>
    </row>
    <row r="379" spans="1:13" ht="16.2" x14ac:dyDescent="0.3">
      <c r="A379" s="387" t="s">
        <v>203</v>
      </c>
      <c r="B379" s="388"/>
      <c r="C379" s="388"/>
      <c r="D379" s="388"/>
      <c r="E379" s="388"/>
      <c r="F379" s="388"/>
      <c r="G379" s="388"/>
      <c r="H379" s="291">
        <f ca="1">SUM(H357:H378)</f>
        <v>1.19179357</v>
      </c>
      <c r="I379" s="293"/>
      <c r="J379" s="293"/>
      <c r="K379" s="293"/>
      <c r="L379" s="293"/>
      <c r="M379" s="294"/>
    </row>
    <row r="382" spans="1:13" ht="14.4" x14ac:dyDescent="0.25">
      <c r="A382" s="244" t="s">
        <v>214</v>
      </c>
      <c r="C382" s="240"/>
    </row>
    <row r="383" spans="1:13" x14ac:dyDescent="0.25">
      <c r="A383" s="245" t="s">
        <v>138</v>
      </c>
      <c r="B383" s="246"/>
      <c r="C383" s="246"/>
      <c r="D383" s="246"/>
      <c r="E383" s="246"/>
      <c r="F383" s="246"/>
      <c r="G383" s="246"/>
      <c r="H383" s="246"/>
      <c r="I383" s="246"/>
      <c r="J383" s="246"/>
      <c r="K383" s="246"/>
      <c r="L383" s="246"/>
      <c r="M383" s="277"/>
    </row>
    <row r="384" spans="1:13" ht="14.4" x14ac:dyDescent="0.25">
      <c r="A384" s="247" t="s">
        <v>139</v>
      </c>
      <c r="B384" s="248"/>
      <c r="C384" s="249" t="s">
        <v>140</v>
      </c>
      <c r="D384" s="250" t="s">
        <v>141</v>
      </c>
      <c r="E384" s="249" t="s">
        <v>142</v>
      </c>
      <c r="F384" s="251"/>
      <c r="G384" s="251"/>
      <c r="H384" s="251"/>
      <c r="I384" s="251"/>
      <c r="J384" s="251"/>
      <c r="K384" s="251"/>
      <c r="L384" s="251"/>
      <c r="M384" s="278"/>
    </row>
    <row r="385" spans="1:15" ht="14.4" x14ac:dyDescent="0.25">
      <c r="A385" s="247"/>
      <c r="B385" s="248" t="s">
        <v>143</v>
      </c>
      <c r="C385" s="229">
        <v>4</v>
      </c>
      <c r="D385" s="252">
        <f>C385*1.25</f>
        <v>5</v>
      </c>
      <c r="E385" s="231">
        <f>C385*0.4</f>
        <v>1.6</v>
      </c>
      <c r="F385" s="251"/>
      <c r="G385" s="251"/>
      <c r="H385" s="251"/>
      <c r="I385" s="251"/>
      <c r="J385" s="251"/>
      <c r="K385" s="251"/>
      <c r="L385" s="251"/>
      <c r="M385" s="278"/>
    </row>
    <row r="386" spans="1:15" ht="14.4" x14ac:dyDescent="0.25">
      <c r="A386" s="247"/>
      <c r="B386" s="248" t="s">
        <v>144</v>
      </c>
      <c r="C386" s="253">
        <v>1</v>
      </c>
      <c r="D386" s="254">
        <f>C386</f>
        <v>1</v>
      </c>
      <c r="E386" s="255">
        <f>D386</f>
        <v>1</v>
      </c>
      <c r="F386" s="251"/>
      <c r="G386" s="251"/>
      <c r="H386" s="251"/>
      <c r="I386" s="251"/>
      <c r="J386" s="251"/>
      <c r="K386" s="251"/>
      <c r="L386" s="251"/>
      <c r="M386" s="278"/>
    </row>
    <row r="387" spans="1:15" ht="14.4" x14ac:dyDescent="0.25">
      <c r="A387" s="247"/>
      <c r="B387" s="248" t="s">
        <v>145</v>
      </c>
      <c r="C387" s="231">
        <f>C385/C386</f>
        <v>4</v>
      </c>
      <c r="D387" s="252">
        <f>D385/D386</f>
        <v>5</v>
      </c>
      <c r="E387" s="231">
        <f>E385/E386</f>
        <v>1.6</v>
      </c>
      <c r="F387" s="251"/>
      <c r="G387" s="251"/>
      <c r="H387" s="251"/>
      <c r="I387" s="251"/>
      <c r="J387" s="251"/>
      <c r="K387" s="251"/>
      <c r="L387" s="251"/>
      <c r="M387" s="278"/>
    </row>
    <row r="388" spans="1:15" ht="14.4" x14ac:dyDescent="0.25">
      <c r="A388" s="247"/>
      <c r="B388" s="248" t="s">
        <v>146</v>
      </c>
      <c r="C388" s="256">
        <v>632</v>
      </c>
      <c r="D388" s="252">
        <f t="shared" ref="D388:E390" si="40">C388</f>
        <v>632</v>
      </c>
      <c r="E388" s="231">
        <f t="shared" si="40"/>
        <v>632</v>
      </c>
      <c r="F388" s="251"/>
      <c r="G388" s="251"/>
      <c r="H388" s="251"/>
      <c r="I388" s="251"/>
      <c r="J388" s="251"/>
      <c r="K388" s="251"/>
      <c r="L388" s="251"/>
      <c r="M388" s="278"/>
    </row>
    <row r="389" spans="1:15" ht="14.4" x14ac:dyDescent="0.25">
      <c r="A389" s="247"/>
      <c r="B389" s="248" t="s">
        <v>134</v>
      </c>
      <c r="C389" s="257">
        <v>0.01</v>
      </c>
      <c r="D389" s="258">
        <f t="shared" si="40"/>
        <v>0.01</v>
      </c>
      <c r="E389" s="258">
        <f t="shared" si="40"/>
        <v>0.01</v>
      </c>
      <c r="F389" s="251"/>
      <c r="G389" s="251"/>
      <c r="H389" s="251"/>
      <c r="I389" s="251"/>
      <c r="J389" s="251"/>
      <c r="K389" s="251"/>
      <c r="L389" s="251"/>
      <c r="M389" s="278"/>
    </row>
    <row r="390" spans="1:15" ht="14.4" x14ac:dyDescent="0.25">
      <c r="A390" s="247"/>
      <c r="B390" s="248" t="s">
        <v>147</v>
      </c>
      <c r="C390" s="229">
        <v>2</v>
      </c>
      <c r="D390" s="252">
        <f t="shared" si="40"/>
        <v>2</v>
      </c>
      <c r="E390" s="231">
        <f t="shared" si="40"/>
        <v>2</v>
      </c>
      <c r="F390" s="251"/>
      <c r="G390" s="251"/>
      <c r="H390" s="251"/>
      <c r="I390" s="251"/>
      <c r="J390" s="251"/>
      <c r="K390" s="251"/>
      <c r="L390" s="251"/>
      <c r="M390" s="278"/>
    </row>
    <row r="391" spans="1:15" ht="14.4" x14ac:dyDescent="0.25">
      <c r="A391" s="247"/>
      <c r="B391" s="248" t="s">
        <v>148</v>
      </c>
      <c r="C391" s="252">
        <f>4*C387/(C390^2*PI())</f>
        <v>1.2732395447351628</v>
      </c>
      <c r="D391" s="252">
        <f>4*D387/(D390^2*PI())</f>
        <v>1.5915494309189535</v>
      </c>
      <c r="E391" s="252">
        <f>4*E387/(E390^2*PI())</f>
        <v>0.50929581789406508</v>
      </c>
      <c r="F391" s="251"/>
      <c r="G391" s="251"/>
      <c r="H391" s="251"/>
      <c r="I391" s="251"/>
      <c r="J391" s="251"/>
      <c r="K391" s="251"/>
      <c r="L391" s="251"/>
      <c r="M391" s="278"/>
    </row>
    <row r="392" spans="1:15" ht="14.4" x14ac:dyDescent="0.25">
      <c r="A392" s="247"/>
      <c r="B392" s="248" t="s">
        <v>149</v>
      </c>
      <c r="C392" s="231">
        <f>C387/C391</f>
        <v>3.1415926535897931</v>
      </c>
      <c r="D392" s="252">
        <f>D387/D391</f>
        <v>3.1415926535897931</v>
      </c>
      <c r="E392" s="231">
        <f>E387/E391</f>
        <v>3.1415926535897936</v>
      </c>
      <c r="F392" s="251"/>
      <c r="G392" s="251"/>
      <c r="H392" s="251"/>
      <c r="I392" s="251"/>
      <c r="J392" s="251"/>
      <c r="K392" s="251"/>
      <c r="L392" s="251"/>
      <c r="M392" s="278"/>
    </row>
    <row r="393" spans="1:15" ht="14.4" x14ac:dyDescent="0.25">
      <c r="A393" s="247" t="s">
        <v>150</v>
      </c>
      <c r="B393" s="248"/>
      <c r="C393" s="248"/>
      <c r="D393" s="259"/>
      <c r="E393" s="248"/>
      <c r="F393" s="251"/>
      <c r="G393" s="389" t="s">
        <v>151</v>
      </c>
      <c r="H393" s="390"/>
      <c r="I393" s="390"/>
      <c r="J393" s="390"/>
      <c r="K393" s="391"/>
      <c r="L393" s="251"/>
      <c r="M393" s="278"/>
    </row>
    <row r="394" spans="1:15" ht="14.4" x14ac:dyDescent="0.25">
      <c r="A394" s="247" t="s">
        <v>152</v>
      </c>
      <c r="B394" s="248" t="s">
        <v>153</v>
      </c>
      <c r="C394" s="231">
        <f>C390/4</f>
        <v>0.5</v>
      </c>
      <c r="D394" s="252">
        <f>D390/4</f>
        <v>0.5</v>
      </c>
      <c r="E394" s="231">
        <f>E390/4</f>
        <v>0.5</v>
      </c>
      <c r="F394" s="251"/>
      <c r="G394" s="381" t="s">
        <v>154</v>
      </c>
      <c r="H394" s="260" t="s">
        <v>155</v>
      </c>
      <c r="I394" s="261" t="s">
        <v>156</v>
      </c>
      <c r="J394" s="261" t="s">
        <v>157</v>
      </c>
      <c r="K394" s="279" t="s">
        <v>158</v>
      </c>
      <c r="L394" s="251"/>
      <c r="M394" s="278"/>
    </row>
    <row r="395" spans="1:15" ht="16.8" x14ac:dyDescent="0.25">
      <c r="A395" s="247"/>
      <c r="B395" s="248" t="s">
        <v>159</v>
      </c>
      <c r="C395" s="231">
        <f>C394^(1/6)/C389</f>
        <v>89.089871814033927</v>
      </c>
      <c r="D395" s="252">
        <f>D394^(1/6)/D389</f>
        <v>89.089871814033927</v>
      </c>
      <c r="E395" s="231">
        <f>E394^(1/6)/E389</f>
        <v>89.089871814033927</v>
      </c>
      <c r="F395" s="251"/>
      <c r="G395" s="382"/>
      <c r="H395" s="261" t="s">
        <v>160</v>
      </c>
      <c r="I395" s="261" t="s">
        <v>161</v>
      </c>
      <c r="J395" s="261" t="s">
        <v>162</v>
      </c>
      <c r="K395" s="279" t="s">
        <v>163</v>
      </c>
      <c r="L395" s="251"/>
      <c r="M395" s="278"/>
    </row>
    <row r="396" spans="1:15" ht="16.8" x14ac:dyDescent="0.25">
      <c r="A396" s="247"/>
      <c r="B396" s="248" t="s">
        <v>164</v>
      </c>
      <c r="C396" s="231">
        <f>8*9.81/C395^2</f>
        <v>9.8878603995749669E-3</v>
      </c>
      <c r="D396" s="252">
        <f>8*9.81/D395^2</f>
        <v>9.8878603995749669E-3</v>
      </c>
      <c r="E396" s="231">
        <f>8*9.81/E395^2</f>
        <v>9.8878603995749669E-3</v>
      </c>
      <c r="F396" s="251"/>
      <c r="G396" s="262" t="s">
        <v>215</v>
      </c>
      <c r="H396" s="263">
        <f>C392</f>
        <v>3.1415926535897931</v>
      </c>
      <c r="I396" s="263">
        <f>I402*I403</f>
        <v>9.495000000000001</v>
      </c>
      <c r="J396" s="263">
        <f>H396/I396</f>
        <v>0.33086810464347477</v>
      </c>
      <c r="K396" s="280">
        <f ca="1">TREND(OFFSET($L$51,MATCH(J396,$K$52:$K$60),0,2,1),OFFSET($K$51,MATCH(J396,$K$52:$K$60),0,2,1),J396)</f>
        <v>0.38765275814261013</v>
      </c>
      <c r="L396" s="251"/>
      <c r="M396" s="278"/>
    </row>
    <row r="397" spans="1:15" ht="16.8" x14ac:dyDescent="0.25">
      <c r="A397" s="247"/>
      <c r="B397" s="248" t="s">
        <v>166</v>
      </c>
      <c r="C397" s="231">
        <f>C396*C388*C391^2/(4*C394*2*9.81)</f>
        <v>0.25817289404488691</v>
      </c>
      <c r="D397" s="252">
        <f>D396*D388*D391^2/(4*D394*2*9.81)</f>
        <v>0.40339514694513579</v>
      </c>
      <c r="E397" s="231">
        <f>E396*E388*E391^2/(4*E394*2*9.81)</f>
        <v>4.1307663047181899E-2</v>
      </c>
      <c r="F397" s="251"/>
      <c r="G397" s="251"/>
      <c r="H397" s="251"/>
      <c r="I397" s="251"/>
      <c r="J397" s="251"/>
      <c r="K397" s="251"/>
      <c r="L397" s="251"/>
      <c r="M397" s="278"/>
      <c r="O397" s="281">
        <f>0.4-(0.4-0.36)/0.1*(J396-0.3)</f>
        <v>0.38765275814261008</v>
      </c>
    </row>
    <row r="398" spans="1:15" ht="14.4" x14ac:dyDescent="0.25">
      <c r="A398" s="247" t="s">
        <v>167</v>
      </c>
      <c r="B398" s="248" t="s">
        <v>168</v>
      </c>
      <c r="C398" s="264">
        <v>0.25</v>
      </c>
      <c r="D398" s="252">
        <f t="shared" ref="D398:E403" si="41">C398</f>
        <v>0.25</v>
      </c>
      <c r="E398" s="231">
        <f t="shared" si="41"/>
        <v>0.25</v>
      </c>
      <c r="F398" s="251"/>
      <c r="G398" s="251"/>
      <c r="H398" s="251"/>
      <c r="I398" s="251"/>
      <c r="J398" s="251"/>
      <c r="K398" s="251"/>
      <c r="L398" s="251"/>
      <c r="M398" s="278"/>
    </row>
    <row r="399" spans="1:15" ht="15.6" x14ac:dyDescent="0.25">
      <c r="A399" s="247"/>
      <c r="B399" s="248" t="s">
        <v>169</v>
      </c>
      <c r="C399" s="264">
        <f>0.1*2</f>
        <v>0.2</v>
      </c>
      <c r="D399" s="252">
        <f t="shared" si="41"/>
        <v>0.2</v>
      </c>
      <c r="E399" s="231">
        <f t="shared" si="41"/>
        <v>0.2</v>
      </c>
      <c r="F399" s="251"/>
      <c r="G399" s="383" t="s">
        <v>170</v>
      </c>
      <c r="H399" s="265" t="s">
        <v>171</v>
      </c>
      <c r="I399" s="282"/>
      <c r="J399" s="251"/>
      <c r="K399" s="238" t="s">
        <v>162</v>
      </c>
      <c r="L399" s="238" t="s">
        <v>163</v>
      </c>
      <c r="M399" s="278"/>
    </row>
    <row r="400" spans="1:15" ht="15.6" x14ac:dyDescent="0.25">
      <c r="A400" s="247"/>
      <c r="B400" s="248" t="s">
        <v>172</v>
      </c>
      <c r="C400" s="264">
        <v>0.02</v>
      </c>
      <c r="D400" s="252">
        <f t="shared" si="41"/>
        <v>0.02</v>
      </c>
      <c r="E400" s="231">
        <f t="shared" si="41"/>
        <v>0.02</v>
      </c>
      <c r="F400" s="251"/>
      <c r="G400" s="384"/>
      <c r="H400" s="266" t="s">
        <v>173</v>
      </c>
      <c r="I400" s="283">
        <v>1.665</v>
      </c>
      <c r="J400" s="251"/>
      <c r="K400" s="238">
        <v>0.1</v>
      </c>
      <c r="L400" s="238">
        <v>0.81</v>
      </c>
      <c r="M400" s="278"/>
    </row>
    <row r="401" spans="1:13" ht="16.2" x14ac:dyDescent="0.25">
      <c r="A401" s="247"/>
      <c r="B401" s="248" t="s">
        <v>174</v>
      </c>
      <c r="C401" s="264">
        <v>0.1</v>
      </c>
      <c r="D401" s="252">
        <f t="shared" si="41"/>
        <v>0.1</v>
      </c>
      <c r="E401" s="231">
        <f t="shared" si="41"/>
        <v>0.1</v>
      </c>
      <c r="F401" s="251"/>
      <c r="G401" s="384"/>
      <c r="H401" s="266" t="s">
        <v>175</v>
      </c>
      <c r="I401" s="284"/>
      <c r="J401" s="251"/>
      <c r="K401" s="238">
        <v>0.2</v>
      </c>
      <c r="L401" s="238">
        <v>0.64</v>
      </c>
      <c r="M401" s="278"/>
    </row>
    <row r="402" spans="1:13" ht="15.6" x14ac:dyDescent="0.25">
      <c r="A402" s="247"/>
      <c r="B402" s="248" t="s">
        <v>176</v>
      </c>
      <c r="C402" s="264">
        <v>80</v>
      </c>
      <c r="D402" s="252">
        <f t="shared" si="41"/>
        <v>80</v>
      </c>
      <c r="E402" s="231">
        <f t="shared" si="41"/>
        <v>80</v>
      </c>
      <c r="F402" s="251"/>
      <c r="G402" s="384"/>
      <c r="H402" s="266" t="s">
        <v>177</v>
      </c>
      <c r="I402" s="283">
        <f>I400+1.5</f>
        <v>3.165</v>
      </c>
      <c r="J402" s="251"/>
      <c r="K402" s="238">
        <v>0.3</v>
      </c>
      <c r="L402" s="238">
        <v>0.4</v>
      </c>
      <c r="M402" s="278"/>
    </row>
    <row r="403" spans="1:13" ht="15.6" x14ac:dyDescent="0.25">
      <c r="A403" s="247"/>
      <c r="B403" s="248" t="s">
        <v>178</v>
      </c>
      <c r="C403" s="264">
        <v>1.83</v>
      </c>
      <c r="D403" s="252">
        <f t="shared" si="41"/>
        <v>1.83</v>
      </c>
      <c r="E403" s="231">
        <f t="shared" si="41"/>
        <v>1.83</v>
      </c>
      <c r="F403" s="251"/>
      <c r="G403" s="384"/>
      <c r="H403" s="266" t="s">
        <v>179</v>
      </c>
      <c r="I403" s="283">
        <v>3</v>
      </c>
      <c r="K403" s="238">
        <v>0.4</v>
      </c>
      <c r="L403" s="238">
        <v>0.36</v>
      </c>
      <c r="M403" s="278"/>
    </row>
    <row r="404" spans="1:13" ht="16.8" x14ac:dyDescent="0.25">
      <c r="A404" s="247"/>
      <c r="B404" s="248" t="s">
        <v>180</v>
      </c>
      <c r="C404" s="231">
        <f>C403*(C400/C401)^(4/3)*SIN(C402/180*PI())</f>
        <v>0.21078637878092679</v>
      </c>
      <c r="D404" s="252">
        <f>D403*(D400/D401)^(4/3)*SIN(D402/180*PI())</f>
        <v>0.21078637878092679</v>
      </c>
      <c r="E404" s="231">
        <f>E403*(E400/E401)^(4/3)*SIN(E402/180*PI())</f>
        <v>0.21078637878092679</v>
      </c>
      <c r="F404" s="251"/>
      <c r="G404" s="384"/>
      <c r="H404" s="266" t="s">
        <v>181</v>
      </c>
      <c r="I404" s="284"/>
      <c r="K404" s="238">
        <v>0.5</v>
      </c>
      <c r="L404" s="238">
        <v>0.25</v>
      </c>
      <c r="M404" s="278"/>
    </row>
    <row r="405" spans="1:13" ht="15.6" x14ac:dyDescent="0.25">
      <c r="A405" s="247"/>
      <c r="B405" s="247" t="s">
        <v>182</v>
      </c>
      <c r="C405" s="231">
        <f ca="1">H437</f>
        <v>0.50600476000000005</v>
      </c>
      <c r="D405" s="252">
        <f t="shared" ref="D405:E407" ca="1" si="42">C405</f>
        <v>0.50600476000000005</v>
      </c>
      <c r="E405" s="231">
        <f t="shared" ca="1" si="42"/>
        <v>0.50600476000000005</v>
      </c>
      <c r="F405" s="251"/>
      <c r="G405" s="384"/>
      <c r="H405" s="266" t="s">
        <v>183</v>
      </c>
      <c r="I405" s="284"/>
      <c r="K405" s="238">
        <v>0.6</v>
      </c>
      <c r="L405" s="238">
        <v>0.16</v>
      </c>
      <c r="M405" s="278"/>
    </row>
    <row r="406" spans="1:13" ht="16.2" x14ac:dyDescent="0.25">
      <c r="A406" s="247"/>
      <c r="B406" s="247" t="s">
        <v>184</v>
      </c>
      <c r="C406" s="264">
        <f ca="1">K396</f>
        <v>0.38765275814261013</v>
      </c>
      <c r="D406" s="252">
        <f t="shared" ca="1" si="42"/>
        <v>0.38765275814261013</v>
      </c>
      <c r="E406" s="231">
        <f t="shared" ca="1" si="42"/>
        <v>0.38765275814261013</v>
      </c>
      <c r="F406" s="251"/>
      <c r="G406" s="385"/>
      <c r="H406" s="266" t="s">
        <v>185</v>
      </c>
      <c r="I406" s="284"/>
      <c r="K406" s="238">
        <v>0.7</v>
      </c>
      <c r="L406" s="238">
        <v>0.09</v>
      </c>
      <c r="M406" s="278"/>
    </row>
    <row r="407" spans="1:13" ht="16.2" x14ac:dyDescent="0.25">
      <c r="A407" s="247"/>
      <c r="B407" s="248" t="s">
        <v>216</v>
      </c>
      <c r="C407" s="264">
        <f>0.1*2</f>
        <v>0.2</v>
      </c>
      <c r="D407" s="252">
        <f t="shared" si="42"/>
        <v>0.2</v>
      </c>
      <c r="E407" s="231">
        <f t="shared" si="42"/>
        <v>0.2</v>
      </c>
      <c r="F407" s="251"/>
      <c r="G407" s="386"/>
      <c r="H407" s="267" t="s">
        <v>187</v>
      </c>
      <c r="I407" s="285"/>
      <c r="J407" s="251"/>
      <c r="K407" s="238">
        <v>0.8</v>
      </c>
      <c r="L407" s="238">
        <v>0.04</v>
      </c>
      <c r="M407" s="278"/>
    </row>
    <row r="408" spans="1:13" ht="14.4" x14ac:dyDescent="0.25">
      <c r="A408" s="247"/>
      <c r="B408" s="248" t="s">
        <v>188</v>
      </c>
      <c r="C408" s="231">
        <f ca="1">C407+C404+C399+C398+C406+C405</f>
        <v>1.754443896923537</v>
      </c>
      <c r="D408" s="252">
        <f ca="1">D407+D404+D399+D398+D406+D405</f>
        <v>1.754443896923537</v>
      </c>
      <c r="E408" s="231">
        <f ca="1">E407+E404+E399+E398+E406+E405</f>
        <v>1.754443896923537</v>
      </c>
      <c r="F408" s="251"/>
      <c r="G408" s="251"/>
      <c r="H408" s="251"/>
      <c r="I408" s="251"/>
      <c r="J408" s="251"/>
      <c r="K408" s="238">
        <v>0.9</v>
      </c>
      <c r="L408" s="238">
        <v>0.01</v>
      </c>
      <c r="M408" s="278"/>
    </row>
    <row r="409" spans="1:13" ht="16.8" x14ac:dyDescent="0.25">
      <c r="A409" s="247"/>
      <c r="B409" s="248" t="s">
        <v>189</v>
      </c>
      <c r="C409" s="231">
        <f ca="1">C408*C391^2/2/9.81</f>
        <v>0.14496418533771127</v>
      </c>
      <c r="D409" s="252">
        <f ca="1">D408*D391^2/2/9.81</f>
        <v>0.22650653959017383</v>
      </c>
      <c r="E409" s="231">
        <f ca="1">E408*E391^2/2/9.81</f>
        <v>2.3194269654033799E-2</v>
      </c>
      <c r="F409" s="251"/>
      <c r="G409" s="251"/>
      <c r="H409" s="251"/>
      <c r="I409" s="251"/>
      <c r="J409" s="251"/>
      <c r="K409" s="251"/>
      <c r="L409" s="251"/>
      <c r="M409" s="278"/>
    </row>
    <row r="410" spans="1:13" ht="14.4" x14ac:dyDescent="0.25">
      <c r="A410" s="268" t="s">
        <v>190</v>
      </c>
      <c r="B410" s="269" t="s">
        <v>191</v>
      </c>
      <c r="C410" s="270">
        <f ca="1">C397+C409</f>
        <v>0.40313707938259818</v>
      </c>
      <c r="D410" s="270">
        <f ca="1">D397+D409</f>
        <v>0.62990168653530965</v>
      </c>
      <c r="E410" s="271">
        <f ca="1">E397+E409</f>
        <v>6.4501932701215695E-2</v>
      </c>
      <c r="F410" s="251"/>
      <c r="G410" s="272" t="s">
        <v>192</v>
      </c>
      <c r="H410" s="241">
        <v>0.73</v>
      </c>
      <c r="I410" s="251"/>
      <c r="J410" s="251"/>
      <c r="K410" s="251"/>
      <c r="L410" s="251"/>
      <c r="M410" s="278"/>
    </row>
    <row r="411" spans="1:13" ht="14.4" x14ac:dyDescent="0.25">
      <c r="A411" s="273" t="s">
        <v>193</v>
      </c>
      <c r="B411" s="274"/>
      <c r="C411" s="231">
        <f ca="1">C410+(C391^2-D366^2)/(2*9.81)</f>
        <v>-0.78844605322303862</v>
      </c>
      <c r="D411" s="252">
        <f ca="1">D410+(D391^2-D365^2)/(2*9.81)</f>
        <v>-0.51520383889494281</v>
      </c>
      <c r="E411" s="231">
        <f ca="1">E410+(E391^2-D367^2)/(2*9.81)</f>
        <v>7.7722229853325012E-2</v>
      </c>
      <c r="F411" s="251"/>
      <c r="G411" s="251"/>
      <c r="H411" s="251"/>
      <c r="I411" s="251"/>
      <c r="J411" s="251"/>
      <c r="K411" s="251"/>
      <c r="L411" s="251"/>
      <c r="M411" s="278"/>
    </row>
    <row r="412" spans="1:13" ht="14.4" x14ac:dyDescent="0.25">
      <c r="A412" s="273" t="s">
        <v>194</v>
      </c>
      <c r="B412" s="274"/>
      <c r="C412" s="231">
        <f ca="1">C411+C374-D374</f>
        <v>-0.78844605322303862</v>
      </c>
      <c r="D412" s="252">
        <f ca="1">D411+C372-D372</f>
        <v>-0.51520383889494281</v>
      </c>
      <c r="E412" s="231">
        <f ca="1">E411+C376-D376</f>
        <v>7.7722229853325012E-2</v>
      </c>
      <c r="F412" s="251"/>
      <c r="G412" s="251"/>
      <c r="H412" s="251"/>
      <c r="I412" s="251"/>
      <c r="J412" s="251"/>
      <c r="K412" s="251"/>
      <c r="L412" s="251"/>
      <c r="M412" s="278"/>
    </row>
    <row r="413" spans="1:13" x14ac:dyDescent="0.25">
      <c r="A413" s="286"/>
      <c r="B413" s="287"/>
      <c r="C413" s="251"/>
      <c r="D413" s="251"/>
      <c r="E413" s="251"/>
      <c r="F413" s="251"/>
      <c r="G413" s="251"/>
      <c r="H413" s="251"/>
      <c r="I413" s="251"/>
      <c r="J413" s="251"/>
      <c r="K413" s="251"/>
      <c r="L413" s="251"/>
      <c r="M413" s="278"/>
    </row>
    <row r="414" spans="1:13" ht="18" x14ac:dyDescent="0.4">
      <c r="A414" s="288"/>
      <c r="B414" s="289" t="s">
        <v>26</v>
      </c>
      <c r="C414" s="289" t="s">
        <v>195</v>
      </c>
      <c r="D414" s="289" t="s">
        <v>196</v>
      </c>
      <c r="E414" s="289" t="s">
        <v>197</v>
      </c>
      <c r="F414" s="289" t="s">
        <v>198</v>
      </c>
      <c r="G414" s="289" t="s">
        <v>199</v>
      </c>
      <c r="H414" s="289" t="s">
        <v>200</v>
      </c>
      <c r="I414" s="251"/>
      <c r="J414" s="289" t="s">
        <v>201</v>
      </c>
      <c r="K414" s="289" t="s">
        <v>202</v>
      </c>
      <c r="L414" s="289" t="s">
        <v>197</v>
      </c>
      <c r="M414" s="292" t="s">
        <v>199</v>
      </c>
    </row>
    <row r="415" spans="1:13" x14ac:dyDescent="0.25">
      <c r="A415" s="288">
        <v>1</v>
      </c>
      <c r="B415" s="264">
        <v>10</v>
      </c>
      <c r="C415" s="290">
        <f>C390</f>
        <v>2</v>
      </c>
      <c r="D415" s="290">
        <f t="shared" ref="D415:D423" si="43">B415/C415</f>
        <v>5</v>
      </c>
      <c r="E415" s="264">
        <v>0.873</v>
      </c>
      <c r="F415" s="290">
        <f t="shared" ref="F415:F423" ca="1" si="44">TREND(OFFSET($K$66,MATCH(D415,$J$67:$J$79),0,2,1),OFFSET($J$66,MATCH(D415,$J$67:$J$79),0,2,1),D415)</f>
        <v>0.28999999999999998</v>
      </c>
      <c r="G415" s="290">
        <f ca="1">TREND(OFFSET($M$66,MATCH(E415,$L$67:$L$80),0,2,1),OFFSET($L$66,MATCH(E415,$L$67:$L$80),0,2,1),E415)</f>
        <v>2.1825000000000004E-2</v>
      </c>
      <c r="H415" s="290">
        <f t="shared" ref="H415:H423" ca="1" si="45">F415*G415</f>
        <v>6.3292500000000007E-3</v>
      </c>
      <c r="I415" s="251"/>
      <c r="J415" s="289">
        <v>0.5</v>
      </c>
      <c r="K415" s="289">
        <v>1.2</v>
      </c>
      <c r="L415" s="289">
        <v>0</v>
      </c>
      <c r="M415" s="292">
        <v>0</v>
      </c>
    </row>
    <row r="416" spans="1:13" x14ac:dyDescent="0.25">
      <c r="A416" s="288">
        <v>2</v>
      </c>
      <c r="B416" s="264">
        <v>10</v>
      </c>
      <c r="C416" s="290">
        <f t="shared" ref="C416:C423" si="46">C415</f>
        <v>2</v>
      </c>
      <c r="D416" s="290">
        <f t="shared" si="43"/>
        <v>5</v>
      </c>
      <c r="E416" s="264">
        <v>1.923</v>
      </c>
      <c r="F416" s="290">
        <f t="shared" ca="1" si="44"/>
        <v>0.28999999999999998</v>
      </c>
      <c r="G416" s="290">
        <f t="shared" ref="G416:G423" ca="1" si="47">TREND(OFFSET($M$66,MATCH(E416,$L$67:$L$79),0,2,1),OFFSET($L$66,MATCH(E416,$L$67:$L$79),0,2,1),E416)</f>
        <v>4.8075000000000007E-2</v>
      </c>
      <c r="H416" s="290">
        <f t="shared" ca="1" si="45"/>
        <v>1.3941750000000001E-2</v>
      </c>
      <c r="I416" s="251"/>
      <c r="J416" s="289">
        <v>1</v>
      </c>
      <c r="K416" s="289">
        <v>0.8</v>
      </c>
      <c r="L416" s="289">
        <v>5</v>
      </c>
      <c r="M416" s="292">
        <v>0.125</v>
      </c>
    </row>
    <row r="417" spans="1:13" x14ac:dyDescent="0.25">
      <c r="A417" s="288">
        <v>3</v>
      </c>
      <c r="B417" s="264">
        <v>10</v>
      </c>
      <c r="C417" s="290">
        <f t="shared" si="46"/>
        <v>2</v>
      </c>
      <c r="D417" s="290">
        <f t="shared" si="43"/>
        <v>5</v>
      </c>
      <c r="E417" s="264">
        <v>5.3630000000000004</v>
      </c>
      <c r="F417" s="290">
        <f t="shared" ca="1" si="44"/>
        <v>0.28999999999999998</v>
      </c>
      <c r="G417" s="290">
        <f t="shared" ca="1" si="47"/>
        <v>0.13262300000000002</v>
      </c>
      <c r="H417" s="290">
        <f t="shared" ca="1" si="45"/>
        <v>3.8460670000000002E-2</v>
      </c>
      <c r="I417" s="251"/>
      <c r="J417" s="289">
        <v>1.5</v>
      </c>
      <c r="K417" s="289">
        <v>0.6</v>
      </c>
      <c r="L417" s="289">
        <v>10</v>
      </c>
      <c r="M417" s="292">
        <v>0.23</v>
      </c>
    </row>
    <row r="418" spans="1:13" x14ac:dyDescent="0.25">
      <c r="A418" s="288">
        <v>4</v>
      </c>
      <c r="B418" s="264">
        <v>10</v>
      </c>
      <c r="C418" s="290">
        <f t="shared" si="46"/>
        <v>2</v>
      </c>
      <c r="D418" s="290">
        <f t="shared" si="43"/>
        <v>5</v>
      </c>
      <c r="E418" s="264">
        <v>8.7430000000000003</v>
      </c>
      <c r="F418" s="290">
        <f t="shared" ca="1" si="44"/>
        <v>0.28999999999999998</v>
      </c>
      <c r="G418" s="290">
        <f t="shared" ca="1" si="47"/>
        <v>0.20360300000000001</v>
      </c>
      <c r="H418" s="290">
        <f t="shared" ca="1" si="45"/>
        <v>5.9044869999999999E-2</v>
      </c>
      <c r="I418" s="251"/>
      <c r="J418" s="289">
        <v>2</v>
      </c>
      <c r="K418" s="289">
        <v>0.48</v>
      </c>
      <c r="L418" s="289">
        <v>20</v>
      </c>
      <c r="M418" s="292">
        <v>0.4</v>
      </c>
    </row>
    <row r="419" spans="1:13" x14ac:dyDescent="0.25">
      <c r="A419" s="288">
        <v>5</v>
      </c>
      <c r="B419" s="264">
        <v>10</v>
      </c>
      <c r="C419" s="290">
        <f t="shared" si="46"/>
        <v>2</v>
      </c>
      <c r="D419" s="290">
        <f t="shared" si="43"/>
        <v>5</v>
      </c>
      <c r="E419" s="264">
        <v>31.018999999999998</v>
      </c>
      <c r="F419" s="290">
        <f t="shared" ca="1" si="44"/>
        <v>0.28999999999999998</v>
      </c>
      <c r="G419" s="290">
        <f t="shared" ca="1" si="47"/>
        <v>0.56019000000000008</v>
      </c>
      <c r="H419" s="290">
        <f t="shared" ca="1" si="45"/>
        <v>0.16245510000000002</v>
      </c>
      <c r="I419" s="251"/>
      <c r="J419" s="289">
        <v>3</v>
      </c>
      <c r="K419" s="289">
        <v>0.36</v>
      </c>
      <c r="L419" s="289">
        <v>30</v>
      </c>
      <c r="M419" s="292">
        <v>0.55000000000000004</v>
      </c>
    </row>
    <row r="420" spans="1:13" x14ac:dyDescent="0.25">
      <c r="A420" s="288">
        <v>6</v>
      </c>
      <c r="B420" s="264">
        <v>10</v>
      </c>
      <c r="C420" s="290">
        <f t="shared" si="46"/>
        <v>2</v>
      </c>
      <c r="D420" s="290">
        <f t="shared" si="43"/>
        <v>5</v>
      </c>
      <c r="E420" s="264">
        <v>31.03</v>
      </c>
      <c r="F420" s="290">
        <f t="shared" ca="1" si="44"/>
        <v>0.28999999999999998</v>
      </c>
      <c r="G420" s="290">
        <f t="shared" ca="1" si="47"/>
        <v>0.56030000000000013</v>
      </c>
      <c r="H420" s="290">
        <f t="shared" ca="1" si="45"/>
        <v>0.16248700000000002</v>
      </c>
      <c r="I420" s="251"/>
      <c r="J420" s="289">
        <v>4</v>
      </c>
      <c r="K420" s="289">
        <v>0.3</v>
      </c>
      <c r="L420" s="289">
        <v>40</v>
      </c>
      <c r="M420" s="292">
        <v>0.65</v>
      </c>
    </row>
    <row r="421" spans="1:13" x14ac:dyDescent="0.25">
      <c r="A421" s="288">
        <v>7</v>
      </c>
      <c r="B421" s="264">
        <v>10</v>
      </c>
      <c r="C421" s="290">
        <f t="shared" si="46"/>
        <v>2</v>
      </c>
      <c r="D421" s="290">
        <f t="shared" si="43"/>
        <v>5</v>
      </c>
      <c r="E421" s="264">
        <v>1.8879999999999999</v>
      </c>
      <c r="F421" s="290">
        <f t="shared" ca="1" si="44"/>
        <v>0.28999999999999998</v>
      </c>
      <c r="G421" s="290">
        <f t="shared" ca="1" si="47"/>
        <v>4.7199999999999999E-2</v>
      </c>
      <c r="H421" s="290">
        <f t="shared" ca="1" si="45"/>
        <v>1.3687999999999999E-2</v>
      </c>
      <c r="I421" s="251"/>
      <c r="J421" s="289">
        <v>5</v>
      </c>
      <c r="K421" s="289">
        <v>0.28999999999999998</v>
      </c>
      <c r="L421" s="289">
        <v>50</v>
      </c>
      <c r="M421" s="292">
        <v>0.75</v>
      </c>
    </row>
    <row r="422" spans="1:13" x14ac:dyDescent="0.25">
      <c r="A422" s="288">
        <v>8</v>
      </c>
      <c r="B422" s="264">
        <v>10</v>
      </c>
      <c r="C422" s="290">
        <f t="shared" si="46"/>
        <v>2</v>
      </c>
      <c r="D422" s="290">
        <f t="shared" si="43"/>
        <v>5</v>
      </c>
      <c r="E422" s="264">
        <v>5.4180000000000001</v>
      </c>
      <c r="F422" s="290">
        <f t="shared" ca="1" si="44"/>
        <v>0.28999999999999998</v>
      </c>
      <c r="G422" s="290">
        <f t="shared" ca="1" si="47"/>
        <v>0.13377800000000001</v>
      </c>
      <c r="H422" s="290">
        <f t="shared" ca="1" si="45"/>
        <v>3.8795620000000003E-2</v>
      </c>
      <c r="I422" s="251"/>
      <c r="J422" s="289">
        <v>6</v>
      </c>
      <c r="K422" s="289">
        <v>0.28000000000000003</v>
      </c>
      <c r="L422" s="289">
        <v>60</v>
      </c>
      <c r="M422" s="292">
        <v>0.83</v>
      </c>
    </row>
    <row r="423" spans="1:13" x14ac:dyDescent="0.25">
      <c r="A423" s="288">
        <v>9</v>
      </c>
      <c r="B423" s="264">
        <v>10</v>
      </c>
      <c r="C423" s="290">
        <f t="shared" si="46"/>
        <v>2</v>
      </c>
      <c r="D423" s="290">
        <f t="shared" si="43"/>
        <v>5</v>
      </c>
      <c r="E423" s="264">
        <v>1.49</v>
      </c>
      <c r="F423" s="290">
        <f t="shared" ca="1" si="44"/>
        <v>0.28999999999999998</v>
      </c>
      <c r="G423" s="290">
        <f t="shared" ca="1" si="47"/>
        <v>3.7250000000000005E-2</v>
      </c>
      <c r="H423" s="290">
        <f t="shared" ca="1" si="45"/>
        <v>1.0802500000000001E-2</v>
      </c>
      <c r="I423" s="251"/>
      <c r="J423" s="289">
        <v>7</v>
      </c>
      <c r="K423" s="289">
        <v>0.27</v>
      </c>
      <c r="L423" s="289">
        <v>70</v>
      </c>
      <c r="M423" s="292">
        <v>0.88</v>
      </c>
    </row>
    <row r="424" spans="1:13" x14ac:dyDescent="0.25">
      <c r="A424" s="288">
        <v>10</v>
      </c>
      <c r="B424" s="264"/>
      <c r="C424" s="290"/>
      <c r="D424" s="290"/>
      <c r="E424" s="264"/>
      <c r="F424" s="290"/>
      <c r="G424" s="290"/>
      <c r="H424" s="290"/>
      <c r="I424" s="251"/>
      <c r="J424" s="289">
        <v>8</v>
      </c>
      <c r="K424" s="289">
        <v>0.26</v>
      </c>
      <c r="L424" s="289">
        <v>80</v>
      </c>
      <c r="M424" s="292">
        <v>0.95</v>
      </c>
    </row>
    <row r="425" spans="1:13" x14ac:dyDescent="0.25">
      <c r="A425" s="288">
        <v>11</v>
      </c>
      <c r="B425" s="264"/>
      <c r="C425" s="290"/>
      <c r="D425" s="290"/>
      <c r="E425" s="264"/>
      <c r="F425" s="290"/>
      <c r="G425" s="290"/>
      <c r="H425" s="290"/>
      <c r="I425" s="251"/>
      <c r="J425" s="289">
        <v>9</v>
      </c>
      <c r="K425" s="289">
        <v>0.25</v>
      </c>
      <c r="L425" s="289">
        <v>90</v>
      </c>
      <c r="M425" s="292">
        <v>1</v>
      </c>
    </row>
    <row r="426" spans="1:13" x14ac:dyDescent="0.25">
      <c r="A426" s="288">
        <v>12</v>
      </c>
      <c r="B426" s="264"/>
      <c r="C426" s="290"/>
      <c r="D426" s="290"/>
      <c r="E426" s="264"/>
      <c r="F426" s="290"/>
      <c r="G426" s="290"/>
      <c r="H426" s="290"/>
      <c r="I426" s="251"/>
      <c r="J426" s="289">
        <v>10</v>
      </c>
      <c r="K426" s="289">
        <v>0.24</v>
      </c>
      <c r="L426" s="289">
        <v>100</v>
      </c>
      <c r="M426" s="292">
        <v>1.05</v>
      </c>
    </row>
    <row r="427" spans="1:13" x14ac:dyDescent="0.25">
      <c r="A427" s="288"/>
      <c r="B427" s="264"/>
      <c r="C427" s="290"/>
      <c r="D427" s="290"/>
      <c r="E427" s="264"/>
      <c r="F427" s="290"/>
      <c r="G427" s="290"/>
      <c r="H427" s="290"/>
      <c r="I427" s="251"/>
      <c r="J427" s="289">
        <v>11</v>
      </c>
      <c r="K427" s="289">
        <v>0.23</v>
      </c>
      <c r="L427" s="289">
        <v>120</v>
      </c>
      <c r="M427" s="292">
        <v>1.1299999999999999</v>
      </c>
    </row>
    <row r="428" spans="1:13" x14ac:dyDescent="0.25">
      <c r="A428" s="288"/>
      <c r="B428" s="264"/>
      <c r="C428" s="290"/>
      <c r="D428" s="290"/>
      <c r="E428" s="264"/>
      <c r="F428" s="290"/>
      <c r="G428" s="290"/>
      <c r="H428" s="290"/>
      <c r="I428" s="251"/>
      <c r="J428" s="289"/>
      <c r="K428" s="289"/>
      <c r="L428" s="289">
        <v>140</v>
      </c>
      <c r="M428" s="292">
        <v>1.2</v>
      </c>
    </row>
    <row r="429" spans="1:13" x14ac:dyDescent="0.25">
      <c r="A429" s="288"/>
      <c r="B429" s="264"/>
      <c r="C429" s="290"/>
      <c r="D429" s="290"/>
      <c r="E429" s="264"/>
      <c r="F429" s="290"/>
      <c r="G429" s="290"/>
      <c r="H429" s="290"/>
      <c r="I429" s="251"/>
      <c r="J429" s="251"/>
      <c r="K429" s="251"/>
      <c r="L429" s="251"/>
      <c r="M429" s="278"/>
    </row>
    <row r="430" spans="1:13" x14ac:dyDescent="0.25">
      <c r="A430" s="288"/>
      <c r="B430" s="264"/>
      <c r="C430" s="290"/>
      <c r="D430" s="290"/>
      <c r="E430" s="264"/>
      <c r="F430" s="290"/>
      <c r="G430" s="290"/>
      <c r="H430" s="290"/>
      <c r="I430" s="251"/>
      <c r="J430" s="251"/>
      <c r="K430" s="251"/>
      <c r="L430" s="251"/>
      <c r="M430" s="278"/>
    </row>
    <row r="431" spans="1:13" x14ac:dyDescent="0.25">
      <c r="A431" s="288"/>
      <c r="B431" s="264"/>
      <c r="C431" s="290"/>
      <c r="D431" s="290"/>
      <c r="E431" s="264"/>
      <c r="F431" s="290"/>
      <c r="G431" s="290"/>
      <c r="H431" s="290"/>
      <c r="I431" s="251"/>
      <c r="J431" s="251"/>
      <c r="K431" s="251"/>
      <c r="L431" s="251"/>
      <c r="M431" s="278"/>
    </row>
    <row r="432" spans="1:13" x14ac:dyDescent="0.25">
      <c r="A432" s="288"/>
      <c r="B432" s="264"/>
      <c r="C432" s="290"/>
      <c r="D432" s="290"/>
      <c r="E432" s="264"/>
      <c r="F432" s="290"/>
      <c r="G432" s="290"/>
      <c r="H432" s="290"/>
      <c r="I432" s="251"/>
      <c r="J432" s="251"/>
      <c r="K432" s="251"/>
      <c r="L432" s="251"/>
      <c r="M432" s="278"/>
    </row>
    <row r="433" spans="1:13" x14ac:dyDescent="0.25">
      <c r="A433" s="288"/>
      <c r="B433" s="264"/>
      <c r="C433" s="290"/>
      <c r="D433" s="290"/>
      <c r="E433" s="264"/>
      <c r="F433" s="290"/>
      <c r="G433" s="290"/>
      <c r="H433" s="290"/>
      <c r="I433" s="251"/>
      <c r="J433" s="251"/>
      <c r="K433" s="251"/>
      <c r="L433" s="251"/>
      <c r="M433" s="278"/>
    </row>
    <row r="434" spans="1:13" x14ac:dyDescent="0.25">
      <c r="A434" s="288"/>
      <c r="B434" s="264"/>
      <c r="C434" s="290"/>
      <c r="D434" s="290"/>
      <c r="E434" s="264"/>
      <c r="F434" s="290"/>
      <c r="G434" s="290"/>
      <c r="H434" s="290"/>
      <c r="I434" s="251"/>
      <c r="J434" s="251"/>
      <c r="K434" s="251"/>
      <c r="L434" s="251"/>
      <c r="M434" s="278"/>
    </row>
    <row r="435" spans="1:13" x14ac:dyDescent="0.25">
      <c r="A435" s="288"/>
      <c r="B435" s="264"/>
      <c r="C435" s="290"/>
      <c r="D435" s="290"/>
      <c r="E435" s="264"/>
      <c r="F435" s="290"/>
      <c r="G435" s="290"/>
      <c r="H435" s="290"/>
      <c r="I435" s="251"/>
      <c r="J435" s="251"/>
      <c r="K435" s="251"/>
      <c r="L435" s="251"/>
      <c r="M435" s="278"/>
    </row>
    <row r="436" spans="1:13" x14ac:dyDescent="0.25">
      <c r="A436" s="288"/>
      <c r="B436" s="264"/>
      <c r="C436" s="290"/>
      <c r="D436" s="290"/>
      <c r="E436" s="264"/>
      <c r="F436" s="290"/>
      <c r="G436" s="290"/>
      <c r="H436" s="290"/>
      <c r="I436" s="251"/>
      <c r="J436" s="251"/>
      <c r="K436" s="251"/>
      <c r="L436" s="251"/>
      <c r="M436" s="278"/>
    </row>
    <row r="437" spans="1:13" ht="16.2" x14ac:dyDescent="0.3">
      <c r="A437" s="387" t="s">
        <v>203</v>
      </c>
      <c r="B437" s="388"/>
      <c r="C437" s="388"/>
      <c r="D437" s="388"/>
      <c r="E437" s="388"/>
      <c r="F437" s="388"/>
      <c r="G437" s="388"/>
      <c r="H437" s="291">
        <f ca="1">SUM(H415:H436)</f>
        <v>0.50600476000000005</v>
      </c>
      <c r="I437" s="293"/>
      <c r="J437" s="293"/>
      <c r="K437" s="293"/>
      <c r="L437" s="293"/>
      <c r="M437" s="294"/>
    </row>
    <row r="440" spans="1:13" ht="14.4" x14ac:dyDescent="0.25">
      <c r="A440" s="244" t="s">
        <v>217</v>
      </c>
      <c r="C440" s="240"/>
    </row>
    <row r="441" spans="1:13" x14ac:dyDescent="0.25">
      <c r="A441" s="245" t="s">
        <v>138</v>
      </c>
      <c r="B441" s="246"/>
      <c r="C441" s="246"/>
      <c r="D441" s="246"/>
      <c r="E441" s="246"/>
      <c r="F441" s="246"/>
      <c r="G441" s="246"/>
      <c r="H441" s="246"/>
      <c r="I441" s="246"/>
      <c r="J441" s="246"/>
      <c r="K441" s="246"/>
      <c r="L441" s="246"/>
      <c r="M441" s="277"/>
    </row>
    <row r="442" spans="1:13" ht="14.4" x14ac:dyDescent="0.25">
      <c r="A442" s="247" t="s">
        <v>139</v>
      </c>
      <c r="B442" s="248"/>
      <c r="C442" s="249" t="s">
        <v>140</v>
      </c>
      <c r="D442" s="250" t="s">
        <v>141</v>
      </c>
      <c r="E442" s="249" t="s">
        <v>142</v>
      </c>
      <c r="F442" s="251"/>
      <c r="G442" s="251"/>
      <c r="H442" s="251"/>
      <c r="I442" s="251"/>
      <c r="J442" s="251"/>
      <c r="K442" s="251"/>
      <c r="L442" s="251"/>
      <c r="M442" s="278"/>
    </row>
    <row r="443" spans="1:13" ht="14.4" x14ac:dyDescent="0.25">
      <c r="A443" s="247"/>
      <c r="B443" s="248" t="s">
        <v>143</v>
      </c>
      <c r="C443" s="229">
        <v>4</v>
      </c>
      <c r="D443" s="252">
        <f>C443*1.25</f>
        <v>5</v>
      </c>
      <c r="E443" s="231">
        <f>C443*0.4</f>
        <v>1.6</v>
      </c>
      <c r="F443" s="251"/>
      <c r="G443" s="251"/>
      <c r="H443" s="251"/>
      <c r="I443" s="251"/>
      <c r="J443" s="251"/>
      <c r="K443" s="251"/>
      <c r="L443" s="251"/>
      <c r="M443" s="278"/>
    </row>
    <row r="444" spans="1:13" ht="14.4" x14ac:dyDescent="0.25">
      <c r="A444" s="247"/>
      <c r="B444" s="248" t="s">
        <v>144</v>
      </c>
      <c r="C444" s="253">
        <v>1</v>
      </c>
      <c r="D444" s="254">
        <f>C444</f>
        <v>1</v>
      </c>
      <c r="E444" s="255">
        <f>D444</f>
        <v>1</v>
      </c>
      <c r="F444" s="251"/>
      <c r="G444" s="251"/>
      <c r="H444" s="251"/>
      <c r="I444" s="251"/>
      <c r="J444" s="251"/>
      <c r="K444" s="251"/>
      <c r="L444" s="251"/>
      <c r="M444" s="278"/>
    </row>
    <row r="445" spans="1:13" ht="14.4" x14ac:dyDescent="0.25">
      <c r="A445" s="247"/>
      <c r="B445" s="248" t="s">
        <v>145</v>
      </c>
      <c r="C445" s="231">
        <f>C443/C444</f>
        <v>4</v>
      </c>
      <c r="D445" s="252">
        <f>D443/D444</f>
        <v>5</v>
      </c>
      <c r="E445" s="231">
        <f>E443/E444</f>
        <v>1.6</v>
      </c>
      <c r="F445" s="251"/>
      <c r="G445" s="251"/>
      <c r="H445" s="251"/>
      <c r="I445" s="251"/>
      <c r="J445" s="251"/>
      <c r="K445" s="251"/>
      <c r="L445" s="251"/>
      <c r="M445" s="278"/>
    </row>
    <row r="446" spans="1:13" ht="14.4" x14ac:dyDescent="0.25">
      <c r="A446" s="247"/>
      <c r="B446" s="248" t="s">
        <v>146</v>
      </c>
      <c r="C446" s="256">
        <v>2603</v>
      </c>
      <c r="D446" s="252">
        <f t="shared" ref="D446:E448" si="48">C446</f>
        <v>2603</v>
      </c>
      <c r="E446" s="231">
        <f t="shared" si="48"/>
        <v>2603</v>
      </c>
      <c r="F446" s="251"/>
      <c r="G446" s="251"/>
      <c r="H446" s="251"/>
      <c r="I446" s="251"/>
      <c r="J446" s="251"/>
      <c r="K446" s="251"/>
      <c r="L446" s="251"/>
      <c r="M446" s="278"/>
    </row>
    <row r="447" spans="1:13" ht="14.4" x14ac:dyDescent="0.25">
      <c r="A447" s="247"/>
      <c r="B447" s="248" t="s">
        <v>134</v>
      </c>
      <c r="C447" s="257">
        <v>0.01</v>
      </c>
      <c r="D447" s="258">
        <f t="shared" si="48"/>
        <v>0.01</v>
      </c>
      <c r="E447" s="258">
        <f t="shared" si="48"/>
        <v>0.01</v>
      </c>
      <c r="F447" s="251"/>
      <c r="G447" s="251"/>
      <c r="H447" s="251"/>
      <c r="I447" s="251"/>
      <c r="J447" s="251"/>
      <c r="K447" s="251"/>
      <c r="L447" s="251"/>
      <c r="M447" s="278"/>
    </row>
    <row r="448" spans="1:13" ht="14.4" x14ac:dyDescent="0.25">
      <c r="A448" s="247"/>
      <c r="B448" s="248" t="s">
        <v>147</v>
      </c>
      <c r="C448" s="229">
        <v>1.8</v>
      </c>
      <c r="D448" s="252">
        <f t="shared" si="48"/>
        <v>1.8</v>
      </c>
      <c r="E448" s="231">
        <f t="shared" si="48"/>
        <v>1.8</v>
      </c>
      <c r="F448" s="251"/>
      <c r="G448" s="251"/>
      <c r="H448" s="251"/>
      <c r="I448" s="251"/>
      <c r="J448" s="251"/>
      <c r="K448" s="251"/>
      <c r="L448" s="251"/>
      <c r="M448" s="278"/>
    </row>
    <row r="449" spans="1:15" ht="14.4" x14ac:dyDescent="0.25">
      <c r="A449" s="247"/>
      <c r="B449" s="248" t="s">
        <v>148</v>
      </c>
      <c r="C449" s="252">
        <f>4*C445/(C448^2*PI())</f>
        <v>1.5719006725125464</v>
      </c>
      <c r="D449" s="252">
        <f>4*D445/(D448^2*PI())</f>
        <v>1.964875840640683</v>
      </c>
      <c r="E449" s="252">
        <f>4*E445/(E448^2*PI())</f>
        <v>0.62876026900501858</v>
      </c>
      <c r="F449" s="251"/>
      <c r="G449" s="251"/>
      <c r="H449" s="251"/>
      <c r="I449" s="251"/>
      <c r="J449" s="251"/>
      <c r="K449" s="251"/>
      <c r="L449" s="251"/>
      <c r="M449" s="278"/>
    </row>
    <row r="450" spans="1:15" ht="14.4" x14ac:dyDescent="0.25">
      <c r="A450" s="247"/>
      <c r="B450" s="248" t="s">
        <v>149</v>
      </c>
      <c r="C450" s="231">
        <f>C445/C449</f>
        <v>2.5446900494077327</v>
      </c>
      <c r="D450" s="252">
        <f>D445/D449</f>
        <v>2.5446900494077327</v>
      </c>
      <c r="E450" s="231">
        <f>E445/E449</f>
        <v>2.5446900494077327</v>
      </c>
      <c r="F450" s="251"/>
      <c r="G450" s="251"/>
      <c r="H450" s="251"/>
      <c r="I450" s="251"/>
      <c r="J450" s="251"/>
      <c r="K450" s="251"/>
      <c r="L450" s="251"/>
      <c r="M450" s="278"/>
    </row>
    <row r="451" spans="1:15" ht="14.4" x14ac:dyDescent="0.25">
      <c r="A451" s="247" t="s">
        <v>150</v>
      </c>
      <c r="B451" s="248"/>
      <c r="C451" s="248"/>
      <c r="D451" s="259"/>
      <c r="E451" s="248"/>
      <c r="F451" s="251"/>
      <c r="G451" s="389" t="s">
        <v>151</v>
      </c>
      <c r="H451" s="390"/>
      <c r="I451" s="390"/>
      <c r="J451" s="390"/>
      <c r="K451" s="391"/>
      <c r="L451" s="251"/>
      <c r="M451" s="278"/>
    </row>
    <row r="452" spans="1:15" ht="14.4" x14ac:dyDescent="0.25">
      <c r="A452" s="247" t="s">
        <v>152</v>
      </c>
      <c r="B452" s="248" t="s">
        <v>153</v>
      </c>
      <c r="C452" s="231">
        <f>C448/4</f>
        <v>0.45</v>
      </c>
      <c r="D452" s="252">
        <f>D448/4</f>
        <v>0.45</v>
      </c>
      <c r="E452" s="231">
        <f>E448/4</f>
        <v>0.45</v>
      </c>
      <c r="F452" s="251"/>
      <c r="G452" s="381" t="s">
        <v>154</v>
      </c>
      <c r="H452" s="260" t="s">
        <v>155</v>
      </c>
      <c r="I452" s="261" t="s">
        <v>156</v>
      </c>
      <c r="J452" s="261" t="s">
        <v>157</v>
      </c>
      <c r="K452" s="279" t="s">
        <v>158</v>
      </c>
      <c r="L452" s="251"/>
      <c r="M452" s="278"/>
    </row>
    <row r="453" spans="1:15" ht="16.8" x14ac:dyDescent="0.25">
      <c r="A453" s="247"/>
      <c r="B453" s="248" t="s">
        <v>159</v>
      </c>
      <c r="C453" s="231">
        <f>C452^(1/6)/C447</f>
        <v>87.539101685678332</v>
      </c>
      <c r="D453" s="252">
        <f>D452^(1/6)/D447</f>
        <v>87.539101685678332</v>
      </c>
      <c r="E453" s="231">
        <f>E452^(1/6)/E447</f>
        <v>87.539101685678332</v>
      </c>
      <c r="F453" s="251"/>
      <c r="G453" s="382"/>
      <c r="H453" s="261" t="s">
        <v>160</v>
      </c>
      <c r="I453" s="261" t="s">
        <v>161</v>
      </c>
      <c r="J453" s="261" t="s">
        <v>162</v>
      </c>
      <c r="K453" s="279" t="s">
        <v>163</v>
      </c>
      <c r="L453" s="251"/>
      <c r="M453" s="278"/>
    </row>
    <row r="454" spans="1:15" ht="16.8" x14ac:dyDescent="0.25">
      <c r="A454" s="247"/>
      <c r="B454" s="248" t="s">
        <v>164</v>
      </c>
      <c r="C454" s="231">
        <f>8*9.81/C453^2</f>
        <v>1.0241293749297747E-2</v>
      </c>
      <c r="D454" s="252">
        <f>8*9.81/D453^2</f>
        <v>1.0241293749297747E-2</v>
      </c>
      <c r="E454" s="231">
        <f>8*9.81/E453^2</f>
        <v>1.0241293749297747E-2</v>
      </c>
      <c r="F454" s="251"/>
      <c r="G454" s="262" t="s">
        <v>218</v>
      </c>
      <c r="H454" s="263">
        <f>C450</f>
        <v>2.5446900494077327</v>
      </c>
      <c r="I454" s="263">
        <f>I460*I461</f>
        <v>9.495000000000001</v>
      </c>
      <c r="J454" s="263">
        <f>H454/I454</f>
        <v>0.26800316476121455</v>
      </c>
      <c r="K454" s="280">
        <f ca="1">TREND(OFFSET($L$51,MATCH(J454,$K$52:$K$60),0,2,1),OFFSET($K$51,MATCH(J454,$K$52:$K$60),0,2,1),J454)</f>
        <v>0.47679240457308514</v>
      </c>
      <c r="L454" s="251"/>
      <c r="M454" s="278"/>
    </row>
    <row r="455" spans="1:15" ht="16.8" x14ac:dyDescent="0.25">
      <c r="A455" s="247"/>
      <c r="B455" s="248" t="s">
        <v>166</v>
      </c>
      <c r="C455" s="231">
        <f>C454*C446*C449^2/(4*C452*2*9.81)</f>
        <v>1.8651238799975898</v>
      </c>
      <c r="D455" s="252">
        <f>D454*D446*D449^2/(4*D452*2*9.81)</f>
        <v>2.9142560624962344</v>
      </c>
      <c r="E455" s="231">
        <f>E454*E446*E449^2/(4*E452*2*9.81)</f>
        <v>0.29841982079961438</v>
      </c>
      <c r="F455" s="251"/>
      <c r="G455" s="251"/>
      <c r="H455" s="251"/>
      <c r="I455" s="251"/>
      <c r="J455" s="251"/>
      <c r="K455" s="251"/>
      <c r="L455" s="251"/>
      <c r="M455" s="278"/>
      <c r="O455" s="281">
        <f>0.64-(0.64-0.4)/0.1*(J454-0.2)</f>
        <v>0.47679240457308514</v>
      </c>
    </row>
    <row r="456" spans="1:15" ht="14.4" x14ac:dyDescent="0.25">
      <c r="A456" s="247" t="s">
        <v>167</v>
      </c>
      <c r="B456" s="248" t="s">
        <v>168</v>
      </c>
      <c r="C456" s="264">
        <v>0.25</v>
      </c>
      <c r="D456" s="252">
        <f t="shared" ref="D456:E461" si="49">C456</f>
        <v>0.25</v>
      </c>
      <c r="E456" s="231">
        <f t="shared" si="49"/>
        <v>0.25</v>
      </c>
      <c r="F456" s="251"/>
      <c r="G456" s="251"/>
      <c r="H456" s="251"/>
      <c r="I456" s="251"/>
      <c r="J456" s="251"/>
      <c r="K456" s="251"/>
      <c r="L456" s="251"/>
      <c r="M456" s="278"/>
    </row>
    <row r="457" spans="1:15" ht="15.6" x14ac:dyDescent="0.25">
      <c r="A457" s="247"/>
      <c r="B457" s="248" t="s">
        <v>169</v>
      </c>
      <c r="C457" s="264">
        <f>0.1*2</f>
        <v>0.2</v>
      </c>
      <c r="D457" s="252">
        <f t="shared" si="49"/>
        <v>0.2</v>
      </c>
      <c r="E457" s="231">
        <f t="shared" si="49"/>
        <v>0.2</v>
      </c>
      <c r="F457" s="251"/>
      <c r="G457" s="383" t="s">
        <v>170</v>
      </c>
      <c r="H457" s="265" t="s">
        <v>171</v>
      </c>
      <c r="I457" s="282"/>
      <c r="J457" s="251"/>
      <c r="K457" s="238" t="s">
        <v>162</v>
      </c>
      <c r="L457" s="238" t="s">
        <v>163</v>
      </c>
      <c r="M457" s="278"/>
    </row>
    <row r="458" spans="1:15" ht="15.6" x14ac:dyDescent="0.25">
      <c r="A458" s="247"/>
      <c r="B458" s="248" t="s">
        <v>172</v>
      </c>
      <c r="C458" s="264">
        <v>0.02</v>
      </c>
      <c r="D458" s="252">
        <f t="shared" si="49"/>
        <v>0.02</v>
      </c>
      <c r="E458" s="231">
        <f t="shared" si="49"/>
        <v>0.02</v>
      </c>
      <c r="F458" s="251"/>
      <c r="G458" s="384"/>
      <c r="H458" s="266" t="s">
        <v>173</v>
      </c>
      <c r="I458" s="283">
        <v>1.665</v>
      </c>
      <c r="J458" s="251"/>
      <c r="K458" s="238">
        <v>0.1</v>
      </c>
      <c r="L458" s="238">
        <v>0.81</v>
      </c>
      <c r="M458" s="278"/>
    </row>
    <row r="459" spans="1:15" ht="16.2" x14ac:dyDescent="0.25">
      <c r="A459" s="247"/>
      <c r="B459" s="248" t="s">
        <v>174</v>
      </c>
      <c r="C459" s="264">
        <v>0.1</v>
      </c>
      <c r="D459" s="252">
        <f t="shared" si="49"/>
        <v>0.1</v>
      </c>
      <c r="E459" s="231">
        <f t="shared" si="49"/>
        <v>0.1</v>
      </c>
      <c r="F459" s="251"/>
      <c r="G459" s="384"/>
      <c r="H459" s="266" t="s">
        <v>175</v>
      </c>
      <c r="I459" s="284"/>
      <c r="J459" s="251"/>
      <c r="K459" s="238">
        <v>0.2</v>
      </c>
      <c r="L459" s="238">
        <v>0.64</v>
      </c>
      <c r="M459" s="278"/>
    </row>
    <row r="460" spans="1:15" ht="15.6" x14ac:dyDescent="0.25">
      <c r="A460" s="247"/>
      <c r="B460" s="248" t="s">
        <v>176</v>
      </c>
      <c r="C460" s="264">
        <v>80</v>
      </c>
      <c r="D460" s="252">
        <f t="shared" si="49"/>
        <v>80</v>
      </c>
      <c r="E460" s="231">
        <f t="shared" si="49"/>
        <v>80</v>
      </c>
      <c r="F460" s="251"/>
      <c r="G460" s="384"/>
      <c r="H460" s="266" t="s">
        <v>177</v>
      </c>
      <c r="I460" s="283">
        <f>I458+1.5</f>
        <v>3.165</v>
      </c>
      <c r="J460" s="251"/>
      <c r="K460" s="238">
        <v>0.3</v>
      </c>
      <c r="L460" s="238">
        <v>0.4</v>
      </c>
      <c r="M460" s="278"/>
    </row>
    <row r="461" spans="1:15" ht="15.6" x14ac:dyDescent="0.25">
      <c r="A461" s="247"/>
      <c r="B461" s="248" t="s">
        <v>178</v>
      </c>
      <c r="C461" s="264">
        <v>1.83</v>
      </c>
      <c r="D461" s="252">
        <f t="shared" si="49"/>
        <v>1.83</v>
      </c>
      <c r="E461" s="231">
        <f t="shared" si="49"/>
        <v>1.83</v>
      </c>
      <c r="F461" s="251"/>
      <c r="G461" s="384"/>
      <c r="H461" s="266" t="s">
        <v>179</v>
      </c>
      <c r="I461" s="283">
        <v>3</v>
      </c>
      <c r="K461" s="238">
        <v>0.4</v>
      </c>
      <c r="L461" s="238">
        <v>0.36</v>
      </c>
      <c r="M461" s="278"/>
    </row>
    <row r="462" spans="1:15" ht="16.8" x14ac:dyDescent="0.25">
      <c r="A462" s="247"/>
      <c r="B462" s="248" t="s">
        <v>180</v>
      </c>
      <c r="C462" s="231">
        <f>C461*(C458/C459)^(4/3)*SIN(C460/180*PI())</f>
        <v>0.21078637878092679</v>
      </c>
      <c r="D462" s="252">
        <f>D461*(D458/D459)^(4/3)*SIN(D460/180*PI())</f>
        <v>0.21078637878092679</v>
      </c>
      <c r="E462" s="231">
        <f>E461*(E458/E459)^(4/3)*SIN(E460/180*PI())</f>
        <v>0.21078637878092679</v>
      </c>
      <c r="F462" s="251"/>
      <c r="G462" s="384"/>
      <c r="H462" s="266" t="s">
        <v>181</v>
      </c>
      <c r="I462" s="284"/>
      <c r="K462" s="238">
        <v>0.5</v>
      </c>
      <c r="L462" s="238">
        <v>0.25</v>
      </c>
      <c r="M462" s="278"/>
    </row>
    <row r="463" spans="1:15" ht="15.6" x14ac:dyDescent="0.25">
      <c r="A463" s="247"/>
      <c r="B463" s="247" t="s">
        <v>182</v>
      </c>
      <c r="C463" s="231">
        <f ca="1">H495</f>
        <v>1.2190953244444447</v>
      </c>
      <c r="D463" s="252">
        <f t="shared" ref="D463:E465" ca="1" si="50">C463</f>
        <v>1.2190953244444447</v>
      </c>
      <c r="E463" s="231">
        <f t="shared" ca="1" si="50"/>
        <v>1.2190953244444447</v>
      </c>
      <c r="F463" s="251"/>
      <c r="G463" s="384"/>
      <c r="H463" s="266" t="s">
        <v>183</v>
      </c>
      <c r="I463" s="284"/>
      <c r="K463" s="238">
        <v>0.6</v>
      </c>
      <c r="L463" s="238">
        <v>0.16</v>
      </c>
      <c r="M463" s="278"/>
    </row>
    <row r="464" spans="1:15" ht="16.2" x14ac:dyDescent="0.25">
      <c r="A464" s="247"/>
      <c r="B464" s="247" t="s">
        <v>184</v>
      </c>
      <c r="C464" s="264">
        <f ca="1">K454</f>
        <v>0.47679240457308514</v>
      </c>
      <c r="D464" s="252">
        <f t="shared" ca="1" si="50"/>
        <v>0.47679240457308514</v>
      </c>
      <c r="E464" s="231">
        <f t="shared" ca="1" si="50"/>
        <v>0.47679240457308514</v>
      </c>
      <c r="F464" s="251"/>
      <c r="G464" s="385"/>
      <c r="H464" s="266" t="s">
        <v>185</v>
      </c>
      <c r="I464" s="284"/>
      <c r="K464" s="238">
        <v>0.7</v>
      </c>
      <c r="L464" s="238">
        <v>0.09</v>
      </c>
      <c r="M464" s="278"/>
    </row>
    <row r="465" spans="1:13" ht="16.2" x14ac:dyDescent="0.25">
      <c r="A465" s="247"/>
      <c r="B465" s="248" t="s">
        <v>219</v>
      </c>
      <c r="C465" s="264">
        <f>0.1*6</f>
        <v>0.60000000000000009</v>
      </c>
      <c r="D465" s="252">
        <f t="shared" si="50"/>
        <v>0.60000000000000009</v>
      </c>
      <c r="E465" s="231">
        <f t="shared" si="50"/>
        <v>0.60000000000000009</v>
      </c>
      <c r="F465" s="251"/>
      <c r="G465" s="386"/>
      <c r="H465" s="267" t="s">
        <v>187</v>
      </c>
      <c r="I465" s="285"/>
      <c r="J465" s="251"/>
      <c r="K465" s="238">
        <v>0.8</v>
      </c>
      <c r="L465" s="238">
        <v>0.04</v>
      </c>
      <c r="M465" s="278"/>
    </row>
    <row r="466" spans="1:13" ht="14.4" x14ac:dyDescent="0.25">
      <c r="A466" s="247"/>
      <c r="B466" s="248" t="s">
        <v>188</v>
      </c>
      <c r="C466" s="231">
        <f ca="1">C465+C462+C457+C456+C464+C463</f>
        <v>2.9566741077984569</v>
      </c>
      <c r="D466" s="252">
        <f ca="1">D465+D462+D457+D456+D464+D463</f>
        <v>2.9566741077984569</v>
      </c>
      <c r="E466" s="231">
        <f ca="1">E465+E462+E457+E456+E464+E463</f>
        <v>2.9566741077984569</v>
      </c>
      <c r="F466" s="251"/>
      <c r="G466" s="251"/>
      <c r="H466" s="251"/>
      <c r="I466" s="251"/>
      <c r="J466" s="251"/>
      <c r="K466" s="238">
        <v>0.9</v>
      </c>
      <c r="L466" s="238">
        <v>0.01</v>
      </c>
      <c r="M466" s="278"/>
    </row>
    <row r="467" spans="1:13" ht="16.8" x14ac:dyDescent="0.25">
      <c r="A467" s="247"/>
      <c r="B467" s="248" t="s">
        <v>189</v>
      </c>
      <c r="C467" s="231">
        <f ca="1">C466*C449^2/2/9.81</f>
        <v>0.37235282623688526</v>
      </c>
      <c r="D467" s="252">
        <f ca="1">D466*D449^2/2/9.81</f>
        <v>0.58180129099513322</v>
      </c>
      <c r="E467" s="231">
        <f ca="1">E466*E449^2/2/9.81</f>
        <v>5.9576452197901648E-2</v>
      </c>
      <c r="F467" s="251"/>
      <c r="G467" s="251"/>
      <c r="H467" s="251"/>
      <c r="I467" s="251"/>
      <c r="J467" s="251"/>
      <c r="K467" s="251"/>
      <c r="L467" s="251"/>
      <c r="M467" s="278"/>
    </row>
    <row r="468" spans="1:13" ht="14.4" x14ac:dyDescent="0.25">
      <c r="A468" s="268" t="s">
        <v>190</v>
      </c>
      <c r="B468" s="269" t="s">
        <v>191</v>
      </c>
      <c r="C468" s="270">
        <f ca="1">C455+C467</f>
        <v>2.2374767062344749</v>
      </c>
      <c r="D468" s="270">
        <f ca="1">D455+D467</f>
        <v>3.4960573534913677</v>
      </c>
      <c r="E468" s="271">
        <f ca="1">E455+E467</f>
        <v>0.35799627299751602</v>
      </c>
      <c r="F468" s="251"/>
      <c r="G468" s="272" t="s">
        <v>192</v>
      </c>
      <c r="H468" s="241">
        <v>3.95</v>
      </c>
      <c r="I468" s="251"/>
      <c r="J468" s="251"/>
      <c r="K468" s="251"/>
      <c r="L468" s="251"/>
      <c r="M468" s="278"/>
    </row>
    <row r="469" spans="1:13" ht="14.4" x14ac:dyDescent="0.25">
      <c r="A469" s="273" t="s">
        <v>193</v>
      </c>
      <c r="B469" s="274"/>
      <c r="C469" s="231">
        <f ca="1">C468+(C449^2-D424^2)/(2*9.81)</f>
        <v>2.3634130836170129</v>
      </c>
      <c r="D469" s="252">
        <f ca="1">D468+(D449^2-D423^2)/(2*9.81)</f>
        <v>2.4186229533452632</v>
      </c>
      <c r="E469" s="231">
        <f ca="1">E468+(E449^2-D425^2)/(2*9.81)</f>
        <v>0.37814609337872207</v>
      </c>
      <c r="F469" s="251"/>
      <c r="G469" s="251"/>
      <c r="H469" s="251"/>
      <c r="I469" s="251"/>
      <c r="J469" s="251"/>
      <c r="K469" s="251"/>
      <c r="L469" s="251"/>
      <c r="M469" s="278"/>
    </row>
    <row r="470" spans="1:13" ht="14.4" x14ac:dyDescent="0.25">
      <c r="A470" s="273" t="s">
        <v>194</v>
      </c>
      <c r="B470" s="274"/>
      <c r="C470" s="231">
        <f ca="1">C469+C432-D432</f>
        <v>2.3634130836170129</v>
      </c>
      <c r="D470" s="252">
        <f ca="1">D469+C430-D430</f>
        <v>2.4186229533452632</v>
      </c>
      <c r="E470" s="231">
        <f ca="1">E469+C434-D434</f>
        <v>0.37814609337872207</v>
      </c>
      <c r="F470" s="251"/>
      <c r="G470" s="251"/>
      <c r="H470" s="251"/>
      <c r="I470" s="251"/>
      <c r="J470" s="251"/>
      <c r="K470" s="251"/>
      <c r="L470" s="251"/>
      <c r="M470" s="278"/>
    </row>
    <row r="471" spans="1:13" x14ac:dyDescent="0.25">
      <c r="A471" s="286"/>
      <c r="B471" s="287"/>
      <c r="C471" s="251"/>
      <c r="D471" s="251"/>
      <c r="E471" s="251"/>
      <c r="F471" s="251"/>
      <c r="G471" s="251"/>
      <c r="H471" s="251"/>
      <c r="I471" s="251"/>
      <c r="J471" s="251"/>
      <c r="K471" s="251"/>
      <c r="L471" s="251"/>
      <c r="M471" s="278"/>
    </row>
    <row r="472" spans="1:13" ht="18" x14ac:dyDescent="0.4">
      <c r="A472" s="288"/>
      <c r="B472" s="289" t="s">
        <v>26</v>
      </c>
      <c r="C472" s="289" t="s">
        <v>195</v>
      </c>
      <c r="D472" s="289" t="s">
        <v>196</v>
      </c>
      <c r="E472" s="289" t="s">
        <v>197</v>
      </c>
      <c r="F472" s="289" t="s">
        <v>198</v>
      </c>
      <c r="G472" s="289" t="s">
        <v>199</v>
      </c>
      <c r="H472" s="289" t="s">
        <v>200</v>
      </c>
      <c r="I472" s="251"/>
      <c r="J472" s="289" t="s">
        <v>201</v>
      </c>
      <c r="K472" s="289" t="s">
        <v>202</v>
      </c>
      <c r="L472" s="289" t="s">
        <v>197</v>
      </c>
      <c r="M472" s="292" t="s">
        <v>199</v>
      </c>
    </row>
    <row r="473" spans="1:13" x14ac:dyDescent="0.25">
      <c r="A473" s="288">
        <v>1</v>
      </c>
      <c r="B473" s="264">
        <v>10</v>
      </c>
      <c r="C473" s="290">
        <f>C448</f>
        <v>1.8</v>
      </c>
      <c r="D473" s="290">
        <f t="shared" ref="D473:D494" si="51">B473/C473</f>
        <v>5.5555555555555554</v>
      </c>
      <c r="E473" s="264">
        <v>4.2119999999999997</v>
      </c>
      <c r="F473" s="290">
        <f t="shared" ref="F473:F494" ca="1" si="52">TREND(OFFSET($K$66,MATCH(D473,$J$67:$J$79),0,2,1),OFFSET($J$66,MATCH(D473,$J$67:$J$79),0,2,1),D473)</f>
        <v>0.28444444444444444</v>
      </c>
      <c r="G473" s="290">
        <f ca="1">TREND(OFFSET($M$66,MATCH(E473,$L$67:$L$80),0,2,1),OFFSET($L$66,MATCH(E473,$L$67:$L$80),0,2,1),E473)</f>
        <v>0.1053</v>
      </c>
      <c r="H473" s="290">
        <f t="shared" ref="H473:H494" ca="1" si="53">F473*G473</f>
        <v>2.9952000000000003E-2</v>
      </c>
      <c r="I473" s="251"/>
      <c r="J473" s="289">
        <v>0.5</v>
      </c>
      <c r="K473" s="289">
        <v>1.2</v>
      </c>
      <c r="L473" s="289">
        <v>0</v>
      </c>
      <c r="M473" s="292">
        <v>0</v>
      </c>
    </row>
    <row r="474" spans="1:13" x14ac:dyDescent="0.25">
      <c r="A474" s="288">
        <v>2</v>
      </c>
      <c r="B474" s="264">
        <v>10</v>
      </c>
      <c r="C474" s="290">
        <f t="shared" ref="C474:C494" si="54">C473</f>
        <v>1.8</v>
      </c>
      <c r="D474" s="290">
        <f t="shared" si="51"/>
        <v>5.5555555555555554</v>
      </c>
      <c r="E474" s="264">
        <v>4.3070000000000004</v>
      </c>
      <c r="F474" s="290">
        <f t="shared" ca="1" si="52"/>
        <v>0.28444444444444444</v>
      </c>
      <c r="G474" s="290">
        <f t="shared" ref="G474:G494" ca="1" si="55">TREND(OFFSET($M$66,MATCH(E474,$L$67:$L$79),0,2,1),OFFSET($L$66,MATCH(E474,$L$67:$L$79),0,2,1),E474)</f>
        <v>0.10767500000000002</v>
      </c>
      <c r="H474" s="290">
        <f t="shared" ca="1" si="53"/>
        <v>3.0627555555555561E-2</v>
      </c>
      <c r="I474" s="251"/>
      <c r="J474" s="289">
        <v>1</v>
      </c>
      <c r="K474" s="289">
        <v>0.8</v>
      </c>
      <c r="L474" s="289">
        <v>5</v>
      </c>
      <c r="M474" s="292">
        <v>0.125</v>
      </c>
    </row>
    <row r="475" spans="1:13" x14ac:dyDescent="0.25">
      <c r="A475" s="288">
        <v>3</v>
      </c>
      <c r="B475" s="264">
        <v>10</v>
      </c>
      <c r="C475" s="290">
        <f t="shared" si="54"/>
        <v>1.8</v>
      </c>
      <c r="D475" s="290">
        <f t="shared" si="51"/>
        <v>5.5555555555555554</v>
      </c>
      <c r="E475" s="264">
        <v>20.524000000000001</v>
      </c>
      <c r="F475" s="290">
        <f t="shared" ca="1" si="52"/>
        <v>0.28444444444444444</v>
      </c>
      <c r="G475" s="290">
        <f t="shared" ca="1" si="55"/>
        <v>0.40786000000000006</v>
      </c>
      <c r="H475" s="290">
        <f t="shared" ca="1" si="53"/>
        <v>0.11601351111111112</v>
      </c>
      <c r="I475" s="251"/>
      <c r="J475" s="289">
        <v>1.5</v>
      </c>
      <c r="K475" s="289">
        <v>0.6</v>
      </c>
      <c r="L475" s="289">
        <v>10</v>
      </c>
      <c r="M475" s="292">
        <v>0.23</v>
      </c>
    </row>
    <row r="476" spans="1:13" x14ac:dyDescent="0.25">
      <c r="A476" s="288">
        <v>4</v>
      </c>
      <c r="B476" s="264">
        <v>10</v>
      </c>
      <c r="C476" s="290">
        <f t="shared" si="54"/>
        <v>1.8</v>
      </c>
      <c r="D476" s="290">
        <f t="shared" si="51"/>
        <v>5.5555555555555554</v>
      </c>
      <c r="E476" s="264">
        <v>21.055</v>
      </c>
      <c r="F476" s="290">
        <f t="shared" ca="1" si="52"/>
        <v>0.28444444444444444</v>
      </c>
      <c r="G476" s="290">
        <f t="shared" ca="1" si="55"/>
        <v>0.41582500000000006</v>
      </c>
      <c r="H476" s="290">
        <f t="shared" ca="1" si="53"/>
        <v>0.11827911111111113</v>
      </c>
      <c r="I476" s="251"/>
      <c r="J476" s="289">
        <v>2</v>
      </c>
      <c r="K476" s="289">
        <v>0.48</v>
      </c>
      <c r="L476" s="289">
        <v>20</v>
      </c>
      <c r="M476" s="292">
        <v>0.4</v>
      </c>
    </row>
    <row r="477" spans="1:13" x14ac:dyDescent="0.25">
      <c r="A477" s="288">
        <v>5</v>
      </c>
      <c r="B477" s="264">
        <v>10</v>
      </c>
      <c r="C477" s="290">
        <f t="shared" si="54"/>
        <v>1.8</v>
      </c>
      <c r="D477" s="290">
        <f t="shared" si="51"/>
        <v>5.5555555555555554</v>
      </c>
      <c r="E477" s="264">
        <v>3.758</v>
      </c>
      <c r="F477" s="290">
        <f t="shared" ca="1" si="52"/>
        <v>0.28444444444444444</v>
      </c>
      <c r="G477" s="290">
        <f t="shared" ca="1" si="55"/>
        <v>9.3950000000000006E-2</v>
      </c>
      <c r="H477" s="290">
        <f t="shared" ca="1" si="53"/>
        <v>2.6723555555555556E-2</v>
      </c>
      <c r="I477" s="251"/>
      <c r="J477" s="289">
        <v>3</v>
      </c>
      <c r="K477" s="289">
        <v>0.36</v>
      </c>
      <c r="L477" s="289">
        <v>30</v>
      </c>
      <c r="M477" s="292">
        <v>0.55000000000000004</v>
      </c>
    </row>
    <row r="478" spans="1:13" x14ac:dyDescent="0.25">
      <c r="A478" s="288">
        <v>6</v>
      </c>
      <c r="B478" s="264">
        <v>10</v>
      </c>
      <c r="C478" s="290">
        <f t="shared" si="54"/>
        <v>1.8</v>
      </c>
      <c r="D478" s="290">
        <f t="shared" si="51"/>
        <v>5.5555555555555554</v>
      </c>
      <c r="E478" s="264">
        <v>5.976</v>
      </c>
      <c r="F478" s="290">
        <f t="shared" ca="1" si="52"/>
        <v>0.28444444444444444</v>
      </c>
      <c r="G478" s="290">
        <f t="shared" ca="1" si="55"/>
        <v>0.14549600000000001</v>
      </c>
      <c r="H478" s="290">
        <f t="shared" ca="1" si="53"/>
        <v>4.1385528888888891E-2</v>
      </c>
      <c r="I478" s="251"/>
      <c r="J478" s="289">
        <v>4</v>
      </c>
      <c r="K478" s="289">
        <v>0.3</v>
      </c>
      <c r="L478" s="289">
        <v>40</v>
      </c>
      <c r="M478" s="292">
        <v>0.65</v>
      </c>
    </row>
    <row r="479" spans="1:13" x14ac:dyDescent="0.25">
      <c r="A479" s="288">
        <v>7</v>
      </c>
      <c r="B479" s="264">
        <v>10</v>
      </c>
      <c r="C479" s="290">
        <f t="shared" si="54"/>
        <v>1.8</v>
      </c>
      <c r="D479" s="290">
        <f t="shared" si="51"/>
        <v>5.5555555555555554</v>
      </c>
      <c r="E479" s="264">
        <v>7.1340000000000003</v>
      </c>
      <c r="F479" s="290">
        <f t="shared" ca="1" si="52"/>
        <v>0.28444444444444444</v>
      </c>
      <c r="G479" s="290">
        <f t="shared" ca="1" si="55"/>
        <v>0.16981400000000002</v>
      </c>
      <c r="H479" s="290">
        <f t="shared" ca="1" si="53"/>
        <v>4.8302648888888897E-2</v>
      </c>
      <c r="I479" s="251"/>
      <c r="J479" s="289">
        <v>5</v>
      </c>
      <c r="K479" s="289">
        <v>0.28999999999999998</v>
      </c>
      <c r="L479" s="289">
        <v>50</v>
      </c>
      <c r="M479" s="292">
        <v>0.75</v>
      </c>
    </row>
    <row r="480" spans="1:13" x14ac:dyDescent="0.25">
      <c r="A480" s="288">
        <v>8</v>
      </c>
      <c r="B480" s="264">
        <v>10</v>
      </c>
      <c r="C480" s="290">
        <f t="shared" si="54"/>
        <v>1.8</v>
      </c>
      <c r="D480" s="290">
        <f t="shared" si="51"/>
        <v>5.5555555555555554</v>
      </c>
      <c r="E480" s="264">
        <v>0.106</v>
      </c>
      <c r="F480" s="290">
        <f t="shared" ca="1" si="52"/>
        <v>0.28444444444444444</v>
      </c>
      <c r="G480" s="290">
        <f t="shared" ca="1" si="55"/>
        <v>2.6500000000000065E-3</v>
      </c>
      <c r="H480" s="290">
        <f t="shared" ca="1" si="53"/>
        <v>7.5377777777777964E-4</v>
      </c>
      <c r="I480" s="251"/>
      <c r="J480" s="289">
        <v>6</v>
      </c>
      <c r="K480" s="289">
        <v>0.28000000000000003</v>
      </c>
      <c r="L480" s="289">
        <v>60</v>
      </c>
      <c r="M480" s="292">
        <v>0.83</v>
      </c>
    </row>
    <row r="481" spans="1:13" x14ac:dyDescent="0.25">
      <c r="A481" s="288">
        <v>9</v>
      </c>
      <c r="B481" s="264">
        <v>10</v>
      </c>
      <c r="C481" s="290">
        <f t="shared" si="54"/>
        <v>1.8</v>
      </c>
      <c r="D481" s="290">
        <f t="shared" si="51"/>
        <v>5.5555555555555554</v>
      </c>
      <c r="E481" s="264">
        <v>0.73899999999999999</v>
      </c>
      <c r="F481" s="290">
        <f t="shared" ca="1" si="52"/>
        <v>0.28444444444444444</v>
      </c>
      <c r="G481" s="290">
        <f t="shared" ca="1" si="55"/>
        <v>1.8475000000000005E-2</v>
      </c>
      <c r="H481" s="290">
        <f t="shared" ca="1" si="53"/>
        <v>5.2551111111111123E-3</v>
      </c>
      <c r="I481" s="251"/>
      <c r="J481" s="289">
        <v>7</v>
      </c>
      <c r="K481" s="289">
        <v>0.27</v>
      </c>
      <c r="L481" s="289">
        <v>70</v>
      </c>
      <c r="M481" s="292">
        <v>0.88</v>
      </c>
    </row>
    <row r="482" spans="1:13" x14ac:dyDescent="0.25">
      <c r="A482" s="288">
        <v>10</v>
      </c>
      <c r="B482" s="264">
        <v>10</v>
      </c>
      <c r="C482" s="290">
        <f t="shared" si="54"/>
        <v>1.8</v>
      </c>
      <c r="D482" s="290">
        <f t="shared" si="51"/>
        <v>5.5555555555555554</v>
      </c>
      <c r="E482" s="264">
        <v>1.1000000000000001</v>
      </c>
      <c r="F482" s="290">
        <f t="shared" ca="1" si="52"/>
        <v>0.28444444444444444</v>
      </c>
      <c r="G482" s="290">
        <f t="shared" ca="1" si="55"/>
        <v>2.7500000000000007E-2</v>
      </c>
      <c r="H482" s="290">
        <f t="shared" ca="1" si="53"/>
        <v>7.8222222222222235E-3</v>
      </c>
      <c r="I482" s="251"/>
      <c r="J482" s="289">
        <v>8</v>
      </c>
      <c r="K482" s="289">
        <v>0.26</v>
      </c>
      <c r="L482" s="289">
        <v>80</v>
      </c>
      <c r="M482" s="292">
        <v>0.95</v>
      </c>
    </row>
    <row r="483" spans="1:13" x14ac:dyDescent="0.25">
      <c r="A483" s="288">
        <v>11</v>
      </c>
      <c r="B483" s="264">
        <v>10</v>
      </c>
      <c r="C483" s="290">
        <f t="shared" si="54"/>
        <v>1.8</v>
      </c>
      <c r="D483" s="290">
        <f t="shared" si="51"/>
        <v>5.5555555555555554</v>
      </c>
      <c r="E483" s="264">
        <v>9.3379999999999992</v>
      </c>
      <c r="F483" s="290">
        <f t="shared" ca="1" si="52"/>
        <v>0.28444444444444444</v>
      </c>
      <c r="G483" s="290">
        <f t="shared" ca="1" si="55"/>
        <v>0.21609799999999998</v>
      </c>
      <c r="H483" s="290">
        <f t="shared" ca="1" si="53"/>
        <v>6.1467875555555551E-2</v>
      </c>
      <c r="I483" s="251"/>
      <c r="J483" s="289">
        <v>9</v>
      </c>
      <c r="K483" s="289">
        <v>0.25</v>
      </c>
      <c r="L483" s="289">
        <v>90</v>
      </c>
      <c r="M483" s="292">
        <v>1</v>
      </c>
    </row>
    <row r="484" spans="1:13" x14ac:dyDescent="0.25">
      <c r="A484" s="288">
        <v>12</v>
      </c>
      <c r="B484" s="264">
        <v>10</v>
      </c>
      <c r="C484" s="290">
        <f t="shared" si="54"/>
        <v>1.8</v>
      </c>
      <c r="D484" s="290">
        <f t="shared" si="51"/>
        <v>5.5555555555555554</v>
      </c>
      <c r="E484" s="264">
        <v>10.898999999999999</v>
      </c>
      <c r="F484" s="290">
        <f t="shared" ca="1" si="52"/>
        <v>0.28444444444444444</v>
      </c>
      <c r="G484" s="290">
        <f t="shared" ca="1" si="55"/>
        <v>0.245283</v>
      </c>
      <c r="H484" s="290">
        <f t="shared" ca="1" si="53"/>
        <v>6.9769386666666669E-2</v>
      </c>
      <c r="I484" s="251"/>
      <c r="J484" s="289">
        <v>10</v>
      </c>
      <c r="K484" s="289">
        <v>0.24</v>
      </c>
      <c r="L484" s="289">
        <v>100</v>
      </c>
      <c r="M484" s="292">
        <v>1.05</v>
      </c>
    </row>
    <row r="485" spans="1:13" x14ac:dyDescent="0.25">
      <c r="A485" s="288">
        <v>13</v>
      </c>
      <c r="B485" s="264">
        <v>10</v>
      </c>
      <c r="C485" s="290">
        <f t="shared" si="54"/>
        <v>1.8</v>
      </c>
      <c r="D485" s="290">
        <f t="shared" si="51"/>
        <v>5.5555555555555554</v>
      </c>
      <c r="E485" s="264">
        <v>11.486000000000001</v>
      </c>
      <c r="F485" s="290">
        <f t="shared" ca="1" si="52"/>
        <v>0.28444444444444444</v>
      </c>
      <c r="G485" s="290">
        <f t="shared" ca="1" si="55"/>
        <v>0.25526199999999999</v>
      </c>
      <c r="H485" s="290">
        <f t="shared" ca="1" si="53"/>
        <v>7.2607857777777771E-2</v>
      </c>
      <c r="I485" s="251"/>
      <c r="J485" s="289">
        <v>11</v>
      </c>
      <c r="K485" s="289">
        <v>0.23</v>
      </c>
      <c r="L485" s="289">
        <v>120</v>
      </c>
      <c r="M485" s="292">
        <v>1.1299999999999999</v>
      </c>
    </row>
    <row r="486" spans="1:13" x14ac:dyDescent="0.25">
      <c r="A486" s="288">
        <v>14</v>
      </c>
      <c r="B486" s="264">
        <v>10</v>
      </c>
      <c r="C486" s="290">
        <f t="shared" si="54"/>
        <v>1.8</v>
      </c>
      <c r="D486" s="290">
        <f t="shared" si="51"/>
        <v>5.5555555555555554</v>
      </c>
      <c r="E486" s="264">
        <v>11.276999999999999</v>
      </c>
      <c r="F486" s="290">
        <f t="shared" ca="1" si="52"/>
        <v>0.28444444444444444</v>
      </c>
      <c r="G486" s="290">
        <f t="shared" ca="1" si="55"/>
        <v>0.25170899999999996</v>
      </c>
      <c r="H486" s="290">
        <f t="shared" ca="1" si="53"/>
        <v>7.1597226666666652E-2</v>
      </c>
      <c r="I486" s="251"/>
      <c r="J486" s="289"/>
      <c r="K486" s="289"/>
      <c r="L486" s="289">
        <v>140</v>
      </c>
      <c r="M486" s="292">
        <v>1.2</v>
      </c>
    </row>
    <row r="487" spans="1:13" x14ac:dyDescent="0.25">
      <c r="A487" s="288">
        <v>15</v>
      </c>
      <c r="B487" s="264">
        <v>10</v>
      </c>
      <c r="C487" s="290">
        <f t="shared" si="54"/>
        <v>1.8</v>
      </c>
      <c r="D487" s="290">
        <f t="shared" si="51"/>
        <v>5.5555555555555554</v>
      </c>
      <c r="E487" s="264">
        <v>0.222</v>
      </c>
      <c r="F487" s="290">
        <f t="shared" ca="1" si="52"/>
        <v>0.28444444444444444</v>
      </c>
      <c r="G487" s="290">
        <f t="shared" ca="1" si="55"/>
        <v>5.5500000000000063E-3</v>
      </c>
      <c r="H487" s="290">
        <f t="shared" ca="1" si="53"/>
        <v>1.5786666666666685E-3</v>
      </c>
      <c r="I487" s="251"/>
      <c r="J487" s="251"/>
      <c r="K487" s="251"/>
      <c r="L487" s="251"/>
      <c r="M487" s="278"/>
    </row>
    <row r="488" spans="1:13" x14ac:dyDescent="0.25">
      <c r="A488" s="288">
        <v>16</v>
      </c>
      <c r="B488" s="264">
        <v>10</v>
      </c>
      <c r="C488" s="290">
        <f t="shared" si="54"/>
        <v>1.8</v>
      </c>
      <c r="D488" s="290">
        <f t="shared" si="51"/>
        <v>5.5555555555555554</v>
      </c>
      <c r="E488" s="264">
        <v>0.22800000000000001</v>
      </c>
      <c r="F488" s="290">
        <f t="shared" ca="1" si="52"/>
        <v>0.28444444444444444</v>
      </c>
      <c r="G488" s="290">
        <f t="shared" ca="1" si="55"/>
        <v>5.7000000000000063E-3</v>
      </c>
      <c r="H488" s="290">
        <f t="shared" ca="1" si="53"/>
        <v>1.6213333333333351E-3</v>
      </c>
      <c r="I488" s="251"/>
      <c r="J488" s="251"/>
      <c r="K488" s="251"/>
      <c r="L488" s="251"/>
      <c r="M488" s="278"/>
    </row>
    <row r="489" spans="1:13" x14ac:dyDescent="0.25">
      <c r="A489" s="288">
        <v>17</v>
      </c>
      <c r="B489" s="264">
        <v>10</v>
      </c>
      <c r="C489" s="290">
        <f t="shared" si="54"/>
        <v>1.8</v>
      </c>
      <c r="D489" s="290">
        <f t="shared" si="51"/>
        <v>5.5555555555555554</v>
      </c>
      <c r="E489" s="264">
        <v>0.35899999999999999</v>
      </c>
      <c r="F489" s="290">
        <f t="shared" ca="1" si="52"/>
        <v>0.28444444444444444</v>
      </c>
      <c r="G489" s="290">
        <f t="shared" ca="1" si="55"/>
        <v>8.9750000000000055E-3</v>
      </c>
      <c r="H489" s="290">
        <f t="shared" ca="1" si="53"/>
        <v>2.5528888888888906E-3</v>
      </c>
      <c r="I489" s="251"/>
      <c r="J489" s="251"/>
      <c r="K489" s="251"/>
      <c r="L489" s="251"/>
      <c r="M489" s="278"/>
    </row>
    <row r="490" spans="1:13" x14ac:dyDescent="0.25">
      <c r="A490" s="288">
        <v>18</v>
      </c>
      <c r="B490" s="264">
        <v>10</v>
      </c>
      <c r="C490" s="290">
        <f t="shared" si="54"/>
        <v>1.8</v>
      </c>
      <c r="D490" s="290">
        <f t="shared" si="51"/>
        <v>5.5555555555555554</v>
      </c>
      <c r="E490" s="264">
        <v>25.042999999999999</v>
      </c>
      <c r="F490" s="290">
        <f t="shared" ca="1" si="52"/>
        <v>0.28444444444444444</v>
      </c>
      <c r="G490" s="290">
        <f t="shared" ca="1" si="55"/>
        <v>0.47564500000000004</v>
      </c>
      <c r="H490" s="290">
        <f t="shared" ca="1" si="53"/>
        <v>0.13529457777777779</v>
      </c>
      <c r="I490" s="251"/>
      <c r="J490" s="251"/>
      <c r="K490" s="251"/>
      <c r="L490" s="251"/>
      <c r="M490" s="278"/>
    </row>
    <row r="491" spans="1:13" x14ac:dyDescent="0.25">
      <c r="A491" s="288">
        <v>19</v>
      </c>
      <c r="B491" s="264">
        <v>10</v>
      </c>
      <c r="C491" s="290">
        <f t="shared" si="54"/>
        <v>1.8</v>
      </c>
      <c r="D491" s="290">
        <f t="shared" si="51"/>
        <v>5.5555555555555554</v>
      </c>
      <c r="E491" s="264">
        <v>45.49</v>
      </c>
      <c r="F491" s="290">
        <f t="shared" ca="1" si="52"/>
        <v>0.28444444444444444</v>
      </c>
      <c r="G491" s="290">
        <f t="shared" ca="1" si="55"/>
        <v>0.70489999999999997</v>
      </c>
      <c r="H491" s="290">
        <f t="shared" ca="1" si="53"/>
        <v>0.20050488888888887</v>
      </c>
      <c r="I491" s="251"/>
      <c r="J491" s="251"/>
      <c r="K491" s="251"/>
      <c r="L491" s="251"/>
      <c r="M491" s="278"/>
    </row>
    <row r="492" spans="1:13" x14ac:dyDescent="0.25">
      <c r="A492" s="288">
        <v>20</v>
      </c>
      <c r="B492" s="264">
        <v>10</v>
      </c>
      <c r="C492" s="290">
        <f t="shared" si="54"/>
        <v>1.8</v>
      </c>
      <c r="D492" s="290">
        <f t="shared" si="51"/>
        <v>5.5555555555555554</v>
      </c>
      <c r="E492" s="264">
        <v>8.9990000000000006</v>
      </c>
      <c r="F492" s="290">
        <f t="shared" ca="1" si="52"/>
        <v>0.28444444444444444</v>
      </c>
      <c r="G492" s="290">
        <f t="shared" ca="1" si="55"/>
        <v>0.208979</v>
      </c>
      <c r="H492" s="290">
        <f t="shared" ca="1" si="53"/>
        <v>5.9442915555555552E-2</v>
      </c>
      <c r="I492" s="251"/>
      <c r="J492" s="251"/>
      <c r="K492" s="251"/>
      <c r="L492" s="251"/>
      <c r="M492" s="278"/>
    </row>
    <row r="493" spans="1:13" x14ac:dyDescent="0.25">
      <c r="A493" s="288">
        <v>21</v>
      </c>
      <c r="B493" s="264">
        <v>10</v>
      </c>
      <c r="C493" s="290">
        <f t="shared" si="54"/>
        <v>1.8</v>
      </c>
      <c r="D493" s="290">
        <f t="shared" si="51"/>
        <v>5.5555555555555554</v>
      </c>
      <c r="E493" s="264">
        <v>18.683</v>
      </c>
      <c r="F493" s="290">
        <f t="shared" ca="1" si="52"/>
        <v>0.28444444444444444</v>
      </c>
      <c r="G493" s="290">
        <f t="shared" ca="1" si="55"/>
        <v>0.37761100000000003</v>
      </c>
      <c r="H493" s="290">
        <f t="shared" ca="1" si="53"/>
        <v>0.10740935111111112</v>
      </c>
      <c r="I493" s="251"/>
      <c r="J493" s="251"/>
      <c r="K493" s="251"/>
      <c r="L493" s="251"/>
      <c r="M493" s="278"/>
    </row>
    <row r="494" spans="1:13" x14ac:dyDescent="0.25">
      <c r="A494" s="288">
        <v>22</v>
      </c>
      <c r="B494" s="264">
        <v>10</v>
      </c>
      <c r="C494" s="290">
        <f t="shared" si="54"/>
        <v>1.8</v>
      </c>
      <c r="D494" s="290">
        <f t="shared" si="51"/>
        <v>5.5555555555555554</v>
      </c>
      <c r="E494" s="264">
        <v>1.425</v>
      </c>
      <c r="F494" s="290">
        <f t="shared" ca="1" si="52"/>
        <v>0.28444444444444444</v>
      </c>
      <c r="G494" s="290">
        <f t="shared" ca="1" si="55"/>
        <v>3.5625000000000004E-2</v>
      </c>
      <c r="H494" s="290">
        <f t="shared" ca="1" si="53"/>
        <v>1.0133333333333334E-2</v>
      </c>
      <c r="I494" s="251"/>
      <c r="J494" s="251"/>
      <c r="K494" s="251"/>
      <c r="L494" s="251"/>
      <c r="M494" s="278"/>
    </row>
    <row r="495" spans="1:13" ht="16.2" x14ac:dyDescent="0.3">
      <c r="A495" s="387" t="s">
        <v>203</v>
      </c>
      <c r="B495" s="388"/>
      <c r="C495" s="388"/>
      <c r="D495" s="388"/>
      <c r="E495" s="388"/>
      <c r="F495" s="388"/>
      <c r="G495" s="388"/>
      <c r="H495" s="291">
        <f ca="1">SUM(H473:H494)</f>
        <v>1.2190953244444447</v>
      </c>
      <c r="I495" s="293"/>
      <c r="J495" s="293"/>
      <c r="K495" s="293"/>
      <c r="L495" s="293"/>
      <c r="M495" s="294"/>
    </row>
    <row r="498" spans="1:13" ht="14.4" x14ac:dyDescent="0.25">
      <c r="A498" s="244" t="s">
        <v>220</v>
      </c>
      <c r="C498" s="240"/>
    </row>
    <row r="499" spans="1:13" x14ac:dyDescent="0.25">
      <c r="A499" s="245" t="s">
        <v>138</v>
      </c>
      <c r="B499" s="246"/>
      <c r="C499" s="246"/>
      <c r="D499" s="246"/>
      <c r="E499" s="246"/>
      <c r="F499" s="246"/>
      <c r="G499" s="246"/>
      <c r="H499" s="246"/>
      <c r="I499" s="246"/>
      <c r="J499" s="246"/>
      <c r="K499" s="246"/>
      <c r="L499" s="246"/>
      <c r="M499" s="277"/>
    </row>
    <row r="500" spans="1:13" ht="14.4" x14ac:dyDescent="0.25">
      <c r="A500" s="247" t="s">
        <v>139</v>
      </c>
      <c r="B500" s="248"/>
      <c r="C500" s="249" t="s">
        <v>140</v>
      </c>
      <c r="D500" s="250" t="s">
        <v>141</v>
      </c>
      <c r="E500" s="249" t="s">
        <v>142</v>
      </c>
      <c r="F500" s="251"/>
      <c r="G500" s="251"/>
      <c r="H500" s="251"/>
      <c r="I500" s="251"/>
      <c r="J500" s="251"/>
      <c r="K500" s="251"/>
      <c r="L500" s="251"/>
      <c r="M500" s="278"/>
    </row>
    <row r="501" spans="1:13" ht="14.4" x14ac:dyDescent="0.25">
      <c r="A501" s="247"/>
      <c r="B501" s="248" t="s">
        <v>143</v>
      </c>
      <c r="C501" s="229">
        <v>3.1</v>
      </c>
      <c r="D501" s="252">
        <f>C501*1.25</f>
        <v>3.875</v>
      </c>
      <c r="E501" s="231">
        <f>C501*0.4</f>
        <v>1.2400000000000002</v>
      </c>
      <c r="F501" s="251"/>
      <c r="G501" s="251"/>
      <c r="H501" s="251"/>
      <c r="I501" s="251"/>
      <c r="J501" s="251"/>
      <c r="K501" s="251"/>
      <c r="L501" s="251"/>
      <c r="M501" s="278"/>
    </row>
    <row r="502" spans="1:13" ht="14.4" x14ac:dyDescent="0.25">
      <c r="A502" s="247"/>
      <c r="B502" s="248" t="s">
        <v>144</v>
      </c>
      <c r="C502" s="253">
        <v>1</v>
      </c>
      <c r="D502" s="254">
        <f>C502</f>
        <v>1</v>
      </c>
      <c r="E502" s="255">
        <f>D502</f>
        <v>1</v>
      </c>
      <c r="F502" s="251"/>
      <c r="G502" s="251"/>
      <c r="H502" s="251"/>
      <c r="I502" s="251"/>
      <c r="J502" s="251"/>
      <c r="K502" s="251"/>
      <c r="L502" s="251"/>
      <c r="M502" s="278"/>
    </row>
    <row r="503" spans="1:13" ht="14.4" x14ac:dyDescent="0.25">
      <c r="A503" s="247"/>
      <c r="B503" s="248" t="s">
        <v>145</v>
      </c>
      <c r="C503" s="231">
        <f>C501/C502</f>
        <v>3.1</v>
      </c>
      <c r="D503" s="252">
        <f>D501/D502</f>
        <v>3.875</v>
      </c>
      <c r="E503" s="231">
        <f>E501/E502</f>
        <v>1.2400000000000002</v>
      </c>
      <c r="F503" s="251"/>
      <c r="G503" s="251"/>
      <c r="H503" s="251"/>
      <c r="I503" s="251"/>
      <c r="J503" s="251"/>
      <c r="K503" s="251"/>
      <c r="L503" s="251"/>
      <c r="M503" s="278"/>
    </row>
    <row r="504" spans="1:13" ht="14.4" x14ac:dyDescent="0.25">
      <c r="A504" s="247"/>
      <c r="B504" s="248" t="s">
        <v>146</v>
      </c>
      <c r="C504" s="256">
        <v>622</v>
      </c>
      <c r="D504" s="252">
        <f t="shared" ref="D504:E506" si="56">C504</f>
        <v>622</v>
      </c>
      <c r="E504" s="231">
        <f t="shared" si="56"/>
        <v>622</v>
      </c>
      <c r="F504" s="251"/>
      <c r="G504" s="251"/>
      <c r="H504" s="251"/>
      <c r="I504" s="251"/>
      <c r="J504" s="251"/>
      <c r="K504" s="251"/>
      <c r="L504" s="251"/>
      <c r="M504" s="278"/>
    </row>
    <row r="505" spans="1:13" ht="14.4" x14ac:dyDescent="0.25">
      <c r="A505" s="247"/>
      <c r="B505" s="248" t="s">
        <v>134</v>
      </c>
      <c r="C505" s="257">
        <v>0.01</v>
      </c>
      <c r="D505" s="258">
        <f t="shared" si="56"/>
        <v>0.01</v>
      </c>
      <c r="E505" s="258">
        <f t="shared" si="56"/>
        <v>0.01</v>
      </c>
      <c r="F505" s="251"/>
      <c r="G505" s="251"/>
      <c r="H505" s="251"/>
      <c r="I505" s="251"/>
      <c r="J505" s="251"/>
      <c r="K505" s="251"/>
      <c r="L505" s="251"/>
      <c r="M505" s="278"/>
    </row>
    <row r="506" spans="1:13" ht="14.4" x14ac:dyDescent="0.25">
      <c r="A506" s="247"/>
      <c r="B506" s="248" t="s">
        <v>147</v>
      </c>
      <c r="C506" s="229">
        <v>1.8</v>
      </c>
      <c r="D506" s="252">
        <f t="shared" si="56"/>
        <v>1.8</v>
      </c>
      <c r="E506" s="231">
        <f t="shared" si="56"/>
        <v>1.8</v>
      </c>
      <c r="F506" s="251"/>
      <c r="G506" s="251"/>
      <c r="H506" s="251"/>
      <c r="I506" s="251"/>
      <c r="J506" s="251"/>
      <c r="K506" s="251"/>
      <c r="L506" s="251"/>
      <c r="M506" s="278"/>
    </row>
    <row r="507" spans="1:13" ht="14.4" x14ac:dyDescent="0.25">
      <c r="A507" s="247"/>
      <c r="B507" s="248" t="s">
        <v>148</v>
      </c>
      <c r="C507" s="252">
        <f>4*C503/(C506^2*PI())</f>
        <v>1.2182230211972236</v>
      </c>
      <c r="D507" s="252">
        <f>4*D503/(D506^2*PI())</f>
        <v>1.5227787764965293</v>
      </c>
      <c r="E507" s="252">
        <f>4*E503/(E506^2*PI())</f>
        <v>0.48728920847888946</v>
      </c>
      <c r="F507" s="251"/>
      <c r="G507" s="251"/>
      <c r="H507" s="251"/>
      <c r="I507" s="251"/>
      <c r="J507" s="251"/>
      <c r="K507" s="251"/>
      <c r="L507" s="251"/>
      <c r="M507" s="278"/>
    </row>
    <row r="508" spans="1:13" ht="14.4" x14ac:dyDescent="0.25">
      <c r="A508" s="247"/>
      <c r="B508" s="248" t="s">
        <v>149</v>
      </c>
      <c r="C508" s="231">
        <f>C503/C507</f>
        <v>2.5446900494077327</v>
      </c>
      <c r="D508" s="252">
        <f>D503/D507</f>
        <v>2.5446900494077327</v>
      </c>
      <c r="E508" s="231">
        <f>E503/E507</f>
        <v>2.5446900494077327</v>
      </c>
      <c r="F508" s="251"/>
      <c r="G508" s="251"/>
      <c r="H508" s="251"/>
      <c r="I508" s="251"/>
      <c r="J508" s="251"/>
      <c r="K508" s="251"/>
      <c r="L508" s="251"/>
      <c r="M508" s="278"/>
    </row>
    <row r="509" spans="1:13" ht="14.4" x14ac:dyDescent="0.25">
      <c r="A509" s="247" t="s">
        <v>150</v>
      </c>
      <c r="B509" s="248"/>
      <c r="C509" s="248"/>
      <c r="D509" s="259"/>
      <c r="E509" s="248"/>
      <c r="F509" s="251"/>
      <c r="G509" s="389" t="s">
        <v>151</v>
      </c>
      <c r="H509" s="390"/>
      <c r="I509" s="390"/>
      <c r="J509" s="390"/>
      <c r="K509" s="391"/>
      <c r="L509" s="251"/>
      <c r="M509" s="278"/>
    </row>
    <row r="510" spans="1:13" ht="14.4" x14ac:dyDescent="0.25">
      <c r="A510" s="247" t="s">
        <v>152</v>
      </c>
      <c r="B510" s="248" t="s">
        <v>153</v>
      </c>
      <c r="C510" s="231">
        <f>C506/4</f>
        <v>0.45</v>
      </c>
      <c r="D510" s="252">
        <f>D506/4</f>
        <v>0.45</v>
      </c>
      <c r="E510" s="231">
        <f>E506/4</f>
        <v>0.45</v>
      </c>
      <c r="F510" s="251"/>
      <c r="G510" s="381" t="s">
        <v>154</v>
      </c>
      <c r="H510" s="260" t="s">
        <v>155</v>
      </c>
      <c r="I510" s="261" t="s">
        <v>156</v>
      </c>
      <c r="J510" s="261" t="s">
        <v>157</v>
      </c>
      <c r="K510" s="279" t="s">
        <v>158</v>
      </c>
      <c r="L510" s="251"/>
      <c r="M510" s="278"/>
    </row>
    <row r="511" spans="1:13" ht="16.8" x14ac:dyDescent="0.25">
      <c r="A511" s="247"/>
      <c r="B511" s="248" t="s">
        <v>159</v>
      </c>
      <c r="C511" s="231">
        <f>C510^(1/6)/C505</f>
        <v>87.539101685678332</v>
      </c>
      <c r="D511" s="252">
        <f>D510^(1/6)/D505</f>
        <v>87.539101685678332</v>
      </c>
      <c r="E511" s="231">
        <f>E510^(1/6)/E505</f>
        <v>87.539101685678332</v>
      </c>
      <c r="F511" s="251"/>
      <c r="G511" s="382"/>
      <c r="H511" s="261" t="s">
        <v>160</v>
      </c>
      <c r="I511" s="261" t="s">
        <v>161</v>
      </c>
      <c r="J511" s="261" t="s">
        <v>162</v>
      </c>
      <c r="K511" s="279" t="s">
        <v>163</v>
      </c>
      <c r="L511" s="251"/>
      <c r="M511" s="278"/>
    </row>
    <row r="512" spans="1:13" ht="16.8" x14ac:dyDescent="0.25">
      <c r="A512" s="247"/>
      <c r="B512" s="248" t="s">
        <v>164</v>
      </c>
      <c r="C512" s="231">
        <f>8*9.81/C511^2</f>
        <v>1.0241293749297747E-2</v>
      </c>
      <c r="D512" s="252">
        <f>8*9.81/D511^2</f>
        <v>1.0241293749297747E-2</v>
      </c>
      <c r="E512" s="231">
        <f>8*9.81/E511^2</f>
        <v>1.0241293749297747E-2</v>
      </c>
      <c r="F512" s="251"/>
      <c r="G512" s="262" t="s">
        <v>221</v>
      </c>
      <c r="H512" s="263">
        <f>C508</f>
        <v>2.5446900494077327</v>
      </c>
      <c r="I512" s="263">
        <f>I518*I519</f>
        <v>9.1890000000000001</v>
      </c>
      <c r="J512" s="263">
        <f>H512/I512</f>
        <v>0.27692785389136276</v>
      </c>
      <c r="K512" s="280">
        <f ca="1">TREND(OFFSET($L$51,MATCH(J512,$K$52:$K$60),0,2,1),OFFSET($K$51,MATCH(J512,$K$52:$K$60),0,2,1),J512)</f>
        <v>0.45537315066072936</v>
      </c>
      <c r="L512" s="251"/>
      <c r="M512" s="278"/>
    </row>
    <row r="513" spans="1:15" ht="16.8" x14ac:dyDescent="0.25">
      <c r="A513" s="247"/>
      <c r="B513" s="248" t="s">
        <v>166</v>
      </c>
      <c r="C513" s="231">
        <f>C512*C504*C507^2/(4*C510*2*9.81)</f>
        <v>0.26768701456913169</v>
      </c>
      <c r="D513" s="252">
        <f>D512*D504*D507^2/(4*D510*2*9.81)</f>
        <v>0.41826096026426807</v>
      </c>
      <c r="E513" s="231">
        <f>E512*E504*E507^2/(4*E510*2*9.81)</f>
        <v>4.2829922331061067E-2</v>
      </c>
      <c r="F513" s="251"/>
      <c r="G513" s="251"/>
      <c r="H513" s="251"/>
      <c r="I513" s="251"/>
      <c r="J513" s="251"/>
      <c r="K513" s="251"/>
      <c r="L513" s="251"/>
      <c r="M513" s="278"/>
      <c r="O513" s="281">
        <f>0.64-(0.64-0.4)/0.1*(J512-0.2)</f>
        <v>0.45537315066072942</v>
      </c>
    </row>
    <row r="514" spans="1:15" ht="14.4" x14ac:dyDescent="0.25">
      <c r="A514" s="247" t="s">
        <v>167</v>
      </c>
      <c r="B514" s="248" t="s">
        <v>168</v>
      </c>
      <c r="C514" s="264">
        <v>0.25</v>
      </c>
      <c r="D514" s="252">
        <f t="shared" ref="D514:E519" si="57">C514</f>
        <v>0.25</v>
      </c>
      <c r="E514" s="231">
        <f t="shared" si="57"/>
        <v>0.25</v>
      </c>
      <c r="F514" s="251"/>
      <c r="G514" s="251"/>
      <c r="H514" s="251"/>
      <c r="I514" s="251"/>
      <c r="J514" s="251"/>
      <c r="K514" s="251"/>
      <c r="L514" s="251"/>
      <c r="M514" s="278"/>
    </row>
    <row r="515" spans="1:15" ht="15.6" x14ac:dyDescent="0.25">
      <c r="A515" s="247"/>
      <c r="B515" s="248" t="s">
        <v>169</v>
      </c>
      <c r="C515" s="264">
        <f>0.1*2</f>
        <v>0.2</v>
      </c>
      <c r="D515" s="252">
        <f t="shared" si="57"/>
        <v>0.2</v>
      </c>
      <c r="E515" s="231">
        <f t="shared" si="57"/>
        <v>0.2</v>
      </c>
      <c r="F515" s="251"/>
      <c r="G515" s="383" t="s">
        <v>170</v>
      </c>
      <c r="H515" s="265" t="s">
        <v>171</v>
      </c>
      <c r="I515" s="282"/>
      <c r="J515" s="251"/>
      <c r="K515" s="238" t="s">
        <v>162</v>
      </c>
      <c r="L515" s="238" t="s">
        <v>163</v>
      </c>
      <c r="M515" s="278"/>
    </row>
    <row r="516" spans="1:15" ht="15.6" x14ac:dyDescent="0.25">
      <c r="A516" s="247"/>
      <c r="B516" s="248" t="s">
        <v>172</v>
      </c>
      <c r="C516" s="264">
        <v>0.02</v>
      </c>
      <c r="D516" s="252">
        <f t="shared" si="57"/>
        <v>0.02</v>
      </c>
      <c r="E516" s="231">
        <f t="shared" si="57"/>
        <v>0.02</v>
      </c>
      <c r="F516" s="251"/>
      <c r="G516" s="384"/>
      <c r="H516" s="266" t="s">
        <v>173</v>
      </c>
      <c r="I516" s="283">
        <v>1.5629999999999999</v>
      </c>
      <c r="J516" s="251"/>
      <c r="K516" s="238">
        <v>0.1</v>
      </c>
      <c r="L516" s="238">
        <v>0.81</v>
      </c>
      <c r="M516" s="278"/>
    </row>
    <row r="517" spans="1:15" ht="16.2" x14ac:dyDescent="0.25">
      <c r="A517" s="247"/>
      <c r="B517" s="248" t="s">
        <v>174</v>
      </c>
      <c r="C517" s="264">
        <v>0.1</v>
      </c>
      <c r="D517" s="252">
        <f t="shared" si="57"/>
        <v>0.1</v>
      </c>
      <c r="E517" s="231">
        <f t="shared" si="57"/>
        <v>0.1</v>
      </c>
      <c r="F517" s="251"/>
      <c r="G517" s="384"/>
      <c r="H517" s="266" t="s">
        <v>175</v>
      </c>
      <c r="I517" s="284"/>
      <c r="J517" s="251"/>
      <c r="K517" s="238">
        <v>0.2</v>
      </c>
      <c r="L517" s="238">
        <v>0.64</v>
      </c>
      <c r="M517" s="278"/>
    </row>
    <row r="518" spans="1:15" ht="15.6" x14ac:dyDescent="0.25">
      <c r="A518" s="247"/>
      <c r="B518" s="248" t="s">
        <v>176</v>
      </c>
      <c r="C518" s="264">
        <v>80</v>
      </c>
      <c r="D518" s="252">
        <f t="shared" si="57"/>
        <v>80</v>
      </c>
      <c r="E518" s="231">
        <f t="shared" si="57"/>
        <v>80</v>
      </c>
      <c r="F518" s="251"/>
      <c r="G518" s="384"/>
      <c r="H518" s="266" t="s">
        <v>177</v>
      </c>
      <c r="I518" s="283">
        <f>I516+1.5</f>
        <v>3.0629999999999997</v>
      </c>
      <c r="J518" s="251"/>
      <c r="K518" s="238">
        <v>0.3</v>
      </c>
      <c r="L518" s="238">
        <v>0.4</v>
      </c>
      <c r="M518" s="278"/>
    </row>
    <row r="519" spans="1:15" ht="15.6" x14ac:dyDescent="0.25">
      <c r="A519" s="247"/>
      <c r="B519" s="248" t="s">
        <v>178</v>
      </c>
      <c r="C519" s="264">
        <v>1.83</v>
      </c>
      <c r="D519" s="252">
        <f t="shared" si="57"/>
        <v>1.83</v>
      </c>
      <c r="E519" s="231">
        <f t="shared" si="57"/>
        <v>1.83</v>
      </c>
      <c r="F519" s="251"/>
      <c r="G519" s="384"/>
      <c r="H519" s="266" t="s">
        <v>179</v>
      </c>
      <c r="I519" s="283">
        <v>3</v>
      </c>
      <c r="K519" s="238">
        <v>0.4</v>
      </c>
      <c r="L519" s="238">
        <v>0.36</v>
      </c>
      <c r="M519" s="278"/>
    </row>
    <row r="520" spans="1:15" ht="16.8" x14ac:dyDescent="0.25">
      <c r="A520" s="247"/>
      <c r="B520" s="248" t="s">
        <v>180</v>
      </c>
      <c r="C520" s="231">
        <f>C519*(C516/C517)^(4/3)*SIN(C518/180*PI())</f>
        <v>0.21078637878092679</v>
      </c>
      <c r="D520" s="252">
        <f>D519*(D516/D517)^(4/3)*SIN(D518/180*PI())</f>
        <v>0.21078637878092679</v>
      </c>
      <c r="E520" s="231">
        <f>E519*(E516/E517)^(4/3)*SIN(E518/180*PI())</f>
        <v>0.21078637878092679</v>
      </c>
      <c r="F520" s="251"/>
      <c r="G520" s="384"/>
      <c r="H520" s="266" t="s">
        <v>181</v>
      </c>
      <c r="I520" s="284"/>
      <c r="K520" s="238">
        <v>0.5</v>
      </c>
      <c r="L520" s="238">
        <v>0.25</v>
      </c>
      <c r="M520" s="278"/>
    </row>
    <row r="521" spans="1:15" ht="15.6" x14ac:dyDescent="0.25">
      <c r="A521" s="247"/>
      <c r="B521" s="247" t="s">
        <v>182</v>
      </c>
      <c r="C521" s="231">
        <f ca="1">H553</f>
        <v>1.5940252444444445</v>
      </c>
      <c r="D521" s="252">
        <f t="shared" ref="D521:E523" ca="1" si="58">C521</f>
        <v>1.5940252444444445</v>
      </c>
      <c r="E521" s="231">
        <f t="shared" ca="1" si="58"/>
        <v>1.5940252444444445</v>
      </c>
      <c r="F521" s="251"/>
      <c r="G521" s="384"/>
      <c r="H521" s="266" t="s">
        <v>183</v>
      </c>
      <c r="I521" s="284"/>
      <c r="K521" s="238">
        <v>0.6</v>
      </c>
      <c r="L521" s="238">
        <v>0.16</v>
      </c>
      <c r="M521" s="278"/>
    </row>
    <row r="522" spans="1:15" ht="16.2" x14ac:dyDescent="0.25">
      <c r="A522" s="247"/>
      <c r="B522" s="247" t="s">
        <v>184</v>
      </c>
      <c r="C522" s="264">
        <f ca="1">K512</f>
        <v>0.45537315066072936</v>
      </c>
      <c r="D522" s="252">
        <f t="shared" ca="1" si="58"/>
        <v>0.45537315066072936</v>
      </c>
      <c r="E522" s="231">
        <f t="shared" ca="1" si="58"/>
        <v>0.45537315066072936</v>
      </c>
      <c r="F522" s="251"/>
      <c r="G522" s="385"/>
      <c r="H522" s="266" t="s">
        <v>185</v>
      </c>
      <c r="I522" s="284"/>
      <c r="K522" s="238">
        <v>0.7</v>
      </c>
      <c r="L522" s="238">
        <v>0.09</v>
      </c>
      <c r="M522" s="278"/>
    </row>
    <row r="523" spans="1:15" ht="16.2" x14ac:dyDescent="0.25">
      <c r="A523" s="247"/>
      <c r="B523" s="248" t="s">
        <v>216</v>
      </c>
      <c r="C523" s="264">
        <f>0.1*2</f>
        <v>0.2</v>
      </c>
      <c r="D523" s="252">
        <f t="shared" si="58"/>
        <v>0.2</v>
      </c>
      <c r="E523" s="231">
        <f t="shared" si="58"/>
        <v>0.2</v>
      </c>
      <c r="F523" s="251"/>
      <c r="G523" s="386"/>
      <c r="H523" s="267" t="s">
        <v>187</v>
      </c>
      <c r="I523" s="285"/>
      <c r="J523" s="251"/>
      <c r="K523" s="238">
        <v>0.8</v>
      </c>
      <c r="L523" s="238">
        <v>0.04</v>
      </c>
      <c r="M523" s="278"/>
    </row>
    <row r="524" spans="1:15" ht="14.4" x14ac:dyDescent="0.25">
      <c r="A524" s="247"/>
      <c r="B524" s="248" t="s">
        <v>188</v>
      </c>
      <c r="C524" s="231">
        <f ca="1">C523+C520+C515+C514+C522+C521</f>
        <v>2.9101847738861006</v>
      </c>
      <c r="D524" s="252">
        <f ca="1">D523+D520+D515+D514+D522+D521</f>
        <v>2.9101847738861006</v>
      </c>
      <c r="E524" s="231">
        <f ca="1">E523+E520+E515+E514+E522+E521</f>
        <v>2.9101847738861006</v>
      </c>
      <c r="F524" s="251"/>
      <c r="G524" s="251"/>
      <c r="H524" s="251"/>
      <c r="I524" s="251"/>
      <c r="J524" s="251"/>
      <c r="K524" s="238">
        <v>0.9</v>
      </c>
      <c r="L524" s="238">
        <v>0.01</v>
      </c>
      <c r="M524" s="278"/>
    </row>
    <row r="525" spans="1:15" ht="16.8" x14ac:dyDescent="0.25">
      <c r="A525" s="247"/>
      <c r="B525" s="248" t="s">
        <v>189</v>
      </c>
      <c r="C525" s="231">
        <f ca="1">C524*C507^2/2/9.81</f>
        <v>0.22012793809218228</v>
      </c>
      <c r="D525" s="252">
        <f ca="1">D524*D507^2/2/9.81</f>
        <v>0.34394990326903468</v>
      </c>
      <c r="E525" s="231">
        <f ca="1">E524*E507^2/2/9.81</f>
        <v>3.5220470094749171E-2</v>
      </c>
      <c r="F525" s="251"/>
      <c r="G525" s="251"/>
      <c r="H525" s="251"/>
      <c r="I525" s="251"/>
      <c r="J525" s="251"/>
      <c r="K525" s="251"/>
      <c r="L525" s="251"/>
      <c r="M525" s="278"/>
    </row>
    <row r="526" spans="1:15" ht="14.4" x14ac:dyDescent="0.25">
      <c r="A526" s="268" t="s">
        <v>190</v>
      </c>
      <c r="B526" s="269" t="s">
        <v>191</v>
      </c>
      <c r="C526" s="270">
        <f ca="1">C513+C525</f>
        <v>0.48781495266131397</v>
      </c>
      <c r="D526" s="270">
        <f ca="1">D513+D525</f>
        <v>0.7622108635333027</v>
      </c>
      <c r="E526" s="271">
        <f ca="1">E513+E525</f>
        <v>7.8050392425810244E-2</v>
      </c>
      <c r="F526" s="251"/>
      <c r="G526" s="272" t="s">
        <v>192</v>
      </c>
      <c r="H526" s="241">
        <v>0.89</v>
      </c>
      <c r="I526" s="251"/>
      <c r="J526" s="251"/>
      <c r="K526" s="251"/>
      <c r="L526" s="251"/>
      <c r="M526" s="278"/>
    </row>
    <row r="527" spans="1:15" ht="14.4" x14ac:dyDescent="0.25">
      <c r="A527" s="273" t="s">
        <v>193</v>
      </c>
      <c r="B527" s="274"/>
      <c r="C527" s="231">
        <f ca="1">C526+(C507^2-D482^2)/(2*9.81)</f>
        <v>-1.0096432635206076</v>
      </c>
      <c r="D527" s="252">
        <f ca="1">D526+(D507^2-D481^2)/(2*9.81)</f>
        <v>-0.69269955077433876</v>
      </c>
      <c r="E527" s="231">
        <f ca="1">E526+(E507^2-D483^2)/(2*9.81)</f>
        <v>-1.4829458745550363</v>
      </c>
      <c r="F527" s="251"/>
      <c r="G527" s="251"/>
      <c r="H527" s="251"/>
      <c r="I527" s="251"/>
      <c r="J527" s="251"/>
      <c r="K527" s="251"/>
      <c r="L527" s="251"/>
      <c r="M527" s="278"/>
    </row>
    <row r="528" spans="1:15" ht="14.4" x14ac:dyDescent="0.25">
      <c r="A528" s="273" t="s">
        <v>194</v>
      </c>
      <c r="B528" s="274"/>
      <c r="C528" s="231">
        <f ca="1">C527+C490-D490</f>
        <v>-4.7651988190761632</v>
      </c>
      <c r="D528" s="252">
        <f ca="1">D527+C488-D488</f>
        <v>-4.4482551063298938</v>
      </c>
      <c r="E528" s="231">
        <f ca="1">E527+C492-D492</f>
        <v>-5.2385014301105919</v>
      </c>
      <c r="F528" s="251"/>
      <c r="G528" s="251"/>
      <c r="H528" s="251"/>
      <c r="I528" s="251"/>
      <c r="J528" s="251"/>
      <c r="K528" s="251"/>
      <c r="L528" s="251"/>
      <c r="M528" s="278"/>
    </row>
    <row r="529" spans="1:13" x14ac:dyDescent="0.25">
      <c r="A529" s="286"/>
      <c r="B529" s="287"/>
      <c r="C529" s="251"/>
      <c r="D529" s="251"/>
      <c r="E529" s="251"/>
      <c r="F529" s="251"/>
      <c r="G529" s="251"/>
      <c r="H529" s="251"/>
      <c r="I529" s="251"/>
      <c r="J529" s="251"/>
      <c r="K529" s="251"/>
      <c r="L529" s="251"/>
      <c r="M529" s="278"/>
    </row>
    <row r="530" spans="1:13" ht="18" x14ac:dyDescent="0.4">
      <c r="A530" s="288"/>
      <c r="B530" s="289" t="s">
        <v>26</v>
      </c>
      <c r="C530" s="289" t="s">
        <v>195</v>
      </c>
      <c r="D530" s="289" t="s">
        <v>196</v>
      </c>
      <c r="E530" s="289" t="s">
        <v>197</v>
      </c>
      <c r="F530" s="289" t="s">
        <v>198</v>
      </c>
      <c r="G530" s="289" t="s">
        <v>199</v>
      </c>
      <c r="H530" s="289" t="s">
        <v>200</v>
      </c>
      <c r="I530" s="251"/>
      <c r="J530" s="289" t="s">
        <v>201</v>
      </c>
      <c r="K530" s="289" t="s">
        <v>202</v>
      </c>
      <c r="L530" s="289" t="s">
        <v>197</v>
      </c>
      <c r="M530" s="292" t="s">
        <v>199</v>
      </c>
    </row>
    <row r="531" spans="1:13" x14ac:dyDescent="0.25">
      <c r="A531" s="288">
        <v>1</v>
      </c>
      <c r="B531" s="264">
        <v>10</v>
      </c>
      <c r="C531" s="290">
        <f>C506</f>
        <v>1.8</v>
      </c>
      <c r="D531" s="290">
        <f t="shared" ref="D531:D551" si="59">B531/C531</f>
        <v>5.5555555555555554</v>
      </c>
      <c r="E531" s="264">
        <v>20.596</v>
      </c>
      <c r="F531" s="290">
        <f t="shared" ref="F531:F551" ca="1" si="60">TREND(OFFSET($K$66,MATCH(D531,$J$67:$J$79),0,2,1),OFFSET($J$66,MATCH(D531,$J$67:$J$79),0,2,1),D531)</f>
        <v>0.28444444444444444</v>
      </c>
      <c r="G531" s="290">
        <f ca="1">TREND(OFFSET($M$66,MATCH(E531,$L$67:$L$80),0,2,1),OFFSET($L$66,MATCH(E531,$L$67:$L$80),0,2,1),E531)</f>
        <v>0.40894000000000003</v>
      </c>
      <c r="H531" s="290">
        <f t="shared" ref="H531:H551" ca="1" si="61">F531*G531</f>
        <v>0.11632071111111111</v>
      </c>
      <c r="I531" s="251"/>
      <c r="J531" s="289">
        <v>0.5</v>
      </c>
      <c r="K531" s="289">
        <v>1.2</v>
      </c>
      <c r="L531" s="289">
        <v>0</v>
      </c>
      <c r="M531" s="292">
        <v>0</v>
      </c>
    </row>
    <row r="532" spans="1:13" x14ac:dyDescent="0.25">
      <c r="A532" s="288">
        <v>2</v>
      </c>
      <c r="B532" s="264">
        <v>10</v>
      </c>
      <c r="C532" s="290">
        <f t="shared" ref="C532:C551" si="62">C531</f>
        <v>1.8</v>
      </c>
      <c r="D532" s="290">
        <f t="shared" si="59"/>
        <v>5.5555555555555554</v>
      </c>
      <c r="E532" s="264">
        <v>24.785</v>
      </c>
      <c r="F532" s="290">
        <f t="shared" ca="1" si="60"/>
        <v>0.28444444444444444</v>
      </c>
      <c r="G532" s="290">
        <f t="shared" ref="G532:G551" ca="1" si="63">TREND(OFFSET($M$66,MATCH(E532,$L$67:$L$79),0,2,1),OFFSET($L$66,MATCH(E532,$L$67:$L$79),0,2,1),E532)</f>
        <v>0.47177500000000006</v>
      </c>
      <c r="H532" s="290">
        <f t="shared" ca="1" si="61"/>
        <v>0.1341937777777778</v>
      </c>
      <c r="I532" s="251"/>
      <c r="J532" s="289">
        <v>1</v>
      </c>
      <c r="K532" s="289">
        <v>0.8</v>
      </c>
      <c r="L532" s="289">
        <v>5</v>
      </c>
      <c r="M532" s="292">
        <v>0.125</v>
      </c>
    </row>
    <row r="533" spans="1:13" x14ac:dyDescent="0.25">
      <c r="A533" s="288">
        <v>3</v>
      </c>
      <c r="B533" s="264">
        <v>10</v>
      </c>
      <c r="C533" s="290">
        <f t="shared" si="62"/>
        <v>1.8</v>
      </c>
      <c r="D533" s="290">
        <f t="shared" si="59"/>
        <v>5.5555555555555554</v>
      </c>
      <c r="E533" s="264">
        <v>12.797000000000001</v>
      </c>
      <c r="F533" s="290">
        <f t="shared" ca="1" si="60"/>
        <v>0.28444444444444444</v>
      </c>
      <c r="G533" s="290">
        <f t="shared" ca="1" si="63"/>
        <v>0.27754900000000005</v>
      </c>
      <c r="H533" s="290">
        <f t="shared" ca="1" si="61"/>
        <v>7.894727111111112E-2</v>
      </c>
      <c r="I533" s="251"/>
      <c r="J533" s="289">
        <v>1.5</v>
      </c>
      <c r="K533" s="289">
        <v>0.6</v>
      </c>
      <c r="L533" s="289">
        <v>10</v>
      </c>
      <c r="M533" s="292">
        <v>0.23</v>
      </c>
    </row>
    <row r="534" spans="1:13" x14ac:dyDescent="0.25">
      <c r="A534" s="288">
        <v>4</v>
      </c>
      <c r="B534" s="264">
        <v>10</v>
      </c>
      <c r="C534" s="290">
        <f t="shared" si="62"/>
        <v>1.8</v>
      </c>
      <c r="D534" s="290">
        <f t="shared" si="59"/>
        <v>5.5555555555555554</v>
      </c>
      <c r="E534" s="264">
        <v>17.385999999999999</v>
      </c>
      <c r="F534" s="290">
        <f t="shared" ca="1" si="60"/>
        <v>0.28444444444444444</v>
      </c>
      <c r="G534" s="290">
        <f t="shared" ca="1" si="63"/>
        <v>0.35556199999999999</v>
      </c>
      <c r="H534" s="290">
        <f t="shared" ca="1" si="61"/>
        <v>0.10113763555555555</v>
      </c>
      <c r="I534" s="251"/>
      <c r="J534" s="289">
        <v>2</v>
      </c>
      <c r="K534" s="289">
        <v>0.48</v>
      </c>
      <c r="L534" s="289">
        <v>20</v>
      </c>
      <c r="M534" s="292">
        <v>0.4</v>
      </c>
    </row>
    <row r="535" spans="1:13" x14ac:dyDescent="0.25">
      <c r="A535" s="288">
        <v>5</v>
      </c>
      <c r="B535" s="264">
        <v>10</v>
      </c>
      <c r="C535" s="290">
        <f t="shared" si="62"/>
        <v>1.8</v>
      </c>
      <c r="D535" s="290">
        <f t="shared" si="59"/>
        <v>5.5555555555555554</v>
      </c>
      <c r="E535" s="264">
        <v>4.4850000000000003</v>
      </c>
      <c r="F535" s="290">
        <f t="shared" ca="1" si="60"/>
        <v>0.28444444444444444</v>
      </c>
      <c r="G535" s="290">
        <f t="shared" ca="1" si="63"/>
        <v>0.112125</v>
      </c>
      <c r="H535" s="290">
        <f t="shared" ca="1" si="61"/>
        <v>3.1893333333333336E-2</v>
      </c>
      <c r="I535" s="251"/>
      <c r="J535" s="289">
        <v>3</v>
      </c>
      <c r="K535" s="289">
        <v>0.36</v>
      </c>
      <c r="L535" s="289">
        <v>30</v>
      </c>
      <c r="M535" s="292">
        <v>0.55000000000000004</v>
      </c>
    </row>
    <row r="536" spans="1:13" x14ac:dyDescent="0.25">
      <c r="A536" s="288">
        <v>6</v>
      </c>
      <c r="B536" s="264">
        <v>10</v>
      </c>
      <c r="C536" s="290">
        <f t="shared" si="62"/>
        <v>1.8</v>
      </c>
      <c r="D536" s="290">
        <f t="shared" si="59"/>
        <v>5.5555555555555554</v>
      </c>
      <c r="E536" s="264">
        <v>16.329000000000001</v>
      </c>
      <c r="F536" s="290">
        <f t="shared" ca="1" si="60"/>
        <v>0.28444444444444444</v>
      </c>
      <c r="G536" s="290">
        <f t="shared" ca="1" si="63"/>
        <v>0.33759300000000003</v>
      </c>
      <c r="H536" s="290">
        <f t="shared" ca="1" si="61"/>
        <v>9.6026453333333345E-2</v>
      </c>
      <c r="I536" s="251"/>
      <c r="J536" s="289">
        <v>4</v>
      </c>
      <c r="K536" s="289">
        <v>0.3</v>
      </c>
      <c r="L536" s="289">
        <v>40</v>
      </c>
      <c r="M536" s="292">
        <v>0.65</v>
      </c>
    </row>
    <row r="537" spans="1:13" x14ac:dyDescent="0.25">
      <c r="A537" s="288">
        <v>7</v>
      </c>
      <c r="B537" s="264">
        <v>10</v>
      </c>
      <c r="C537" s="290">
        <f t="shared" si="62"/>
        <v>1.8</v>
      </c>
      <c r="D537" s="290">
        <f t="shared" si="59"/>
        <v>5.5555555555555554</v>
      </c>
      <c r="E537" s="264">
        <v>13.333</v>
      </c>
      <c r="F537" s="290">
        <f t="shared" ca="1" si="60"/>
        <v>0.28444444444444444</v>
      </c>
      <c r="G537" s="290">
        <f t="shared" ca="1" si="63"/>
        <v>0.28666100000000005</v>
      </c>
      <c r="H537" s="290">
        <f t="shared" ca="1" si="61"/>
        <v>8.1539128888888909E-2</v>
      </c>
      <c r="I537" s="251"/>
      <c r="J537" s="289">
        <v>5</v>
      </c>
      <c r="K537" s="289">
        <v>0.28999999999999998</v>
      </c>
      <c r="L537" s="289">
        <v>50</v>
      </c>
      <c r="M537" s="292">
        <v>0.75</v>
      </c>
    </row>
    <row r="538" spans="1:13" x14ac:dyDescent="0.25">
      <c r="A538" s="288">
        <v>8</v>
      </c>
      <c r="B538" s="264">
        <v>10</v>
      </c>
      <c r="C538" s="290">
        <f t="shared" si="62"/>
        <v>1.8</v>
      </c>
      <c r="D538" s="290">
        <f t="shared" si="59"/>
        <v>5.5555555555555554</v>
      </c>
      <c r="E538" s="264">
        <v>7.1</v>
      </c>
      <c r="F538" s="290">
        <f t="shared" ca="1" si="60"/>
        <v>0.28444444444444444</v>
      </c>
      <c r="G538" s="290">
        <f t="shared" ca="1" si="63"/>
        <v>0.1691</v>
      </c>
      <c r="H538" s="290">
        <f t="shared" ca="1" si="61"/>
        <v>4.8099555555555555E-2</v>
      </c>
      <c r="I538" s="251"/>
      <c r="J538" s="289">
        <v>6</v>
      </c>
      <c r="K538" s="289">
        <v>0.28000000000000003</v>
      </c>
      <c r="L538" s="289">
        <v>60</v>
      </c>
      <c r="M538" s="292">
        <v>0.83</v>
      </c>
    </row>
    <row r="539" spans="1:13" x14ac:dyDescent="0.25">
      <c r="A539" s="288">
        <v>9</v>
      </c>
      <c r="B539" s="264">
        <v>10</v>
      </c>
      <c r="C539" s="290">
        <f t="shared" si="62"/>
        <v>1.8</v>
      </c>
      <c r="D539" s="290">
        <f t="shared" si="59"/>
        <v>5.5555555555555554</v>
      </c>
      <c r="E539" s="264">
        <v>15.7</v>
      </c>
      <c r="F539" s="290">
        <f t="shared" ca="1" si="60"/>
        <v>0.28444444444444444</v>
      </c>
      <c r="G539" s="290">
        <f t="shared" ca="1" si="63"/>
        <v>0.32690000000000002</v>
      </c>
      <c r="H539" s="290">
        <f t="shared" ca="1" si="61"/>
        <v>9.2984888888888895E-2</v>
      </c>
      <c r="I539" s="251"/>
      <c r="J539" s="289">
        <v>7</v>
      </c>
      <c r="K539" s="289">
        <v>0.27</v>
      </c>
      <c r="L539" s="289">
        <v>70</v>
      </c>
      <c r="M539" s="292">
        <v>0.88</v>
      </c>
    </row>
    <row r="540" spans="1:13" x14ac:dyDescent="0.25">
      <c r="A540" s="288">
        <v>10</v>
      </c>
      <c r="B540" s="264">
        <v>10</v>
      </c>
      <c r="C540" s="290">
        <f t="shared" si="62"/>
        <v>1.8</v>
      </c>
      <c r="D540" s="290">
        <f t="shared" si="59"/>
        <v>5.5555555555555554</v>
      </c>
      <c r="E540" s="264">
        <v>18.013999999999999</v>
      </c>
      <c r="F540" s="290">
        <f t="shared" ca="1" si="60"/>
        <v>0.28444444444444444</v>
      </c>
      <c r="G540" s="290">
        <f t="shared" ca="1" si="63"/>
        <v>0.36623800000000001</v>
      </c>
      <c r="H540" s="290">
        <f t="shared" ca="1" si="61"/>
        <v>0.10417436444444444</v>
      </c>
      <c r="I540" s="251"/>
      <c r="J540" s="289">
        <v>8</v>
      </c>
      <c r="K540" s="289">
        <v>0.26</v>
      </c>
      <c r="L540" s="289">
        <v>80</v>
      </c>
      <c r="M540" s="292">
        <v>0.95</v>
      </c>
    </row>
    <row r="541" spans="1:13" x14ac:dyDescent="0.25">
      <c r="A541" s="288">
        <v>11</v>
      </c>
      <c r="B541" s="264">
        <v>10</v>
      </c>
      <c r="C541" s="290">
        <f t="shared" si="62"/>
        <v>1.8</v>
      </c>
      <c r="D541" s="290">
        <f t="shared" si="59"/>
        <v>5.5555555555555554</v>
      </c>
      <c r="E541" s="264">
        <v>12.266999999999999</v>
      </c>
      <c r="F541" s="290">
        <f t="shared" ca="1" si="60"/>
        <v>0.28444444444444444</v>
      </c>
      <c r="G541" s="290">
        <f t="shared" ca="1" si="63"/>
        <v>0.26853899999999997</v>
      </c>
      <c r="H541" s="290">
        <f t="shared" ca="1" si="61"/>
        <v>7.6384426666666658E-2</v>
      </c>
      <c r="I541" s="251"/>
      <c r="J541" s="289">
        <v>9</v>
      </c>
      <c r="K541" s="289">
        <v>0.25</v>
      </c>
      <c r="L541" s="289">
        <v>90</v>
      </c>
      <c r="M541" s="292">
        <v>1</v>
      </c>
    </row>
    <row r="542" spans="1:13" x14ac:dyDescent="0.25">
      <c r="A542" s="288">
        <v>12</v>
      </c>
      <c r="B542" s="264">
        <v>10</v>
      </c>
      <c r="C542" s="290">
        <f t="shared" si="62"/>
        <v>1.8</v>
      </c>
      <c r="D542" s="290">
        <f t="shared" si="59"/>
        <v>5.5555555555555554</v>
      </c>
      <c r="E542" s="264">
        <v>12.263</v>
      </c>
      <c r="F542" s="290">
        <f t="shared" ca="1" si="60"/>
        <v>0.28444444444444444</v>
      </c>
      <c r="G542" s="290">
        <f t="shared" ca="1" si="63"/>
        <v>0.26847100000000002</v>
      </c>
      <c r="H542" s="290">
        <f t="shared" ca="1" si="61"/>
        <v>7.6365084444444453E-2</v>
      </c>
      <c r="I542" s="251"/>
      <c r="J542" s="289">
        <v>10</v>
      </c>
      <c r="K542" s="289">
        <v>0.24</v>
      </c>
      <c r="L542" s="289">
        <v>100</v>
      </c>
      <c r="M542" s="292">
        <v>1.05</v>
      </c>
    </row>
    <row r="543" spans="1:13" x14ac:dyDescent="0.25">
      <c r="A543" s="288">
        <v>13</v>
      </c>
      <c r="B543" s="264">
        <v>10</v>
      </c>
      <c r="C543" s="290">
        <f t="shared" si="62"/>
        <v>1.8</v>
      </c>
      <c r="D543" s="290">
        <f t="shared" si="59"/>
        <v>5.5555555555555554</v>
      </c>
      <c r="E543" s="264">
        <v>10.609</v>
      </c>
      <c r="F543" s="290">
        <f t="shared" ca="1" si="60"/>
        <v>0.28444444444444444</v>
      </c>
      <c r="G543" s="290">
        <f t="shared" ca="1" si="63"/>
        <v>0.24035300000000001</v>
      </c>
      <c r="H543" s="290">
        <f t="shared" ca="1" si="61"/>
        <v>6.8367075555555559E-2</v>
      </c>
      <c r="I543" s="251"/>
      <c r="J543" s="289">
        <v>11</v>
      </c>
      <c r="K543" s="289">
        <v>0.23</v>
      </c>
      <c r="L543" s="289">
        <v>120</v>
      </c>
      <c r="M543" s="292">
        <v>1.1299999999999999</v>
      </c>
    </row>
    <row r="544" spans="1:13" x14ac:dyDescent="0.25">
      <c r="A544" s="288">
        <v>14</v>
      </c>
      <c r="B544" s="264">
        <v>10</v>
      </c>
      <c r="C544" s="290">
        <f t="shared" si="62"/>
        <v>1.8</v>
      </c>
      <c r="D544" s="290">
        <f t="shared" si="59"/>
        <v>5.5555555555555554</v>
      </c>
      <c r="E544" s="264">
        <v>10.048</v>
      </c>
      <c r="F544" s="290">
        <f t="shared" ca="1" si="60"/>
        <v>0.28444444444444444</v>
      </c>
      <c r="G544" s="290">
        <f t="shared" ca="1" si="63"/>
        <v>0.23081600000000002</v>
      </c>
      <c r="H544" s="290">
        <f t="shared" ca="1" si="61"/>
        <v>6.5654328888888891E-2</v>
      </c>
      <c r="I544" s="251"/>
      <c r="J544" s="289"/>
      <c r="K544" s="289"/>
      <c r="L544" s="289">
        <v>140</v>
      </c>
      <c r="M544" s="292">
        <v>1.2</v>
      </c>
    </row>
    <row r="545" spans="1:13" x14ac:dyDescent="0.25">
      <c r="A545" s="288">
        <v>15</v>
      </c>
      <c r="B545" s="264">
        <v>10</v>
      </c>
      <c r="C545" s="290">
        <f t="shared" si="62"/>
        <v>1.8</v>
      </c>
      <c r="D545" s="290">
        <f t="shared" si="59"/>
        <v>5.5555555555555554</v>
      </c>
      <c r="E545" s="264">
        <v>10.696999999999999</v>
      </c>
      <c r="F545" s="290">
        <f t="shared" ca="1" si="60"/>
        <v>0.28444444444444444</v>
      </c>
      <c r="G545" s="290">
        <f t="shared" ca="1" si="63"/>
        <v>0.24184900000000001</v>
      </c>
      <c r="H545" s="290">
        <f t="shared" ca="1" si="61"/>
        <v>6.8792604444444447E-2</v>
      </c>
      <c r="I545" s="251"/>
      <c r="J545" s="251"/>
      <c r="K545" s="251"/>
      <c r="L545" s="251"/>
      <c r="M545" s="278"/>
    </row>
    <row r="546" spans="1:13" x14ac:dyDescent="0.25">
      <c r="A546" s="288">
        <v>16</v>
      </c>
      <c r="B546" s="264">
        <v>10</v>
      </c>
      <c r="C546" s="290">
        <f t="shared" si="62"/>
        <v>1.8</v>
      </c>
      <c r="D546" s="290">
        <f t="shared" si="59"/>
        <v>5.5555555555555554</v>
      </c>
      <c r="E546" s="264">
        <v>9.39</v>
      </c>
      <c r="F546" s="290">
        <f t="shared" ca="1" si="60"/>
        <v>0.28444444444444444</v>
      </c>
      <c r="G546" s="290">
        <f t="shared" ca="1" si="63"/>
        <v>0.21718999999999999</v>
      </c>
      <c r="H546" s="290">
        <f t="shared" ca="1" si="61"/>
        <v>6.1778488888888886E-2</v>
      </c>
      <c r="I546" s="251"/>
      <c r="J546" s="251"/>
      <c r="K546" s="251"/>
      <c r="L546" s="251"/>
      <c r="M546" s="278"/>
    </row>
    <row r="547" spans="1:13" x14ac:dyDescent="0.25">
      <c r="A547" s="288">
        <v>17</v>
      </c>
      <c r="B547" s="264">
        <v>10</v>
      </c>
      <c r="C547" s="290">
        <f t="shared" si="62"/>
        <v>1.8</v>
      </c>
      <c r="D547" s="290">
        <f t="shared" si="59"/>
        <v>5.5555555555555554</v>
      </c>
      <c r="E547" s="264">
        <v>17.975999999999999</v>
      </c>
      <c r="F547" s="290">
        <f t="shared" ca="1" si="60"/>
        <v>0.28444444444444444</v>
      </c>
      <c r="G547" s="290">
        <f t="shared" ca="1" si="63"/>
        <v>0.36559200000000003</v>
      </c>
      <c r="H547" s="290">
        <f t="shared" ca="1" si="61"/>
        <v>0.10399061333333334</v>
      </c>
      <c r="I547" s="251"/>
      <c r="J547" s="251"/>
      <c r="K547" s="251"/>
      <c r="L547" s="251"/>
      <c r="M547" s="278"/>
    </row>
    <row r="548" spans="1:13" x14ac:dyDescent="0.25">
      <c r="A548" s="288">
        <v>18</v>
      </c>
      <c r="B548" s="264">
        <v>10</v>
      </c>
      <c r="C548" s="290">
        <f t="shared" si="62"/>
        <v>1.8</v>
      </c>
      <c r="D548" s="290">
        <f t="shared" si="59"/>
        <v>5.5555555555555554</v>
      </c>
      <c r="E548" s="264">
        <v>8.7050000000000001</v>
      </c>
      <c r="F548" s="290">
        <f t="shared" ca="1" si="60"/>
        <v>0.28444444444444444</v>
      </c>
      <c r="G548" s="290">
        <f t="shared" ca="1" si="63"/>
        <v>0.20280499999999999</v>
      </c>
      <c r="H548" s="290">
        <f t="shared" ca="1" si="61"/>
        <v>5.7686755555555552E-2</v>
      </c>
      <c r="I548" s="251"/>
      <c r="J548" s="251"/>
      <c r="K548" s="251"/>
      <c r="L548" s="251"/>
      <c r="M548" s="278"/>
    </row>
    <row r="549" spans="1:13" x14ac:dyDescent="0.25">
      <c r="A549" s="288">
        <v>19</v>
      </c>
      <c r="B549" s="264">
        <v>10</v>
      </c>
      <c r="C549" s="290">
        <f t="shared" si="62"/>
        <v>1.8</v>
      </c>
      <c r="D549" s="290">
        <f t="shared" si="59"/>
        <v>5.5555555555555554</v>
      </c>
      <c r="E549" s="264">
        <v>5.6319999999999997</v>
      </c>
      <c r="F549" s="290">
        <f t="shared" ca="1" si="60"/>
        <v>0.28444444444444444</v>
      </c>
      <c r="G549" s="290">
        <f t="shared" ca="1" si="63"/>
        <v>0.13827200000000001</v>
      </c>
      <c r="H549" s="290">
        <f t="shared" ca="1" si="61"/>
        <v>3.9330702222222222E-2</v>
      </c>
      <c r="I549" s="251"/>
      <c r="J549" s="251"/>
      <c r="K549" s="251"/>
      <c r="L549" s="251"/>
      <c r="M549" s="278"/>
    </row>
    <row r="550" spans="1:13" x14ac:dyDescent="0.25">
      <c r="A550" s="288">
        <v>20</v>
      </c>
      <c r="B550" s="264">
        <v>10</v>
      </c>
      <c r="C550" s="290">
        <f t="shared" si="62"/>
        <v>1.8</v>
      </c>
      <c r="D550" s="290">
        <f t="shared" si="59"/>
        <v>5.5555555555555554</v>
      </c>
      <c r="E550" s="264">
        <v>4.7750000000000004</v>
      </c>
      <c r="F550" s="290">
        <f t="shared" ca="1" si="60"/>
        <v>0.28444444444444444</v>
      </c>
      <c r="G550" s="290">
        <f t="shared" ca="1" si="63"/>
        <v>0.11937500000000001</v>
      </c>
      <c r="H550" s="290">
        <f t="shared" ca="1" si="61"/>
        <v>3.3955555555555558E-2</v>
      </c>
      <c r="I550" s="251"/>
      <c r="J550" s="251"/>
      <c r="K550" s="251"/>
      <c r="L550" s="251"/>
      <c r="M550" s="278"/>
    </row>
    <row r="551" spans="1:13" x14ac:dyDescent="0.25">
      <c r="A551" s="288">
        <v>21</v>
      </c>
      <c r="B551" s="264">
        <v>10</v>
      </c>
      <c r="C551" s="290">
        <f t="shared" si="62"/>
        <v>1.8</v>
      </c>
      <c r="D551" s="290">
        <f t="shared" si="59"/>
        <v>5.5555555555555554</v>
      </c>
      <c r="E551" s="264">
        <v>8.49</v>
      </c>
      <c r="F551" s="290">
        <f t="shared" ca="1" si="60"/>
        <v>0.28444444444444444</v>
      </c>
      <c r="G551" s="290">
        <f t="shared" ca="1" si="63"/>
        <v>0.19828999999999999</v>
      </c>
      <c r="H551" s="290">
        <f t="shared" ca="1" si="61"/>
        <v>5.6402488888888887E-2</v>
      </c>
      <c r="I551" s="251"/>
      <c r="J551" s="251"/>
      <c r="K551" s="251"/>
      <c r="L551" s="251"/>
      <c r="M551" s="278"/>
    </row>
    <row r="552" spans="1:13" x14ac:dyDescent="0.25">
      <c r="A552" s="288"/>
      <c r="B552" s="264"/>
      <c r="C552" s="290"/>
      <c r="D552" s="290"/>
      <c r="E552" s="264"/>
      <c r="F552" s="290"/>
      <c r="G552" s="290"/>
      <c r="H552" s="290"/>
      <c r="I552" s="251"/>
      <c r="J552" s="251"/>
      <c r="K552" s="251"/>
      <c r="L552" s="251"/>
      <c r="M552" s="278"/>
    </row>
    <row r="553" spans="1:13" ht="16.2" x14ac:dyDescent="0.3">
      <c r="A553" s="387" t="s">
        <v>203</v>
      </c>
      <c r="B553" s="388"/>
      <c r="C553" s="388"/>
      <c r="D553" s="388"/>
      <c r="E553" s="388"/>
      <c r="F553" s="388"/>
      <c r="G553" s="388"/>
      <c r="H553" s="291">
        <f ca="1">SUM(H531:H552)</f>
        <v>1.5940252444444445</v>
      </c>
      <c r="I553" s="293"/>
      <c r="J553" s="293"/>
      <c r="K553" s="293"/>
      <c r="L553" s="293"/>
      <c r="M553" s="294"/>
    </row>
    <row r="556" spans="1:13" ht="14.4" x14ac:dyDescent="0.25">
      <c r="A556" s="244" t="s">
        <v>222</v>
      </c>
      <c r="C556" s="240"/>
    </row>
    <row r="557" spans="1:13" x14ac:dyDescent="0.25">
      <c r="A557" s="245" t="s">
        <v>138</v>
      </c>
      <c r="B557" s="246"/>
      <c r="C557" s="246"/>
      <c r="D557" s="246"/>
      <c r="E557" s="246"/>
      <c r="F557" s="246"/>
      <c r="G557" s="246"/>
      <c r="H557" s="246"/>
      <c r="I557" s="246"/>
      <c r="J557" s="246"/>
      <c r="K557" s="246"/>
      <c r="L557" s="246"/>
      <c r="M557" s="277"/>
    </row>
    <row r="558" spans="1:13" ht="14.4" x14ac:dyDescent="0.25">
      <c r="A558" s="247" t="s">
        <v>139</v>
      </c>
      <c r="B558" s="248"/>
      <c r="C558" s="249" t="s">
        <v>140</v>
      </c>
      <c r="D558" s="250" t="s">
        <v>141</v>
      </c>
      <c r="E558" s="249" t="s">
        <v>142</v>
      </c>
      <c r="F558" s="251"/>
      <c r="G558" s="251"/>
      <c r="H558" s="251"/>
      <c r="I558" s="251"/>
      <c r="J558" s="251"/>
      <c r="K558" s="251"/>
      <c r="L558" s="251"/>
      <c r="M558" s="278"/>
    </row>
    <row r="559" spans="1:13" ht="14.4" x14ac:dyDescent="0.25">
      <c r="A559" s="247"/>
      <c r="B559" s="248" t="s">
        <v>143</v>
      </c>
      <c r="C559" s="229">
        <v>2.7</v>
      </c>
      <c r="D559" s="252">
        <f>C559*1.25</f>
        <v>3.375</v>
      </c>
      <c r="E559" s="231">
        <f>C559*0.4</f>
        <v>1.08</v>
      </c>
      <c r="F559" s="251"/>
      <c r="G559" s="251"/>
      <c r="H559" s="251"/>
      <c r="I559" s="251"/>
      <c r="J559" s="251"/>
      <c r="K559" s="251"/>
      <c r="L559" s="251"/>
      <c r="M559" s="278"/>
    </row>
    <row r="560" spans="1:13" ht="14.4" x14ac:dyDescent="0.25">
      <c r="A560" s="247"/>
      <c r="B560" s="248" t="s">
        <v>144</v>
      </c>
      <c r="C560" s="253">
        <v>1</v>
      </c>
      <c r="D560" s="254">
        <f>C560</f>
        <v>1</v>
      </c>
      <c r="E560" s="255">
        <f>D560</f>
        <v>1</v>
      </c>
      <c r="F560" s="251"/>
      <c r="G560" s="251"/>
      <c r="H560" s="251"/>
      <c r="I560" s="251"/>
      <c r="J560" s="251"/>
      <c r="K560" s="251"/>
      <c r="L560" s="251"/>
      <c r="M560" s="278"/>
    </row>
    <row r="561" spans="1:15" ht="14.4" x14ac:dyDescent="0.25">
      <c r="A561" s="247"/>
      <c r="B561" s="248" t="s">
        <v>145</v>
      </c>
      <c r="C561" s="231">
        <f>C559/C560</f>
        <v>2.7</v>
      </c>
      <c r="D561" s="252">
        <f>D559/D560</f>
        <v>3.375</v>
      </c>
      <c r="E561" s="231">
        <f>E559/E560</f>
        <v>1.08</v>
      </c>
      <c r="F561" s="251"/>
      <c r="G561" s="251"/>
      <c r="H561" s="251"/>
      <c r="I561" s="251"/>
      <c r="J561" s="251"/>
      <c r="K561" s="251"/>
      <c r="L561" s="251"/>
      <c r="M561" s="278"/>
    </row>
    <row r="562" spans="1:15" ht="14.4" x14ac:dyDescent="0.25">
      <c r="A562" s="247"/>
      <c r="B562" s="248" t="s">
        <v>146</v>
      </c>
      <c r="C562" s="256">
        <v>1386</v>
      </c>
      <c r="D562" s="252">
        <f t="shared" ref="D562:E564" si="64">C562</f>
        <v>1386</v>
      </c>
      <c r="E562" s="231">
        <f t="shared" si="64"/>
        <v>1386</v>
      </c>
      <c r="F562" s="251"/>
      <c r="G562" s="251"/>
      <c r="H562" s="251"/>
      <c r="I562" s="251"/>
      <c r="J562" s="251"/>
      <c r="K562" s="251"/>
      <c r="L562" s="251"/>
      <c r="M562" s="278"/>
    </row>
    <row r="563" spans="1:15" ht="14.4" x14ac:dyDescent="0.25">
      <c r="A563" s="247"/>
      <c r="B563" s="248" t="s">
        <v>134</v>
      </c>
      <c r="C563" s="257">
        <v>0.01</v>
      </c>
      <c r="D563" s="258">
        <f t="shared" si="64"/>
        <v>0.01</v>
      </c>
      <c r="E563" s="258">
        <f t="shared" si="64"/>
        <v>0.01</v>
      </c>
      <c r="F563" s="251"/>
      <c r="G563" s="251"/>
      <c r="H563" s="251"/>
      <c r="I563" s="251"/>
      <c r="J563" s="251"/>
      <c r="K563" s="251"/>
      <c r="L563" s="251"/>
      <c r="M563" s="278"/>
    </row>
    <row r="564" spans="1:15" ht="14.4" x14ac:dyDescent="0.25">
      <c r="A564" s="247"/>
      <c r="B564" s="248" t="s">
        <v>147</v>
      </c>
      <c r="C564" s="229">
        <v>1.6</v>
      </c>
      <c r="D564" s="252">
        <f t="shared" si="64"/>
        <v>1.6</v>
      </c>
      <c r="E564" s="231">
        <f t="shared" si="64"/>
        <v>1.6</v>
      </c>
      <c r="F564" s="251"/>
      <c r="G564" s="251"/>
      <c r="H564" s="251"/>
      <c r="I564" s="251"/>
      <c r="J564" s="251"/>
      <c r="K564" s="251"/>
      <c r="L564" s="251"/>
      <c r="M564" s="278"/>
    </row>
    <row r="565" spans="1:15" ht="14.4" x14ac:dyDescent="0.25">
      <c r="A565" s="247"/>
      <c r="B565" s="248" t="s">
        <v>148</v>
      </c>
      <c r="C565" s="252">
        <f>4*C561/(C564^2*PI())</f>
        <v>1.3428698323378669</v>
      </c>
      <c r="D565" s="252">
        <f>4*D561/(D564^2*PI())</f>
        <v>1.6785872904223336</v>
      </c>
      <c r="E565" s="252">
        <f>4*E561/(E564^2*PI())</f>
        <v>0.53714793293514673</v>
      </c>
      <c r="F565" s="251"/>
      <c r="G565" s="251"/>
      <c r="H565" s="251"/>
      <c r="I565" s="251"/>
      <c r="J565" s="251"/>
      <c r="K565" s="251"/>
      <c r="L565" s="251"/>
      <c r="M565" s="278"/>
    </row>
    <row r="566" spans="1:15" ht="14.4" x14ac:dyDescent="0.25">
      <c r="A566" s="247"/>
      <c r="B566" s="248" t="s">
        <v>149</v>
      </c>
      <c r="C566" s="231">
        <f>C561/C565</f>
        <v>2.0106192982974678</v>
      </c>
      <c r="D566" s="252">
        <f>D561/D565</f>
        <v>2.0106192982974678</v>
      </c>
      <c r="E566" s="231">
        <f>E561/E565</f>
        <v>2.0106192982974678</v>
      </c>
      <c r="F566" s="251"/>
      <c r="G566" s="251"/>
      <c r="H566" s="251"/>
      <c r="I566" s="251"/>
      <c r="J566" s="251"/>
      <c r="K566" s="251"/>
      <c r="L566" s="251"/>
      <c r="M566" s="278"/>
    </row>
    <row r="567" spans="1:15" ht="14.4" x14ac:dyDescent="0.25">
      <c r="A567" s="247" t="s">
        <v>150</v>
      </c>
      <c r="B567" s="248"/>
      <c r="C567" s="248"/>
      <c r="D567" s="259"/>
      <c r="E567" s="248"/>
      <c r="F567" s="251"/>
      <c r="G567" s="389" t="s">
        <v>151</v>
      </c>
      <c r="H567" s="390"/>
      <c r="I567" s="390"/>
      <c r="J567" s="390"/>
      <c r="K567" s="391"/>
      <c r="L567" s="251"/>
      <c r="M567" s="278"/>
    </row>
    <row r="568" spans="1:15" ht="14.4" x14ac:dyDescent="0.25">
      <c r="A568" s="247" t="s">
        <v>152</v>
      </c>
      <c r="B568" s="248" t="s">
        <v>153</v>
      </c>
      <c r="C568" s="231">
        <f>C564/4</f>
        <v>0.4</v>
      </c>
      <c r="D568" s="252">
        <f>D564/4</f>
        <v>0.4</v>
      </c>
      <c r="E568" s="231">
        <f>E564/4</f>
        <v>0.4</v>
      </c>
      <c r="F568" s="251"/>
      <c r="G568" s="381" t="s">
        <v>154</v>
      </c>
      <c r="H568" s="260" t="s">
        <v>155</v>
      </c>
      <c r="I568" s="261" t="s">
        <v>156</v>
      </c>
      <c r="J568" s="261" t="s">
        <v>157</v>
      </c>
      <c r="K568" s="279" t="s">
        <v>158</v>
      </c>
      <c r="L568" s="251"/>
      <c r="M568" s="278"/>
    </row>
    <row r="569" spans="1:15" ht="16.8" x14ac:dyDescent="0.25">
      <c r="A569" s="247"/>
      <c r="B569" s="248" t="s">
        <v>159</v>
      </c>
      <c r="C569" s="231">
        <f>C568^(1/6)/C563</f>
        <v>85.837421893255708</v>
      </c>
      <c r="D569" s="252">
        <f>D568^(1/6)/D563</f>
        <v>85.837421893255708</v>
      </c>
      <c r="E569" s="231">
        <f>E568^(1/6)/E563</f>
        <v>85.837421893255708</v>
      </c>
      <c r="F569" s="251"/>
      <c r="G569" s="382"/>
      <c r="H569" s="261" t="s">
        <v>160</v>
      </c>
      <c r="I569" s="261" t="s">
        <v>161</v>
      </c>
      <c r="J569" s="261" t="s">
        <v>162</v>
      </c>
      <c r="K569" s="279" t="s">
        <v>163</v>
      </c>
      <c r="L569" s="251"/>
      <c r="M569" s="278"/>
    </row>
    <row r="570" spans="1:15" ht="16.8" x14ac:dyDescent="0.25">
      <c r="A570" s="247"/>
      <c r="B570" s="248" t="s">
        <v>164</v>
      </c>
      <c r="C570" s="231">
        <f>8*9.81/C569^2</f>
        <v>1.0651374727518412E-2</v>
      </c>
      <c r="D570" s="252">
        <f>8*9.81/D569^2</f>
        <v>1.0651374727518412E-2</v>
      </c>
      <c r="E570" s="231">
        <f>8*9.81/E569^2</f>
        <v>1.0651374727518412E-2</v>
      </c>
      <c r="F570" s="251"/>
      <c r="G570" s="262" t="s">
        <v>223</v>
      </c>
      <c r="H570" s="263">
        <f>C566</f>
        <v>2.0106192982974678</v>
      </c>
      <c r="I570" s="263">
        <f>I576*I577</f>
        <v>9.0869999999999997</v>
      </c>
      <c r="J570" s="263">
        <f>H570/I570</f>
        <v>0.22126326601710883</v>
      </c>
      <c r="K570" s="280">
        <f ca="1">TREND(OFFSET($L$51,MATCH(J570,$K$52:$K$60),0,2,1),OFFSET($K$51,MATCH(J570,$K$52:$K$60),0,2,1),J570)</f>
        <v>0.58896816155893883</v>
      </c>
      <c r="L570" s="251"/>
      <c r="M570" s="278"/>
    </row>
    <row r="571" spans="1:15" ht="16.8" x14ac:dyDescent="0.25">
      <c r="A571" s="247"/>
      <c r="B571" s="248" t="s">
        <v>166</v>
      </c>
      <c r="C571" s="231">
        <f>C570*C562*C565^2/(4*C568*2*9.81)</f>
        <v>0.84804274568307403</v>
      </c>
      <c r="D571" s="252">
        <f>D570*D562*D565^2/(4*D568*2*9.81)</f>
        <v>1.3250667901298032</v>
      </c>
      <c r="E571" s="231">
        <f>E570*E562*E565^2/(4*E568*2*9.81)</f>
        <v>0.13568683930929182</v>
      </c>
      <c r="F571" s="251"/>
      <c r="G571" s="251"/>
      <c r="H571" s="251"/>
      <c r="I571" s="251"/>
      <c r="J571" s="251"/>
      <c r="K571" s="251"/>
      <c r="L571" s="251"/>
      <c r="M571" s="278"/>
      <c r="O571" s="281">
        <f>0.64-(0.64-0.4)/0.1*(J570-0.2)</f>
        <v>0.58896816155893883</v>
      </c>
    </row>
    <row r="572" spans="1:15" ht="14.4" x14ac:dyDescent="0.25">
      <c r="A572" s="247" t="s">
        <v>167</v>
      </c>
      <c r="B572" s="248" t="s">
        <v>168</v>
      </c>
      <c r="C572" s="264">
        <v>0.25</v>
      </c>
      <c r="D572" s="252">
        <f t="shared" ref="D572:E577" si="65">C572</f>
        <v>0.25</v>
      </c>
      <c r="E572" s="231">
        <f t="shared" si="65"/>
        <v>0.25</v>
      </c>
      <c r="F572" s="251"/>
      <c r="G572" s="251"/>
      <c r="H572" s="251"/>
      <c r="I572" s="251"/>
      <c r="J572" s="251"/>
      <c r="K572" s="251"/>
      <c r="L572" s="251"/>
      <c r="M572" s="278"/>
    </row>
    <row r="573" spans="1:15" ht="15.6" x14ac:dyDescent="0.25">
      <c r="A573" s="247"/>
      <c r="B573" s="248" t="s">
        <v>169</v>
      </c>
      <c r="C573" s="264">
        <f>0.1*2</f>
        <v>0.2</v>
      </c>
      <c r="D573" s="252">
        <f t="shared" si="65"/>
        <v>0.2</v>
      </c>
      <c r="E573" s="231">
        <f t="shared" si="65"/>
        <v>0.2</v>
      </c>
      <c r="F573" s="251"/>
      <c r="G573" s="383" t="s">
        <v>170</v>
      </c>
      <c r="H573" s="265" t="s">
        <v>171</v>
      </c>
      <c r="I573" s="282"/>
      <c r="J573" s="251"/>
      <c r="K573" s="238" t="s">
        <v>162</v>
      </c>
      <c r="L573" s="238" t="s">
        <v>163</v>
      </c>
      <c r="M573" s="278"/>
    </row>
    <row r="574" spans="1:15" ht="15.6" x14ac:dyDescent="0.25">
      <c r="A574" s="247"/>
      <c r="B574" s="248" t="s">
        <v>172</v>
      </c>
      <c r="C574" s="264">
        <v>0.02</v>
      </c>
      <c r="D574" s="252">
        <f t="shared" si="65"/>
        <v>0.02</v>
      </c>
      <c r="E574" s="231">
        <f t="shared" si="65"/>
        <v>0.02</v>
      </c>
      <c r="F574" s="251"/>
      <c r="G574" s="384"/>
      <c r="H574" s="266" t="s">
        <v>173</v>
      </c>
      <c r="I574" s="283">
        <v>1.5289999999999999</v>
      </c>
      <c r="J574" s="251"/>
      <c r="K574" s="238">
        <v>0.1</v>
      </c>
      <c r="L574" s="238">
        <v>0.81</v>
      </c>
      <c r="M574" s="278"/>
    </row>
    <row r="575" spans="1:15" ht="16.2" x14ac:dyDescent="0.25">
      <c r="A575" s="247"/>
      <c r="B575" s="248" t="s">
        <v>174</v>
      </c>
      <c r="C575" s="264">
        <v>0.1</v>
      </c>
      <c r="D575" s="252">
        <f t="shared" si="65"/>
        <v>0.1</v>
      </c>
      <c r="E575" s="231">
        <f t="shared" si="65"/>
        <v>0.1</v>
      </c>
      <c r="F575" s="251"/>
      <c r="G575" s="384"/>
      <c r="H575" s="266" t="s">
        <v>175</v>
      </c>
      <c r="I575" s="284"/>
      <c r="J575" s="251"/>
      <c r="K575" s="238">
        <v>0.2</v>
      </c>
      <c r="L575" s="238">
        <v>0.64</v>
      </c>
      <c r="M575" s="278"/>
    </row>
    <row r="576" spans="1:15" ht="15.6" x14ac:dyDescent="0.25">
      <c r="A576" s="247"/>
      <c r="B576" s="248" t="s">
        <v>176</v>
      </c>
      <c r="C576" s="264">
        <v>80</v>
      </c>
      <c r="D576" s="252">
        <f t="shared" si="65"/>
        <v>80</v>
      </c>
      <c r="E576" s="231">
        <f t="shared" si="65"/>
        <v>80</v>
      </c>
      <c r="F576" s="251"/>
      <c r="G576" s="384"/>
      <c r="H576" s="266" t="s">
        <v>177</v>
      </c>
      <c r="I576" s="283">
        <f>I574+1.5</f>
        <v>3.0289999999999999</v>
      </c>
      <c r="J576" s="251"/>
      <c r="K576" s="238">
        <v>0.3</v>
      </c>
      <c r="L576" s="238">
        <v>0.4</v>
      </c>
      <c r="M576" s="278"/>
    </row>
    <row r="577" spans="1:13" ht="15.6" x14ac:dyDescent="0.25">
      <c r="A577" s="247"/>
      <c r="B577" s="248" t="s">
        <v>178</v>
      </c>
      <c r="C577" s="264">
        <v>1.83</v>
      </c>
      <c r="D577" s="252">
        <f t="shared" si="65"/>
        <v>1.83</v>
      </c>
      <c r="E577" s="231">
        <f t="shared" si="65"/>
        <v>1.83</v>
      </c>
      <c r="F577" s="251"/>
      <c r="G577" s="384"/>
      <c r="H577" s="266" t="s">
        <v>179</v>
      </c>
      <c r="I577" s="283">
        <v>3</v>
      </c>
      <c r="K577" s="238">
        <v>0.4</v>
      </c>
      <c r="L577" s="238">
        <v>0.36</v>
      </c>
      <c r="M577" s="278"/>
    </row>
    <row r="578" spans="1:13" ht="16.8" x14ac:dyDescent="0.25">
      <c r="A578" s="247"/>
      <c r="B578" s="248" t="s">
        <v>180</v>
      </c>
      <c r="C578" s="231">
        <f>C577*(C574/C575)^(4/3)*SIN(C576/180*PI())</f>
        <v>0.21078637878092679</v>
      </c>
      <c r="D578" s="252">
        <f>D577*(D574/D575)^(4/3)*SIN(D576/180*PI())</f>
        <v>0.21078637878092679</v>
      </c>
      <c r="E578" s="231">
        <f>E577*(E574/E575)^(4/3)*SIN(E576/180*PI())</f>
        <v>0.21078637878092679</v>
      </c>
      <c r="F578" s="251"/>
      <c r="G578" s="384"/>
      <c r="H578" s="266" t="s">
        <v>181</v>
      </c>
      <c r="I578" s="284"/>
      <c r="K578" s="238">
        <v>0.5</v>
      </c>
      <c r="L578" s="238">
        <v>0.25</v>
      </c>
      <c r="M578" s="278"/>
    </row>
    <row r="579" spans="1:13" ht="15.6" x14ac:dyDescent="0.25">
      <c r="A579" s="247"/>
      <c r="B579" s="247" t="s">
        <v>182</v>
      </c>
      <c r="C579" s="231">
        <f ca="1">H629</f>
        <v>3.0781274025000003</v>
      </c>
      <c r="D579" s="252">
        <f t="shared" ref="D579:E581" ca="1" si="66">C579</f>
        <v>3.0781274025000003</v>
      </c>
      <c r="E579" s="231">
        <f t="shared" ca="1" si="66"/>
        <v>3.0781274025000003</v>
      </c>
      <c r="F579" s="251"/>
      <c r="G579" s="384"/>
      <c r="H579" s="266" t="s">
        <v>183</v>
      </c>
      <c r="I579" s="284"/>
      <c r="K579" s="238">
        <v>0.6</v>
      </c>
      <c r="L579" s="238">
        <v>0.16</v>
      </c>
      <c r="M579" s="278"/>
    </row>
    <row r="580" spans="1:13" ht="16.2" x14ac:dyDescent="0.25">
      <c r="A580" s="247"/>
      <c r="B580" s="247" t="s">
        <v>184</v>
      </c>
      <c r="C580" s="264">
        <f ca="1">K570</f>
        <v>0.58896816155893883</v>
      </c>
      <c r="D580" s="252">
        <f t="shared" ca="1" si="66"/>
        <v>0.58896816155893883</v>
      </c>
      <c r="E580" s="231">
        <f t="shared" ca="1" si="66"/>
        <v>0.58896816155893883</v>
      </c>
      <c r="F580" s="251"/>
      <c r="G580" s="385"/>
      <c r="H580" s="266" t="s">
        <v>185</v>
      </c>
      <c r="I580" s="284"/>
      <c r="K580" s="238">
        <v>0.7</v>
      </c>
      <c r="L580" s="238">
        <v>0.09</v>
      </c>
      <c r="M580" s="278"/>
    </row>
    <row r="581" spans="1:13" ht="16.2" x14ac:dyDescent="0.25">
      <c r="A581" s="247"/>
      <c r="B581" s="248" t="s">
        <v>224</v>
      </c>
      <c r="C581" s="264">
        <f>0.1*3</f>
        <v>0.30000000000000004</v>
      </c>
      <c r="D581" s="252">
        <f t="shared" si="66"/>
        <v>0.30000000000000004</v>
      </c>
      <c r="E581" s="231">
        <f t="shared" si="66"/>
        <v>0.30000000000000004</v>
      </c>
      <c r="F581" s="251"/>
      <c r="G581" s="386"/>
      <c r="H581" s="267" t="s">
        <v>187</v>
      </c>
      <c r="I581" s="285"/>
      <c r="J581" s="251"/>
      <c r="K581" s="238">
        <v>0.8</v>
      </c>
      <c r="L581" s="238">
        <v>0.04</v>
      </c>
      <c r="M581" s="278"/>
    </row>
    <row r="582" spans="1:13" ht="14.4" x14ac:dyDescent="0.25">
      <c r="A582" s="247"/>
      <c r="B582" s="248" t="s">
        <v>188</v>
      </c>
      <c r="C582" s="231">
        <f ca="1">C581+C578+C573+C572+C580+C579</f>
        <v>4.6278819428398661</v>
      </c>
      <c r="D582" s="252">
        <f ca="1">D581+D578+D573+D572+D580+D579</f>
        <v>4.6278819428398661</v>
      </c>
      <c r="E582" s="231">
        <f ca="1">E581+E578+E573+E572+E580+E579</f>
        <v>4.6278819428398661</v>
      </c>
      <c r="F582" s="251"/>
      <c r="G582" s="251"/>
      <c r="H582" s="251"/>
      <c r="I582" s="251"/>
      <c r="J582" s="251"/>
      <c r="K582" s="238">
        <v>0.9</v>
      </c>
      <c r="L582" s="238">
        <v>0.01</v>
      </c>
      <c r="M582" s="278"/>
    </row>
    <row r="583" spans="1:13" ht="16.8" x14ac:dyDescent="0.25">
      <c r="A583" s="247"/>
      <c r="B583" s="248" t="s">
        <v>189</v>
      </c>
      <c r="C583" s="231">
        <f ca="1">C582*C565^2/2/9.81</f>
        <v>0.42535457027496609</v>
      </c>
      <c r="D583" s="252">
        <f ca="1">D582*D565^2/2/9.81</f>
        <v>0.66461651605463457</v>
      </c>
      <c r="E583" s="231">
        <f ca="1">E582*E565^2/2/9.81</f>
        <v>6.805673124399457E-2</v>
      </c>
      <c r="F583" s="251"/>
      <c r="G583" s="251"/>
      <c r="H583" s="251"/>
      <c r="I583" s="251"/>
      <c r="J583" s="251"/>
      <c r="K583" s="251"/>
      <c r="L583" s="251"/>
      <c r="M583" s="278"/>
    </row>
    <row r="584" spans="1:13" ht="14.4" x14ac:dyDescent="0.25">
      <c r="A584" s="268" t="s">
        <v>190</v>
      </c>
      <c r="B584" s="269" t="s">
        <v>191</v>
      </c>
      <c r="C584" s="270">
        <f ca="1">C571+C583</f>
        <v>1.2733973159580401</v>
      </c>
      <c r="D584" s="270">
        <f ca="1">D571+D583</f>
        <v>1.9896833061844377</v>
      </c>
      <c r="E584" s="271">
        <f ca="1">E571+E583</f>
        <v>0.2037435705532864</v>
      </c>
      <c r="F584" s="251"/>
      <c r="G584" s="272" t="s">
        <v>192</v>
      </c>
      <c r="H584" s="241">
        <v>2.4</v>
      </c>
      <c r="I584" s="251"/>
      <c r="J584" s="251"/>
      <c r="K584" s="251"/>
      <c r="L584" s="251"/>
      <c r="M584" s="278"/>
    </row>
    <row r="585" spans="1:13" ht="14.4" x14ac:dyDescent="0.25">
      <c r="A585" s="273" t="s">
        <v>193</v>
      </c>
      <c r="B585" s="274"/>
      <c r="C585" s="231">
        <f ca="1">C584+(C565^2-D540^2)/(2*9.81)</f>
        <v>-0.20779015316841587</v>
      </c>
      <c r="D585" s="252">
        <f ca="1">D584+(D565^2-D539^2)/(2*9.81)</f>
        <v>0.56019593415096147</v>
      </c>
      <c r="E585" s="231">
        <f ca="1">E584+(E565^2-D541^2)/(2*9.81)</f>
        <v>-1.3546493768986858</v>
      </c>
      <c r="F585" s="251"/>
      <c r="G585" s="251"/>
      <c r="H585" s="251"/>
      <c r="I585" s="251"/>
      <c r="J585" s="251"/>
      <c r="K585" s="251"/>
      <c r="L585" s="251"/>
      <c r="M585" s="278"/>
    </row>
    <row r="586" spans="1:13" ht="14.4" x14ac:dyDescent="0.25">
      <c r="A586" s="273" t="s">
        <v>194</v>
      </c>
      <c r="B586" s="274"/>
      <c r="C586" s="231">
        <f ca="1">C585+C548-D548</f>
        <v>-3.9633457087239714</v>
      </c>
      <c r="D586" s="252">
        <f ca="1">D585+C546-D546</f>
        <v>-3.1953596214045938</v>
      </c>
      <c r="E586" s="231">
        <f ca="1">E585+C550-D550</f>
        <v>-5.1102049324542413</v>
      </c>
      <c r="F586" s="251"/>
      <c r="G586" s="251"/>
      <c r="H586" s="251"/>
      <c r="I586" s="251"/>
      <c r="J586" s="251"/>
      <c r="K586" s="251"/>
      <c r="L586" s="251"/>
      <c r="M586" s="278"/>
    </row>
    <row r="587" spans="1:13" x14ac:dyDescent="0.25">
      <c r="A587" s="286"/>
      <c r="B587" s="287"/>
      <c r="C587" s="251"/>
      <c r="D587" s="251"/>
      <c r="E587" s="251"/>
      <c r="F587" s="251"/>
      <c r="G587" s="251"/>
      <c r="H587" s="251"/>
      <c r="I587" s="251"/>
      <c r="J587" s="251"/>
      <c r="K587" s="251"/>
      <c r="L587" s="251"/>
      <c r="M587" s="278"/>
    </row>
    <row r="588" spans="1:13" ht="18" x14ac:dyDescent="0.4">
      <c r="A588" s="288"/>
      <c r="B588" s="289" t="s">
        <v>26</v>
      </c>
      <c r="C588" s="289" t="s">
        <v>195</v>
      </c>
      <c r="D588" s="289" t="s">
        <v>196</v>
      </c>
      <c r="E588" s="289" t="s">
        <v>197</v>
      </c>
      <c r="F588" s="289" t="s">
        <v>198</v>
      </c>
      <c r="G588" s="289" t="s">
        <v>199</v>
      </c>
      <c r="H588" s="289" t="s">
        <v>200</v>
      </c>
      <c r="I588" s="251"/>
      <c r="J588" s="289" t="s">
        <v>201</v>
      </c>
      <c r="K588" s="289" t="s">
        <v>202</v>
      </c>
      <c r="L588" s="289" t="s">
        <v>197</v>
      </c>
      <c r="M588" s="292" t="s">
        <v>199</v>
      </c>
    </row>
    <row r="589" spans="1:13" x14ac:dyDescent="0.25">
      <c r="A589" s="288">
        <v>1</v>
      </c>
      <c r="B589" s="264">
        <v>10</v>
      </c>
      <c r="C589" s="290">
        <f>C564</f>
        <v>1.6</v>
      </c>
      <c r="D589" s="290">
        <f t="shared" ref="D589:D628" si="67">B589/C589</f>
        <v>6.25</v>
      </c>
      <c r="E589" s="264">
        <v>8.6080000000000005</v>
      </c>
      <c r="F589" s="290">
        <f t="shared" ref="F589:F628" ca="1" si="68">TREND(OFFSET($K$66,MATCH(D589,$J$67:$J$79),0,2,1),OFFSET($J$66,MATCH(D589,$J$67:$J$79),0,2,1),D589)</f>
        <v>0.27750000000000002</v>
      </c>
      <c r="G589" s="290">
        <f ca="1">TREND(OFFSET($M$66,MATCH(E589,$L$67:$L$80),0,2,1),OFFSET($L$66,MATCH(E589,$L$67:$L$80),0,2,1),E589)</f>
        <v>0.200768</v>
      </c>
      <c r="H589" s="290">
        <f t="shared" ref="H589:H628" ca="1" si="69">F589*G589</f>
        <v>5.5713120000000005E-2</v>
      </c>
      <c r="I589" s="251"/>
      <c r="J589" s="289">
        <v>0.5</v>
      </c>
      <c r="K589" s="289">
        <v>1.2</v>
      </c>
      <c r="L589" s="289">
        <v>0</v>
      </c>
      <c r="M589" s="292">
        <v>0</v>
      </c>
    </row>
    <row r="590" spans="1:13" x14ac:dyDescent="0.25">
      <c r="A590" s="288">
        <v>2</v>
      </c>
      <c r="B590" s="264">
        <v>10</v>
      </c>
      <c r="C590" s="290">
        <f t="shared" ref="C590:C628" si="70">C589</f>
        <v>1.6</v>
      </c>
      <c r="D590" s="290">
        <f t="shared" si="67"/>
        <v>6.25</v>
      </c>
      <c r="E590" s="264">
        <v>6.5810000000000004</v>
      </c>
      <c r="F590" s="290">
        <f t="shared" ca="1" si="68"/>
        <v>0.27750000000000002</v>
      </c>
      <c r="G590" s="290">
        <f t="shared" ref="G590:G628" ca="1" si="71">TREND(OFFSET($M$66,MATCH(E590,$L$67:$L$79),0,2,1),OFFSET($L$66,MATCH(E590,$L$67:$L$79),0,2,1),E590)</f>
        <v>0.15820100000000001</v>
      </c>
      <c r="H590" s="290">
        <f t="shared" ca="1" si="69"/>
        <v>4.3900777500000009E-2</v>
      </c>
      <c r="I590" s="251"/>
      <c r="J590" s="289">
        <v>1</v>
      </c>
      <c r="K590" s="289">
        <v>0.8</v>
      </c>
      <c r="L590" s="289">
        <v>5</v>
      </c>
      <c r="M590" s="292">
        <v>0.125</v>
      </c>
    </row>
    <row r="591" spans="1:13" x14ac:dyDescent="0.25">
      <c r="A591" s="288">
        <v>3</v>
      </c>
      <c r="B591" s="264">
        <v>10</v>
      </c>
      <c r="C591" s="290">
        <f t="shared" si="70"/>
        <v>1.6</v>
      </c>
      <c r="D591" s="290">
        <f t="shared" si="67"/>
        <v>6.25</v>
      </c>
      <c r="E591" s="264">
        <v>12.554</v>
      </c>
      <c r="F591" s="290">
        <f t="shared" ca="1" si="68"/>
        <v>0.27750000000000002</v>
      </c>
      <c r="G591" s="290">
        <f t="shared" ca="1" si="71"/>
        <v>0.27341800000000005</v>
      </c>
      <c r="H591" s="290">
        <f t="shared" ca="1" si="69"/>
        <v>7.5873495000000027E-2</v>
      </c>
      <c r="I591" s="251"/>
      <c r="J591" s="289">
        <v>1.5</v>
      </c>
      <c r="K591" s="289">
        <v>0.6</v>
      </c>
      <c r="L591" s="289">
        <v>10</v>
      </c>
      <c r="M591" s="292">
        <v>0.23</v>
      </c>
    </row>
    <row r="592" spans="1:13" x14ac:dyDescent="0.25">
      <c r="A592" s="288">
        <v>4</v>
      </c>
      <c r="B592" s="264">
        <v>10</v>
      </c>
      <c r="C592" s="290">
        <f t="shared" si="70"/>
        <v>1.6</v>
      </c>
      <c r="D592" s="290">
        <f t="shared" si="67"/>
        <v>6.25</v>
      </c>
      <c r="E592" s="264">
        <v>10.814</v>
      </c>
      <c r="F592" s="290">
        <f t="shared" ca="1" si="68"/>
        <v>0.27750000000000002</v>
      </c>
      <c r="G592" s="290">
        <f t="shared" ca="1" si="71"/>
        <v>0.243838</v>
      </c>
      <c r="H592" s="290">
        <f t="shared" ca="1" si="69"/>
        <v>6.7665045000000007E-2</v>
      </c>
      <c r="I592" s="251"/>
      <c r="J592" s="289">
        <v>2</v>
      </c>
      <c r="K592" s="289">
        <v>0.48</v>
      </c>
      <c r="L592" s="289">
        <v>20</v>
      </c>
      <c r="M592" s="292">
        <v>0.4</v>
      </c>
    </row>
    <row r="593" spans="1:13" x14ac:dyDescent="0.25">
      <c r="A593" s="288">
        <v>5</v>
      </c>
      <c r="B593" s="264">
        <v>10</v>
      </c>
      <c r="C593" s="290">
        <f t="shared" si="70"/>
        <v>1.6</v>
      </c>
      <c r="D593" s="290">
        <f t="shared" si="67"/>
        <v>6.25</v>
      </c>
      <c r="E593" s="264">
        <v>2.742</v>
      </c>
      <c r="F593" s="290">
        <f t="shared" ca="1" si="68"/>
        <v>0.27750000000000002</v>
      </c>
      <c r="G593" s="290">
        <f t="shared" ca="1" si="71"/>
        <v>6.855E-2</v>
      </c>
      <c r="H593" s="290">
        <f t="shared" ca="1" si="69"/>
        <v>1.9022625000000001E-2</v>
      </c>
      <c r="I593" s="251"/>
      <c r="J593" s="289">
        <v>3</v>
      </c>
      <c r="K593" s="289">
        <v>0.36</v>
      </c>
      <c r="L593" s="289">
        <v>30</v>
      </c>
      <c r="M593" s="292">
        <v>0.55000000000000004</v>
      </c>
    </row>
    <row r="594" spans="1:13" x14ac:dyDescent="0.25">
      <c r="A594" s="288">
        <v>6</v>
      </c>
      <c r="B594" s="264">
        <v>10</v>
      </c>
      <c r="C594" s="290">
        <f t="shared" si="70"/>
        <v>1.6</v>
      </c>
      <c r="D594" s="290">
        <f t="shared" si="67"/>
        <v>6.25</v>
      </c>
      <c r="E594" s="264">
        <v>3.0030000000000001</v>
      </c>
      <c r="F594" s="290">
        <f t="shared" ca="1" si="68"/>
        <v>0.27750000000000002</v>
      </c>
      <c r="G594" s="290">
        <f t="shared" ca="1" si="71"/>
        <v>7.5075000000000003E-2</v>
      </c>
      <c r="H594" s="290">
        <f t="shared" ca="1" si="69"/>
        <v>2.0833312500000003E-2</v>
      </c>
      <c r="I594" s="251"/>
      <c r="J594" s="289">
        <v>4</v>
      </c>
      <c r="K594" s="289">
        <v>0.3</v>
      </c>
      <c r="L594" s="289">
        <v>40</v>
      </c>
      <c r="M594" s="292">
        <v>0.65</v>
      </c>
    </row>
    <row r="595" spans="1:13" x14ac:dyDescent="0.25">
      <c r="A595" s="288">
        <v>7</v>
      </c>
      <c r="B595" s="264">
        <v>10</v>
      </c>
      <c r="C595" s="290">
        <f t="shared" si="70"/>
        <v>1.6</v>
      </c>
      <c r="D595" s="290">
        <f t="shared" si="67"/>
        <v>6.25</v>
      </c>
      <c r="E595" s="264">
        <v>15.457000000000001</v>
      </c>
      <c r="F595" s="290">
        <f t="shared" ca="1" si="68"/>
        <v>0.27750000000000002</v>
      </c>
      <c r="G595" s="290">
        <f t="shared" ca="1" si="71"/>
        <v>0.32276900000000003</v>
      </c>
      <c r="H595" s="290">
        <f t="shared" ca="1" si="69"/>
        <v>8.9568397500000022E-2</v>
      </c>
      <c r="I595" s="251"/>
      <c r="J595" s="289">
        <v>5</v>
      </c>
      <c r="K595" s="289">
        <v>0.28999999999999998</v>
      </c>
      <c r="L595" s="289">
        <v>50</v>
      </c>
      <c r="M595" s="292">
        <v>0.75</v>
      </c>
    </row>
    <row r="596" spans="1:13" x14ac:dyDescent="0.25">
      <c r="A596" s="288">
        <v>8</v>
      </c>
      <c r="B596" s="264">
        <v>10</v>
      </c>
      <c r="C596" s="290">
        <f t="shared" si="70"/>
        <v>1.6</v>
      </c>
      <c r="D596" s="290">
        <f t="shared" si="67"/>
        <v>6.25</v>
      </c>
      <c r="E596" s="264">
        <v>17.843</v>
      </c>
      <c r="F596" s="290">
        <f t="shared" ca="1" si="68"/>
        <v>0.27750000000000002</v>
      </c>
      <c r="G596" s="290">
        <f t="shared" ca="1" si="71"/>
        <v>0.36333100000000002</v>
      </c>
      <c r="H596" s="290">
        <f t="shared" ca="1" si="69"/>
        <v>0.10082435250000002</v>
      </c>
      <c r="I596" s="251"/>
      <c r="J596" s="289">
        <v>6</v>
      </c>
      <c r="K596" s="289">
        <v>0.28000000000000003</v>
      </c>
      <c r="L596" s="289">
        <v>60</v>
      </c>
      <c r="M596" s="292">
        <v>0.83</v>
      </c>
    </row>
    <row r="597" spans="1:13" x14ac:dyDescent="0.25">
      <c r="A597" s="288">
        <v>9</v>
      </c>
      <c r="B597" s="264">
        <v>10</v>
      </c>
      <c r="C597" s="290">
        <f t="shared" si="70"/>
        <v>1.6</v>
      </c>
      <c r="D597" s="290">
        <f t="shared" si="67"/>
        <v>6.25</v>
      </c>
      <c r="E597" s="264">
        <v>3.7959999999999998</v>
      </c>
      <c r="F597" s="290">
        <f t="shared" ca="1" si="68"/>
        <v>0.27750000000000002</v>
      </c>
      <c r="G597" s="290">
        <f t="shared" ca="1" si="71"/>
        <v>9.4899999999999984E-2</v>
      </c>
      <c r="H597" s="290">
        <f t="shared" ca="1" si="69"/>
        <v>2.6334749999999997E-2</v>
      </c>
      <c r="I597" s="251"/>
      <c r="J597" s="289">
        <v>7</v>
      </c>
      <c r="K597" s="289">
        <v>0.27</v>
      </c>
      <c r="L597" s="289">
        <v>70</v>
      </c>
      <c r="M597" s="292">
        <v>0.88</v>
      </c>
    </row>
    <row r="598" spans="1:13" x14ac:dyDescent="0.25">
      <c r="A598" s="288">
        <v>10</v>
      </c>
      <c r="B598" s="264">
        <v>10</v>
      </c>
      <c r="C598" s="290">
        <f t="shared" si="70"/>
        <v>1.6</v>
      </c>
      <c r="D598" s="290">
        <f t="shared" si="67"/>
        <v>6.25</v>
      </c>
      <c r="E598" s="264">
        <v>5.36</v>
      </c>
      <c r="F598" s="290">
        <f t="shared" ca="1" si="68"/>
        <v>0.27750000000000002</v>
      </c>
      <c r="G598" s="290">
        <f t="shared" ca="1" si="71"/>
        <v>0.13256000000000001</v>
      </c>
      <c r="H598" s="290">
        <f t="shared" ca="1" si="69"/>
        <v>3.678540000000001E-2</v>
      </c>
      <c r="I598" s="251"/>
      <c r="J598" s="289">
        <v>8</v>
      </c>
      <c r="K598" s="289">
        <v>0.26</v>
      </c>
      <c r="L598" s="289">
        <v>80</v>
      </c>
      <c r="M598" s="292">
        <v>0.95</v>
      </c>
    </row>
    <row r="599" spans="1:13" x14ac:dyDescent="0.25">
      <c r="A599" s="288">
        <v>11</v>
      </c>
      <c r="B599" s="264">
        <v>10</v>
      </c>
      <c r="C599" s="290">
        <f t="shared" si="70"/>
        <v>1.6</v>
      </c>
      <c r="D599" s="290">
        <f t="shared" si="67"/>
        <v>6.25</v>
      </c>
      <c r="E599" s="264">
        <v>3.5659999999999998</v>
      </c>
      <c r="F599" s="290">
        <f t="shared" ca="1" si="68"/>
        <v>0.27750000000000002</v>
      </c>
      <c r="G599" s="290">
        <f t="shared" ca="1" si="71"/>
        <v>8.9150000000000007E-2</v>
      </c>
      <c r="H599" s="290">
        <f t="shared" ca="1" si="69"/>
        <v>2.4739125000000004E-2</v>
      </c>
      <c r="I599" s="251"/>
      <c r="J599" s="289">
        <v>9</v>
      </c>
      <c r="K599" s="289">
        <v>0.25</v>
      </c>
      <c r="L599" s="289">
        <v>90</v>
      </c>
      <c r="M599" s="292">
        <v>1</v>
      </c>
    </row>
    <row r="600" spans="1:13" x14ac:dyDescent="0.25">
      <c r="A600" s="288">
        <v>12</v>
      </c>
      <c r="B600" s="264">
        <v>10</v>
      </c>
      <c r="C600" s="290">
        <f t="shared" si="70"/>
        <v>1.6</v>
      </c>
      <c r="D600" s="290">
        <f t="shared" si="67"/>
        <v>6.25</v>
      </c>
      <c r="E600" s="264">
        <v>3.5659999999999998</v>
      </c>
      <c r="F600" s="290">
        <f t="shared" ca="1" si="68"/>
        <v>0.27750000000000002</v>
      </c>
      <c r="G600" s="290">
        <f t="shared" ca="1" si="71"/>
        <v>8.9150000000000007E-2</v>
      </c>
      <c r="H600" s="290">
        <f t="shared" ca="1" si="69"/>
        <v>2.4739125000000004E-2</v>
      </c>
      <c r="I600" s="251"/>
      <c r="J600" s="289">
        <v>10</v>
      </c>
      <c r="K600" s="289">
        <v>0.24</v>
      </c>
      <c r="L600" s="289">
        <v>100</v>
      </c>
      <c r="M600" s="292">
        <v>1.05</v>
      </c>
    </row>
    <row r="601" spans="1:13" x14ac:dyDescent="0.25">
      <c r="A601" s="288">
        <v>13</v>
      </c>
      <c r="B601" s="264">
        <v>10</v>
      </c>
      <c r="C601" s="290">
        <f t="shared" si="70"/>
        <v>1.6</v>
      </c>
      <c r="D601" s="290">
        <f t="shared" si="67"/>
        <v>6.25</v>
      </c>
      <c r="E601" s="264">
        <v>5.1630000000000003</v>
      </c>
      <c r="F601" s="290">
        <f t="shared" ca="1" si="68"/>
        <v>0.27750000000000002</v>
      </c>
      <c r="G601" s="290">
        <f t="shared" ca="1" si="71"/>
        <v>0.12842300000000001</v>
      </c>
      <c r="H601" s="290">
        <f t="shared" ca="1" si="69"/>
        <v>3.5637382500000009E-2</v>
      </c>
      <c r="I601" s="251"/>
      <c r="J601" s="289">
        <v>11</v>
      </c>
      <c r="K601" s="289">
        <v>0.23</v>
      </c>
      <c r="L601" s="289">
        <v>120</v>
      </c>
      <c r="M601" s="292">
        <v>1.1299999999999999</v>
      </c>
    </row>
    <row r="602" spans="1:13" x14ac:dyDescent="0.25">
      <c r="A602" s="288">
        <v>14</v>
      </c>
      <c r="B602" s="264">
        <v>10</v>
      </c>
      <c r="C602" s="290">
        <f t="shared" si="70"/>
        <v>1.6</v>
      </c>
      <c r="D602" s="290">
        <f t="shared" si="67"/>
        <v>6.25</v>
      </c>
      <c r="E602" s="264">
        <v>14.269</v>
      </c>
      <c r="F602" s="290">
        <f t="shared" ca="1" si="68"/>
        <v>0.27750000000000002</v>
      </c>
      <c r="G602" s="290">
        <f t="shared" ca="1" si="71"/>
        <v>0.30257299999999998</v>
      </c>
      <c r="H602" s="290">
        <f t="shared" ca="1" si="69"/>
        <v>8.3964007500000007E-2</v>
      </c>
      <c r="I602" s="251"/>
      <c r="J602" s="289"/>
      <c r="K602" s="289"/>
      <c r="L602" s="289">
        <v>140</v>
      </c>
      <c r="M602" s="292">
        <v>1.2</v>
      </c>
    </row>
    <row r="603" spans="1:13" x14ac:dyDescent="0.25">
      <c r="A603" s="288">
        <v>15</v>
      </c>
      <c r="B603" s="264">
        <v>10</v>
      </c>
      <c r="C603" s="290">
        <f t="shared" si="70"/>
        <v>1.6</v>
      </c>
      <c r="D603" s="290">
        <f t="shared" si="67"/>
        <v>6.25</v>
      </c>
      <c r="E603" s="264">
        <v>19.375</v>
      </c>
      <c r="F603" s="290">
        <f t="shared" ca="1" si="68"/>
        <v>0.27750000000000002</v>
      </c>
      <c r="G603" s="290">
        <f t="shared" ca="1" si="71"/>
        <v>0.38937500000000003</v>
      </c>
      <c r="H603" s="290">
        <f t="shared" ca="1" si="69"/>
        <v>0.10805156250000002</v>
      </c>
      <c r="I603" s="251"/>
      <c r="J603" s="251"/>
      <c r="K603" s="251"/>
      <c r="L603" s="251"/>
      <c r="M603" s="278"/>
    </row>
    <row r="604" spans="1:13" x14ac:dyDescent="0.25">
      <c r="A604" s="288">
        <v>16</v>
      </c>
      <c r="B604" s="264">
        <v>10</v>
      </c>
      <c r="C604" s="290">
        <f t="shared" si="70"/>
        <v>1.6</v>
      </c>
      <c r="D604" s="290">
        <f t="shared" si="67"/>
        <v>6.25</v>
      </c>
      <c r="E604" s="264">
        <v>31.556000000000001</v>
      </c>
      <c r="F604" s="290">
        <f t="shared" ca="1" si="68"/>
        <v>0.27750000000000002</v>
      </c>
      <c r="G604" s="290">
        <f t="shared" ca="1" si="71"/>
        <v>0.56556000000000006</v>
      </c>
      <c r="H604" s="290">
        <f t="shared" ca="1" si="69"/>
        <v>0.15694290000000002</v>
      </c>
      <c r="I604" s="251"/>
      <c r="J604" s="251"/>
      <c r="K604" s="251"/>
      <c r="L604" s="251"/>
      <c r="M604" s="278"/>
    </row>
    <row r="605" spans="1:13" x14ac:dyDescent="0.25">
      <c r="A605" s="288">
        <v>17</v>
      </c>
      <c r="B605" s="264">
        <v>10</v>
      </c>
      <c r="C605" s="290">
        <f t="shared" si="70"/>
        <v>1.6</v>
      </c>
      <c r="D605" s="290">
        <f t="shared" si="67"/>
        <v>6.25</v>
      </c>
      <c r="E605" s="264">
        <v>31.611999999999998</v>
      </c>
      <c r="F605" s="290">
        <f t="shared" ca="1" si="68"/>
        <v>0.27750000000000002</v>
      </c>
      <c r="G605" s="290">
        <f t="shared" ca="1" si="71"/>
        <v>0.56612000000000018</v>
      </c>
      <c r="H605" s="290">
        <f t="shared" ca="1" si="69"/>
        <v>0.15709830000000005</v>
      </c>
      <c r="I605" s="251"/>
      <c r="J605" s="251"/>
      <c r="K605" s="251"/>
      <c r="L605" s="251"/>
      <c r="M605" s="278"/>
    </row>
    <row r="606" spans="1:13" x14ac:dyDescent="0.25">
      <c r="A606" s="288">
        <v>18</v>
      </c>
      <c r="B606" s="264">
        <v>10</v>
      </c>
      <c r="C606" s="290">
        <f t="shared" si="70"/>
        <v>1.6</v>
      </c>
      <c r="D606" s="290">
        <f t="shared" si="67"/>
        <v>6.25</v>
      </c>
      <c r="E606" s="264">
        <v>12.247</v>
      </c>
      <c r="F606" s="290">
        <f t="shared" ca="1" si="68"/>
        <v>0.27750000000000002</v>
      </c>
      <c r="G606" s="290">
        <f t="shared" ca="1" si="71"/>
        <v>0.26819900000000002</v>
      </c>
      <c r="H606" s="290">
        <f t="shared" ca="1" si="69"/>
        <v>7.4425222500000013E-2</v>
      </c>
      <c r="I606" s="251"/>
      <c r="J606" s="251"/>
      <c r="K606" s="251"/>
      <c r="L606" s="251"/>
      <c r="M606" s="278"/>
    </row>
    <row r="607" spans="1:13" x14ac:dyDescent="0.25">
      <c r="A607" s="288">
        <v>19</v>
      </c>
      <c r="B607" s="264">
        <v>10</v>
      </c>
      <c r="C607" s="290">
        <f t="shared" si="70"/>
        <v>1.6</v>
      </c>
      <c r="D607" s="290">
        <f t="shared" si="67"/>
        <v>6.25</v>
      </c>
      <c r="E607" s="264">
        <v>12.205</v>
      </c>
      <c r="F607" s="290">
        <f t="shared" ca="1" si="68"/>
        <v>0.27750000000000002</v>
      </c>
      <c r="G607" s="290">
        <f t="shared" ca="1" si="71"/>
        <v>0.26748499999999997</v>
      </c>
      <c r="H607" s="290">
        <f t="shared" ca="1" si="69"/>
        <v>7.4227087499999997E-2</v>
      </c>
      <c r="I607" s="251"/>
      <c r="J607" s="251"/>
      <c r="K607" s="251"/>
      <c r="L607" s="251"/>
      <c r="M607" s="278"/>
    </row>
    <row r="608" spans="1:13" x14ac:dyDescent="0.25">
      <c r="A608" s="288">
        <v>20</v>
      </c>
      <c r="B608" s="264">
        <v>10</v>
      </c>
      <c r="C608" s="290">
        <f t="shared" si="70"/>
        <v>1.6</v>
      </c>
      <c r="D608" s="290">
        <f t="shared" si="67"/>
        <v>6.25</v>
      </c>
      <c r="E608" s="264">
        <v>12.523</v>
      </c>
      <c r="F608" s="290">
        <f t="shared" ca="1" si="68"/>
        <v>0.27750000000000002</v>
      </c>
      <c r="G608" s="290">
        <f t="shared" ca="1" si="71"/>
        <v>0.27289099999999999</v>
      </c>
      <c r="H608" s="290">
        <f t="shared" ca="1" si="69"/>
        <v>7.5727252500000009E-2</v>
      </c>
      <c r="I608" s="251"/>
      <c r="J608" s="251"/>
      <c r="K608" s="251"/>
      <c r="L608" s="251"/>
      <c r="M608" s="278"/>
    </row>
    <row r="609" spans="1:13" x14ac:dyDescent="0.25">
      <c r="A609" s="288">
        <v>21</v>
      </c>
      <c r="B609" s="264">
        <v>10</v>
      </c>
      <c r="C609" s="290">
        <f t="shared" si="70"/>
        <v>1.6</v>
      </c>
      <c r="D609" s="290">
        <f t="shared" si="67"/>
        <v>6.25</v>
      </c>
      <c r="E609" s="264">
        <v>12.564</v>
      </c>
      <c r="F609" s="290">
        <f t="shared" ca="1" si="68"/>
        <v>0.27750000000000002</v>
      </c>
      <c r="G609" s="290">
        <f t="shared" ca="1" si="71"/>
        <v>0.27358800000000005</v>
      </c>
      <c r="H609" s="290">
        <f t="shared" ca="1" si="69"/>
        <v>7.5920670000000023E-2</v>
      </c>
      <c r="I609" s="251"/>
      <c r="J609" s="251"/>
      <c r="K609" s="251"/>
      <c r="L609" s="251"/>
      <c r="M609" s="278"/>
    </row>
    <row r="610" spans="1:13" x14ac:dyDescent="0.25">
      <c r="A610" s="288">
        <v>22</v>
      </c>
      <c r="B610" s="264">
        <v>10</v>
      </c>
      <c r="C610" s="290">
        <f t="shared" si="70"/>
        <v>1.6</v>
      </c>
      <c r="D610" s="290">
        <f t="shared" si="67"/>
        <v>6.25</v>
      </c>
      <c r="E610" s="264">
        <v>9.3780000000000001</v>
      </c>
      <c r="F610" s="290">
        <f t="shared" ca="1" si="68"/>
        <v>0.27750000000000002</v>
      </c>
      <c r="G610" s="290">
        <f t="shared" ca="1" si="71"/>
        <v>0.21693799999999999</v>
      </c>
      <c r="H610" s="290">
        <f t="shared" ca="1" si="69"/>
        <v>6.0200295000000001E-2</v>
      </c>
      <c r="I610" s="251"/>
      <c r="J610" s="251"/>
      <c r="K610" s="251"/>
      <c r="L610" s="251"/>
      <c r="M610" s="278"/>
    </row>
    <row r="611" spans="1:13" x14ac:dyDescent="0.25">
      <c r="A611" s="288">
        <v>23</v>
      </c>
      <c r="B611" s="264">
        <v>10</v>
      </c>
      <c r="C611" s="290">
        <f t="shared" si="70"/>
        <v>1.6</v>
      </c>
      <c r="D611" s="290">
        <f t="shared" si="67"/>
        <v>6.25</v>
      </c>
      <c r="E611" s="264">
        <v>8.6379999999999999</v>
      </c>
      <c r="F611" s="290">
        <f t="shared" ca="1" si="68"/>
        <v>0.27750000000000002</v>
      </c>
      <c r="G611" s="290">
        <f t="shared" ca="1" si="71"/>
        <v>0.20139799999999999</v>
      </c>
      <c r="H611" s="290">
        <f t="shared" ca="1" si="69"/>
        <v>5.5887945000000001E-2</v>
      </c>
      <c r="I611" s="251"/>
      <c r="J611" s="251"/>
      <c r="K611" s="251"/>
      <c r="L611" s="251"/>
      <c r="M611" s="278"/>
    </row>
    <row r="612" spans="1:13" x14ac:dyDescent="0.25">
      <c r="A612" s="288">
        <v>24</v>
      </c>
      <c r="B612" s="264">
        <v>10</v>
      </c>
      <c r="C612" s="290">
        <f t="shared" si="70"/>
        <v>1.6</v>
      </c>
      <c r="D612" s="290">
        <f t="shared" si="67"/>
        <v>6.25</v>
      </c>
      <c r="E612" s="264">
        <v>2.2010000000000001</v>
      </c>
      <c r="F612" s="290">
        <f t="shared" ca="1" si="68"/>
        <v>0.27750000000000002</v>
      </c>
      <c r="G612" s="290">
        <f t="shared" ca="1" si="71"/>
        <v>5.5025000000000004E-2</v>
      </c>
      <c r="H612" s="290">
        <f t="shared" ca="1" si="69"/>
        <v>1.5269437500000002E-2</v>
      </c>
      <c r="I612" s="251"/>
      <c r="J612" s="251"/>
      <c r="K612" s="251"/>
      <c r="L612" s="251"/>
      <c r="M612" s="278"/>
    </row>
    <row r="613" spans="1:13" x14ac:dyDescent="0.25">
      <c r="A613" s="288">
        <v>25</v>
      </c>
      <c r="B613" s="264">
        <v>10</v>
      </c>
      <c r="C613" s="290">
        <f t="shared" si="70"/>
        <v>1.6</v>
      </c>
      <c r="D613" s="290">
        <f t="shared" si="67"/>
        <v>6.25</v>
      </c>
      <c r="E613" s="264">
        <v>1.4079999999999999</v>
      </c>
      <c r="F613" s="290">
        <f t="shared" ca="1" si="68"/>
        <v>0.27750000000000002</v>
      </c>
      <c r="G613" s="290">
        <f t="shared" ca="1" si="71"/>
        <v>3.5200000000000002E-2</v>
      </c>
      <c r="H613" s="290">
        <f t="shared" ca="1" si="69"/>
        <v>9.7680000000000006E-3</v>
      </c>
      <c r="I613" s="251"/>
      <c r="J613" s="251"/>
      <c r="K613" s="251"/>
      <c r="L613" s="251"/>
      <c r="M613" s="278"/>
    </row>
    <row r="614" spans="1:13" x14ac:dyDescent="0.25">
      <c r="A614" s="288">
        <v>26</v>
      </c>
      <c r="B614" s="264">
        <v>10</v>
      </c>
      <c r="C614" s="290">
        <f t="shared" si="70"/>
        <v>1.6</v>
      </c>
      <c r="D614" s="290">
        <f t="shared" si="67"/>
        <v>6.25</v>
      </c>
      <c r="E614" s="264">
        <v>35.817999999999998</v>
      </c>
      <c r="F614" s="290">
        <f t="shared" ca="1" si="68"/>
        <v>0.27750000000000002</v>
      </c>
      <c r="G614" s="290">
        <f t="shared" ca="1" si="71"/>
        <v>0.60818000000000016</v>
      </c>
      <c r="H614" s="290">
        <f t="shared" ca="1" si="69"/>
        <v>0.16876995000000006</v>
      </c>
      <c r="I614" s="251"/>
      <c r="J614" s="251"/>
      <c r="K614" s="251"/>
      <c r="L614" s="251"/>
      <c r="M614" s="278"/>
    </row>
    <row r="615" spans="1:13" x14ac:dyDescent="0.25">
      <c r="A615" s="288">
        <v>27</v>
      </c>
      <c r="B615" s="264">
        <v>10</v>
      </c>
      <c r="C615" s="290">
        <f t="shared" si="70"/>
        <v>1.6</v>
      </c>
      <c r="D615" s="290">
        <f t="shared" si="67"/>
        <v>6.25</v>
      </c>
      <c r="E615" s="264">
        <v>35.694000000000003</v>
      </c>
      <c r="F615" s="290">
        <f t="shared" ca="1" si="68"/>
        <v>0.27750000000000002</v>
      </c>
      <c r="G615" s="290">
        <f t="shared" ca="1" si="71"/>
        <v>0.60694000000000015</v>
      </c>
      <c r="H615" s="290">
        <f t="shared" ca="1" si="69"/>
        <v>0.16842585000000004</v>
      </c>
      <c r="I615" s="251"/>
      <c r="J615" s="251"/>
      <c r="K615" s="251"/>
      <c r="L615" s="251"/>
      <c r="M615" s="278"/>
    </row>
    <row r="616" spans="1:13" x14ac:dyDescent="0.25">
      <c r="A616" s="288">
        <v>28</v>
      </c>
      <c r="B616" s="264">
        <v>10</v>
      </c>
      <c r="C616" s="290">
        <f t="shared" si="70"/>
        <v>1.6</v>
      </c>
      <c r="D616" s="290">
        <f t="shared" si="67"/>
        <v>6.25</v>
      </c>
      <c r="E616" s="264">
        <v>3.3639999999999999</v>
      </c>
      <c r="F616" s="290">
        <f t="shared" ca="1" si="68"/>
        <v>0.27750000000000002</v>
      </c>
      <c r="G616" s="290">
        <f t="shared" ca="1" si="71"/>
        <v>8.4100000000000008E-2</v>
      </c>
      <c r="H616" s="290">
        <f t="shared" ca="1" si="69"/>
        <v>2.3337750000000004E-2</v>
      </c>
      <c r="I616" s="251"/>
      <c r="J616" s="251"/>
      <c r="K616" s="251"/>
      <c r="L616" s="251"/>
      <c r="M616" s="278"/>
    </row>
    <row r="617" spans="1:13" x14ac:dyDescent="0.25">
      <c r="A617" s="288">
        <v>29</v>
      </c>
      <c r="B617" s="264">
        <v>10</v>
      </c>
      <c r="C617" s="290">
        <f t="shared" si="70"/>
        <v>1.6</v>
      </c>
      <c r="D617" s="290">
        <f t="shared" si="67"/>
        <v>6.25</v>
      </c>
      <c r="E617" s="264">
        <v>20.135999999999999</v>
      </c>
      <c r="F617" s="290">
        <f t="shared" ca="1" si="68"/>
        <v>0.27750000000000002</v>
      </c>
      <c r="G617" s="290">
        <f t="shared" ca="1" si="71"/>
        <v>0.40204000000000001</v>
      </c>
      <c r="H617" s="290">
        <f t="shared" ca="1" si="69"/>
        <v>0.11156610000000002</v>
      </c>
      <c r="I617" s="251"/>
      <c r="J617" s="251"/>
      <c r="K617" s="251"/>
      <c r="L617" s="251"/>
      <c r="M617" s="278"/>
    </row>
    <row r="618" spans="1:13" x14ac:dyDescent="0.25">
      <c r="A618" s="288">
        <v>30</v>
      </c>
      <c r="B618" s="264">
        <v>10</v>
      </c>
      <c r="C618" s="290">
        <f t="shared" si="70"/>
        <v>1.6</v>
      </c>
      <c r="D618" s="290">
        <f t="shared" si="67"/>
        <v>6.25</v>
      </c>
      <c r="E618" s="264">
        <v>15.31</v>
      </c>
      <c r="F618" s="290">
        <f t="shared" ca="1" si="68"/>
        <v>0.27750000000000002</v>
      </c>
      <c r="G618" s="290">
        <f t="shared" ca="1" si="71"/>
        <v>0.32027</v>
      </c>
      <c r="H618" s="290">
        <f t="shared" ca="1" si="69"/>
        <v>8.8874925000000007E-2</v>
      </c>
      <c r="I618" s="251"/>
      <c r="J618" s="251"/>
      <c r="K618" s="251"/>
      <c r="L618" s="251"/>
      <c r="M618" s="278"/>
    </row>
    <row r="619" spans="1:13" x14ac:dyDescent="0.25">
      <c r="A619" s="288">
        <v>31</v>
      </c>
      <c r="B619" s="264">
        <v>10</v>
      </c>
      <c r="C619" s="290">
        <f t="shared" si="70"/>
        <v>1.6</v>
      </c>
      <c r="D619" s="290">
        <f t="shared" si="67"/>
        <v>6.25</v>
      </c>
      <c r="E619" s="264">
        <v>25.065999999999999</v>
      </c>
      <c r="F619" s="290">
        <f t="shared" ca="1" si="68"/>
        <v>0.27750000000000002</v>
      </c>
      <c r="G619" s="290">
        <f t="shared" ca="1" si="71"/>
        <v>0.47599000000000002</v>
      </c>
      <c r="H619" s="290">
        <f t="shared" ca="1" si="69"/>
        <v>0.13208722500000003</v>
      </c>
      <c r="I619" s="251"/>
      <c r="J619" s="251"/>
      <c r="K619" s="251"/>
      <c r="L619" s="251"/>
      <c r="M619" s="278"/>
    </row>
    <row r="620" spans="1:13" x14ac:dyDescent="0.25">
      <c r="A620" s="288">
        <v>32</v>
      </c>
      <c r="B620" s="264">
        <v>10</v>
      </c>
      <c r="C620" s="290">
        <f t="shared" si="70"/>
        <v>1.6</v>
      </c>
      <c r="D620" s="290">
        <f t="shared" si="67"/>
        <v>6.25</v>
      </c>
      <c r="E620" s="264">
        <v>23.573</v>
      </c>
      <c r="F620" s="290">
        <f t="shared" ca="1" si="68"/>
        <v>0.27750000000000002</v>
      </c>
      <c r="G620" s="290">
        <f t="shared" ca="1" si="71"/>
        <v>0.45359500000000003</v>
      </c>
      <c r="H620" s="290">
        <f t="shared" ca="1" si="69"/>
        <v>0.12587261250000001</v>
      </c>
      <c r="I620" s="251"/>
      <c r="J620" s="251"/>
      <c r="K620" s="251"/>
      <c r="L620" s="251"/>
      <c r="M620" s="278"/>
    </row>
    <row r="621" spans="1:13" x14ac:dyDescent="0.25">
      <c r="A621" s="288">
        <v>33</v>
      </c>
      <c r="B621" s="264">
        <v>10</v>
      </c>
      <c r="C621" s="290">
        <f t="shared" si="70"/>
        <v>1.6</v>
      </c>
      <c r="D621" s="290">
        <f t="shared" si="67"/>
        <v>6.25</v>
      </c>
      <c r="E621" s="264">
        <v>12.138999999999999</v>
      </c>
      <c r="F621" s="290">
        <f t="shared" ca="1" si="68"/>
        <v>0.27750000000000002</v>
      </c>
      <c r="G621" s="290">
        <f t="shared" ca="1" si="71"/>
        <v>0.26636300000000002</v>
      </c>
      <c r="H621" s="290">
        <f t="shared" ca="1" si="69"/>
        <v>7.3915732500000011E-2</v>
      </c>
      <c r="I621" s="251"/>
      <c r="J621" s="251"/>
      <c r="K621" s="251"/>
      <c r="L621" s="251"/>
      <c r="M621" s="278"/>
    </row>
    <row r="622" spans="1:13" x14ac:dyDescent="0.25">
      <c r="A622" s="288">
        <v>34</v>
      </c>
      <c r="B622" s="264">
        <v>10</v>
      </c>
      <c r="C622" s="290">
        <f t="shared" si="70"/>
        <v>1.6</v>
      </c>
      <c r="D622" s="290">
        <f t="shared" si="67"/>
        <v>6.25</v>
      </c>
      <c r="E622" s="264">
        <v>3.9809999999999999</v>
      </c>
      <c r="F622" s="290">
        <f t="shared" ca="1" si="68"/>
        <v>0.27750000000000002</v>
      </c>
      <c r="G622" s="290">
        <f t="shared" ca="1" si="71"/>
        <v>9.9525000000000002E-2</v>
      </c>
      <c r="H622" s="290">
        <f t="shared" ca="1" si="69"/>
        <v>2.7618187500000002E-2</v>
      </c>
      <c r="I622" s="251"/>
      <c r="J622" s="251"/>
      <c r="K622" s="251"/>
      <c r="L622" s="251"/>
      <c r="M622" s="278"/>
    </row>
    <row r="623" spans="1:13" x14ac:dyDescent="0.25">
      <c r="A623" s="288">
        <v>35</v>
      </c>
      <c r="B623" s="264">
        <v>10</v>
      </c>
      <c r="C623" s="290">
        <f t="shared" si="70"/>
        <v>1.6</v>
      </c>
      <c r="D623" s="290">
        <f t="shared" si="67"/>
        <v>6.25</v>
      </c>
      <c r="E623" s="264">
        <v>7.9909999999999997</v>
      </c>
      <c r="F623" s="290">
        <f t="shared" ca="1" si="68"/>
        <v>0.27750000000000002</v>
      </c>
      <c r="G623" s="290">
        <f t="shared" ca="1" si="71"/>
        <v>0.18781100000000001</v>
      </c>
      <c r="H623" s="290">
        <f t="shared" ca="1" si="69"/>
        <v>5.2117552500000004E-2</v>
      </c>
      <c r="I623" s="251"/>
      <c r="J623" s="251"/>
      <c r="K623" s="251"/>
      <c r="L623" s="251"/>
      <c r="M623" s="278"/>
    </row>
    <row r="624" spans="1:13" x14ac:dyDescent="0.25">
      <c r="A624" s="288">
        <v>36</v>
      </c>
      <c r="B624" s="264">
        <v>10</v>
      </c>
      <c r="C624" s="290">
        <f t="shared" si="70"/>
        <v>1.6</v>
      </c>
      <c r="D624" s="290">
        <f t="shared" si="67"/>
        <v>6.25</v>
      </c>
      <c r="E624" s="264">
        <v>24.1</v>
      </c>
      <c r="F624" s="290">
        <f t="shared" ca="1" si="68"/>
        <v>0.27750000000000002</v>
      </c>
      <c r="G624" s="290">
        <f t="shared" ca="1" si="71"/>
        <v>0.46150000000000008</v>
      </c>
      <c r="H624" s="290">
        <f t="shared" ca="1" si="69"/>
        <v>0.12806625000000002</v>
      </c>
      <c r="I624" s="251"/>
      <c r="J624" s="251"/>
      <c r="K624" s="251"/>
      <c r="L624" s="251"/>
      <c r="M624" s="278"/>
    </row>
    <row r="625" spans="1:13" x14ac:dyDescent="0.25">
      <c r="A625" s="288">
        <v>37</v>
      </c>
      <c r="B625" s="264">
        <v>10</v>
      </c>
      <c r="C625" s="290">
        <f t="shared" si="70"/>
        <v>1.6</v>
      </c>
      <c r="D625" s="290">
        <f t="shared" si="67"/>
        <v>6.25</v>
      </c>
      <c r="E625" s="264">
        <v>8.4480000000000004</v>
      </c>
      <c r="F625" s="290">
        <f t="shared" ca="1" si="68"/>
        <v>0.27750000000000002</v>
      </c>
      <c r="G625" s="290">
        <f t="shared" ca="1" si="71"/>
        <v>0.197408</v>
      </c>
      <c r="H625" s="290">
        <f t="shared" ca="1" si="69"/>
        <v>5.4780720000000005E-2</v>
      </c>
      <c r="I625" s="251"/>
      <c r="J625" s="251"/>
      <c r="K625" s="251"/>
      <c r="L625" s="251"/>
      <c r="M625" s="278"/>
    </row>
    <row r="626" spans="1:13" x14ac:dyDescent="0.25">
      <c r="A626" s="288">
        <v>38</v>
      </c>
      <c r="B626" s="264">
        <v>10</v>
      </c>
      <c r="C626" s="290">
        <f t="shared" si="70"/>
        <v>1.6</v>
      </c>
      <c r="D626" s="290">
        <f t="shared" si="67"/>
        <v>6.25</v>
      </c>
      <c r="E626" s="264">
        <v>31.51</v>
      </c>
      <c r="F626" s="290">
        <f t="shared" ca="1" si="68"/>
        <v>0.27750000000000002</v>
      </c>
      <c r="G626" s="290">
        <f t="shared" ca="1" si="71"/>
        <v>0.56510000000000016</v>
      </c>
      <c r="H626" s="290">
        <f t="shared" ca="1" si="69"/>
        <v>0.15681525000000004</v>
      </c>
      <c r="I626" s="251"/>
      <c r="J626" s="251"/>
      <c r="K626" s="251"/>
      <c r="L626" s="251"/>
      <c r="M626" s="278"/>
    </row>
    <row r="627" spans="1:13" x14ac:dyDescent="0.25">
      <c r="A627" s="288">
        <v>39</v>
      </c>
      <c r="B627" s="264">
        <v>10</v>
      </c>
      <c r="C627" s="290">
        <f t="shared" si="70"/>
        <v>1.6</v>
      </c>
      <c r="D627" s="290">
        <f t="shared" si="67"/>
        <v>6.25</v>
      </c>
      <c r="E627" s="264">
        <v>27.581</v>
      </c>
      <c r="F627" s="290">
        <f t="shared" ca="1" si="68"/>
        <v>0.27750000000000002</v>
      </c>
      <c r="G627" s="290">
        <f t="shared" ca="1" si="71"/>
        <v>0.51371500000000003</v>
      </c>
      <c r="H627" s="290">
        <f t="shared" ca="1" si="69"/>
        <v>0.14255591250000002</v>
      </c>
      <c r="I627" s="251"/>
      <c r="J627" s="251"/>
      <c r="K627" s="251"/>
      <c r="L627" s="251"/>
      <c r="M627" s="278"/>
    </row>
    <row r="628" spans="1:13" x14ac:dyDescent="0.25">
      <c r="A628" s="288">
        <v>40</v>
      </c>
      <c r="B628" s="264">
        <v>10</v>
      </c>
      <c r="C628" s="290">
        <f t="shared" si="70"/>
        <v>1.6</v>
      </c>
      <c r="D628" s="290">
        <f t="shared" si="67"/>
        <v>6.25</v>
      </c>
      <c r="E628" s="264">
        <v>8.3490000000000002</v>
      </c>
      <c r="F628" s="290">
        <f t="shared" ca="1" si="68"/>
        <v>0.27750000000000002</v>
      </c>
      <c r="G628" s="290">
        <f t="shared" ca="1" si="71"/>
        <v>0.195329</v>
      </c>
      <c r="H628" s="290">
        <f t="shared" ca="1" si="69"/>
        <v>5.4203797500000005E-2</v>
      </c>
      <c r="I628" s="251"/>
      <c r="J628" s="251"/>
      <c r="K628" s="251"/>
      <c r="L628" s="251"/>
      <c r="M628" s="278"/>
    </row>
    <row r="629" spans="1:13" ht="16.2" x14ac:dyDescent="0.3">
      <c r="A629" s="387" t="s">
        <v>203</v>
      </c>
      <c r="B629" s="388"/>
      <c r="C629" s="388"/>
      <c r="D629" s="388"/>
      <c r="E629" s="388"/>
      <c r="F629" s="388"/>
      <c r="G629" s="388"/>
      <c r="H629" s="291">
        <f ca="1">SUM(H589:H628)</f>
        <v>3.0781274025000003</v>
      </c>
      <c r="I629" s="293"/>
      <c r="J629" s="293"/>
      <c r="K629" s="293"/>
      <c r="L629" s="293"/>
      <c r="M629" s="294"/>
    </row>
    <row r="632" spans="1:13" ht="14.4" x14ac:dyDescent="0.25">
      <c r="A632" s="244" t="s">
        <v>225</v>
      </c>
      <c r="C632" s="240"/>
    </row>
    <row r="633" spans="1:13" x14ac:dyDescent="0.25">
      <c r="A633" s="245" t="s">
        <v>138</v>
      </c>
      <c r="B633" s="246"/>
      <c r="C633" s="246"/>
      <c r="D633" s="246"/>
      <c r="E633" s="246"/>
      <c r="F633" s="246"/>
      <c r="G633" s="246"/>
      <c r="H633" s="246"/>
      <c r="I633" s="246"/>
      <c r="J633" s="246"/>
      <c r="K633" s="246"/>
      <c r="L633" s="246"/>
      <c r="M633" s="277"/>
    </row>
    <row r="634" spans="1:13" ht="14.4" x14ac:dyDescent="0.25">
      <c r="A634" s="247" t="s">
        <v>139</v>
      </c>
      <c r="B634" s="248"/>
      <c r="C634" s="249" t="s">
        <v>140</v>
      </c>
      <c r="D634" s="250" t="s">
        <v>141</v>
      </c>
      <c r="E634" s="249" t="s">
        <v>142</v>
      </c>
      <c r="F634" s="251"/>
      <c r="G634" s="251"/>
      <c r="H634" s="251"/>
      <c r="I634" s="251"/>
      <c r="J634" s="251"/>
      <c r="K634" s="251"/>
      <c r="L634" s="251"/>
      <c r="M634" s="278"/>
    </row>
    <row r="635" spans="1:13" ht="14.4" x14ac:dyDescent="0.25">
      <c r="A635" s="247"/>
      <c r="B635" s="248" t="s">
        <v>143</v>
      </c>
      <c r="C635" s="229">
        <v>2.7</v>
      </c>
      <c r="D635" s="252">
        <f>C635*1.25</f>
        <v>3.375</v>
      </c>
      <c r="E635" s="231">
        <f>C635*0.4</f>
        <v>1.08</v>
      </c>
      <c r="F635" s="251"/>
      <c r="G635" s="251"/>
      <c r="H635" s="251"/>
      <c r="I635" s="251"/>
      <c r="J635" s="251"/>
      <c r="K635" s="251"/>
      <c r="L635" s="251"/>
      <c r="M635" s="278"/>
    </row>
    <row r="636" spans="1:13" ht="14.4" x14ac:dyDescent="0.25">
      <c r="A636" s="247"/>
      <c r="B636" s="248" t="s">
        <v>144</v>
      </c>
      <c r="C636" s="253">
        <v>1</v>
      </c>
      <c r="D636" s="254">
        <f>C636</f>
        <v>1</v>
      </c>
      <c r="E636" s="255">
        <f>D636</f>
        <v>1</v>
      </c>
      <c r="F636" s="251"/>
      <c r="G636" s="251"/>
      <c r="H636" s="251"/>
      <c r="I636" s="251"/>
      <c r="J636" s="251"/>
      <c r="K636" s="251"/>
      <c r="L636" s="251"/>
      <c r="M636" s="278"/>
    </row>
    <row r="637" spans="1:13" ht="14.4" x14ac:dyDescent="0.25">
      <c r="A637" s="247"/>
      <c r="B637" s="248" t="s">
        <v>145</v>
      </c>
      <c r="C637" s="231">
        <f>C635/C636</f>
        <v>2.7</v>
      </c>
      <c r="D637" s="252">
        <f>D635/D636</f>
        <v>3.375</v>
      </c>
      <c r="E637" s="231">
        <f>E635/E636</f>
        <v>1.08</v>
      </c>
      <c r="F637" s="251"/>
      <c r="G637" s="251"/>
      <c r="H637" s="251"/>
      <c r="I637" s="251"/>
      <c r="J637" s="251"/>
      <c r="K637" s="251"/>
      <c r="L637" s="251"/>
      <c r="M637" s="278"/>
    </row>
    <row r="638" spans="1:13" ht="14.4" x14ac:dyDescent="0.25">
      <c r="A638" s="247"/>
      <c r="B638" s="248" t="s">
        <v>146</v>
      </c>
      <c r="C638" s="256">
        <v>279</v>
      </c>
      <c r="D638" s="252">
        <f t="shared" ref="D638:E640" si="72">C638</f>
        <v>279</v>
      </c>
      <c r="E638" s="231">
        <f t="shared" si="72"/>
        <v>279</v>
      </c>
      <c r="F638" s="251"/>
      <c r="G638" s="251"/>
      <c r="H638" s="251"/>
      <c r="I638" s="251"/>
      <c r="J638" s="251"/>
      <c r="K638" s="251"/>
      <c r="L638" s="251"/>
      <c r="M638" s="278"/>
    </row>
    <row r="639" spans="1:13" ht="14.4" x14ac:dyDescent="0.25">
      <c r="A639" s="247"/>
      <c r="B639" s="248" t="s">
        <v>134</v>
      </c>
      <c r="C639" s="257">
        <v>0.01</v>
      </c>
      <c r="D639" s="258">
        <f t="shared" si="72"/>
        <v>0.01</v>
      </c>
      <c r="E639" s="258">
        <f t="shared" si="72"/>
        <v>0.01</v>
      </c>
      <c r="F639" s="251"/>
      <c r="G639" s="251"/>
      <c r="H639" s="251"/>
      <c r="I639" s="251"/>
      <c r="J639" s="251"/>
      <c r="K639" s="251"/>
      <c r="L639" s="251"/>
      <c r="M639" s="278"/>
    </row>
    <row r="640" spans="1:13" ht="14.4" x14ac:dyDescent="0.25">
      <c r="A640" s="247"/>
      <c r="B640" s="248" t="s">
        <v>147</v>
      </c>
      <c r="C640" s="229">
        <v>1.6</v>
      </c>
      <c r="D640" s="252">
        <f t="shared" si="72"/>
        <v>1.6</v>
      </c>
      <c r="E640" s="231">
        <f t="shared" si="72"/>
        <v>1.6</v>
      </c>
      <c r="F640" s="251"/>
      <c r="G640" s="251"/>
      <c r="H640" s="251"/>
      <c r="I640" s="251"/>
      <c r="J640" s="251"/>
      <c r="K640" s="251"/>
      <c r="L640" s="251"/>
      <c r="M640" s="278"/>
    </row>
    <row r="641" spans="1:15" ht="14.4" x14ac:dyDescent="0.25">
      <c r="A641" s="247"/>
      <c r="B641" s="248" t="s">
        <v>148</v>
      </c>
      <c r="C641" s="252">
        <f>4*C637/(C640^2*PI())</f>
        <v>1.3428698323378669</v>
      </c>
      <c r="D641" s="252">
        <f>4*D637/(D640^2*PI())</f>
        <v>1.6785872904223336</v>
      </c>
      <c r="E641" s="252">
        <f>4*E637/(E640^2*PI())</f>
        <v>0.53714793293514673</v>
      </c>
      <c r="F641" s="251"/>
      <c r="G641" s="251"/>
      <c r="H641" s="251"/>
      <c r="I641" s="251"/>
      <c r="J641" s="251"/>
      <c r="K641" s="251"/>
      <c r="L641" s="251"/>
      <c r="M641" s="278"/>
    </row>
    <row r="642" spans="1:15" ht="14.4" x14ac:dyDescent="0.25">
      <c r="A642" s="247"/>
      <c r="B642" s="248" t="s">
        <v>149</v>
      </c>
      <c r="C642" s="231">
        <f>C637/C641</f>
        <v>2.0106192982974678</v>
      </c>
      <c r="D642" s="252">
        <f>D637/D641</f>
        <v>2.0106192982974678</v>
      </c>
      <c r="E642" s="231">
        <f>E637/E641</f>
        <v>2.0106192982974678</v>
      </c>
      <c r="F642" s="251"/>
      <c r="G642" s="251"/>
      <c r="H642" s="251"/>
      <c r="I642" s="251"/>
      <c r="J642" s="251"/>
      <c r="K642" s="251"/>
      <c r="L642" s="251"/>
      <c r="M642" s="278"/>
    </row>
    <row r="643" spans="1:15" ht="14.4" x14ac:dyDescent="0.25">
      <c r="A643" s="247" t="s">
        <v>150</v>
      </c>
      <c r="B643" s="248"/>
      <c r="C643" s="248"/>
      <c r="D643" s="259"/>
      <c r="E643" s="248"/>
      <c r="F643" s="251"/>
      <c r="G643" s="389" t="s">
        <v>151</v>
      </c>
      <c r="H643" s="390"/>
      <c r="I643" s="390"/>
      <c r="J643" s="390"/>
      <c r="K643" s="391"/>
      <c r="L643" s="251"/>
      <c r="M643" s="278"/>
    </row>
    <row r="644" spans="1:15" ht="14.4" x14ac:dyDescent="0.25">
      <c r="A644" s="247" t="s">
        <v>152</v>
      </c>
      <c r="B644" s="248" t="s">
        <v>153</v>
      </c>
      <c r="C644" s="231">
        <f>C640/4</f>
        <v>0.4</v>
      </c>
      <c r="D644" s="252">
        <f>D640/4</f>
        <v>0.4</v>
      </c>
      <c r="E644" s="231">
        <f>E640/4</f>
        <v>0.4</v>
      </c>
      <c r="F644" s="251"/>
      <c r="G644" s="381" t="s">
        <v>154</v>
      </c>
      <c r="H644" s="260" t="s">
        <v>155</v>
      </c>
      <c r="I644" s="261" t="s">
        <v>156</v>
      </c>
      <c r="J644" s="261" t="s">
        <v>157</v>
      </c>
      <c r="K644" s="279" t="s">
        <v>158</v>
      </c>
      <c r="L644" s="251"/>
      <c r="M644" s="278"/>
    </row>
    <row r="645" spans="1:15" ht="16.8" x14ac:dyDescent="0.25">
      <c r="A645" s="247"/>
      <c r="B645" s="248" t="s">
        <v>159</v>
      </c>
      <c r="C645" s="231">
        <f>C644^(1/6)/C639</f>
        <v>85.837421893255708</v>
      </c>
      <c r="D645" s="252">
        <f>D644^(1/6)/D639</f>
        <v>85.837421893255708</v>
      </c>
      <c r="E645" s="231">
        <f>E644^(1/6)/E639</f>
        <v>85.837421893255708</v>
      </c>
      <c r="F645" s="251"/>
      <c r="G645" s="382"/>
      <c r="H645" s="261" t="s">
        <v>160</v>
      </c>
      <c r="I645" s="261" t="s">
        <v>161</v>
      </c>
      <c r="J645" s="261" t="s">
        <v>162</v>
      </c>
      <c r="K645" s="279" t="s">
        <v>163</v>
      </c>
      <c r="L645" s="251"/>
      <c r="M645" s="278"/>
    </row>
    <row r="646" spans="1:15" ht="16.8" x14ac:dyDescent="0.25">
      <c r="A646" s="247"/>
      <c r="B646" s="248" t="s">
        <v>164</v>
      </c>
      <c r="C646" s="231">
        <f>8*9.81/C645^2</f>
        <v>1.0651374727518412E-2</v>
      </c>
      <c r="D646" s="252">
        <f>8*9.81/D645^2</f>
        <v>1.0651374727518412E-2</v>
      </c>
      <c r="E646" s="231">
        <f>8*9.81/E645^2</f>
        <v>1.0651374727518412E-2</v>
      </c>
      <c r="F646" s="251"/>
      <c r="G646" s="262" t="s">
        <v>226</v>
      </c>
      <c r="H646" s="263">
        <f>C642</f>
        <v>2.0106192982974678</v>
      </c>
      <c r="I646" s="263">
        <f>I652*I653</f>
        <v>9.0869999999999997</v>
      </c>
      <c r="J646" s="263">
        <f>H646/I646</f>
        <v>0.22126326601710883</v>
      </c>
      <c r="K646" s="280">
        <f ca="1">TREND(OFFSET($L$51,MATCH(J646,$K$52:$K$60),0,2,1),OFFSET($K$51,MATCH(J646,$K$52:$K$60),0,2,1),J646)</f>
        <v>0.58896816155893883</v>
      </c>
      <c r="L646" s="251"/>
      <c r="M646" s="278"/>
    </row>
    <row r="647" spans="1:15" ht="16.8" x14ac:dyDescent="0.25">
      <c r="A647" s="247"/>
      <c r="B647" s="248" t="s">
        <v>166</v>
      </c>
      <c r="C647" s="231">
        <f>C646*C638*C641^2/(4*C644*2*9.81)</f>
        <v>0.17070990335178762</v>
      </c>
      <c r="D647" s="252">
        <f>D646*D638*D641^2/(4*D644*2*9.81)</f>
        <v>0.26673422398716817</v>
      </c>
      <c r="E647" s="231">
        <f>E646*E638*E641^2/(4*E644*2*9.81)</f>
        <v>2.7313584536286021E-2</v>
      </c>
      <c r="F647" s="251"/>
      <c r="G647" s="251"/>
      <c r="H647" s="251"/>
      <c r="I647" s="251"/>
      <c r="J647" s="251"/>
      <c r="K647" s="251"/>
      <c r="L647" s="251"/>
      <c r="M647" s="278"/>
      <c r="O647" s="281">
        <f>0.64-(0.64-0.4)/0.1*(J646-0.2)</f>
        <v>0.58896816155893883</v>
      </c>
    </row>
    <row r="648" spans="1:15" ht="14.4" x14ac:dyDescent="0.25">
      <c r="A648" s="247" t="s">
        <v>167</v>
      </c>
      <c r="B648" s="248" t="s">
        <v>168</v>
      </c>
      <c r="C648" s="264">
        <v>0.25</v>
      </c>
      <c r="D648" s="252">
        <f t="shared" ref="D648:E653" si="73">C648</f>
        <v>0.25</v>
      </c>
      <c r="E648" s="231">
        <f t="shared" si="73"/>
        <v>0.25</v>
      </c>
      <c r="F648" s="251"/>
      <c r="G648" s="251"/>
      <c r="H648" s="251"/>
      <c r="I648" s="251"/>
      <c r="J648" s="251"/>
      <c r="K648" s="251"/>
      <c r="L648" s="251"/>
      <c r="M648" s="278"/>
    </row>
    <row r="649" spans="1:15" ht="15.6" x14ac:dyDescent="0.25">
      <c r="A649" s="247"/>
      <c r="B649" s="248" t="s">
        <v>169</v>
      </c>
      <c r="C649" s="264">
        <f>0.1*2</f>
        <v>0.2</v>
      </c>
      <c r="D649" s="252">
        <f t="shared" si="73"/>
        <v>0.2</v>
      </c>
      <c r="E649" s="231">
        <f t="shared" si="73"/>
        <v>0.2</v>
      </c>
      <c r="F649" s="251"/>
      <c r="G649" s="383" t="s">
        <v>170</v>
      </c>
      <c r="H649" s="265" t="s">
        <v>171</v>
      </c>
      <c r="I649" s="282"/>
      <c r="J649" s="251"/>
      <c r="K649" s="238" t="s">
        <v>162</v>
      </c>
      <c r="L649" s="238" t="s">
        <v>163</v>
      </c>
      <c r="M649" s="278"/>
    </row>
    <row r="650" spans="1:15" ht="15.6" x14ac:dyDescent="0.25">
      <c r="A650" s="247"/>
      <c r="B650" s="248" t="s">
        <v>172</v>
      </c>
      <c r="C650" s="264">
        <v>0.02</v>
      </c>
      <c r="D650" s="252">
        <f t="shared" si="73"/>
        <v>0.02</v>
      </c>
      <c r="E650" s="231">
        <f t="shared" si="73"/>
        <v>0.02</v>
      </c>
      <c r="F650" s="251"/>
      <c r="G650" s="384"/>
      <c r="H650" s="266" t="s">
        <v>173</v>
      </c>
      <c r="I650" s="283">
        <v>1.5289999999999999</v>
      </c>
      <c r="J650" s="251"/>
      <c r="K650" s="238">
        <v>0.1</v>
      </c>
      <c r="L650" s="238">
        <v>0.81</v>
      </c>
      <c r="M650" s="278"/>
    </row>
    <row r="651" spans="1:15" ht="16.2" x14ac:dyDescent="0.25">
      <c r="A651" s="247"/>
      <c r="B651" s="248" t="s">
        <v>174</v>
      </c>
      <c r="C651" s="264">
        <v>0.1</v>
      </c>
      <c r="D651" s="252">
        <f t="shared" si="73"/>
        <v>0.1</v>
      </c>
      <c r="E651" s="231">
        <f t="shared" si="73"/>
        <v>0.1</v>
      </c>
      <c r="F651" s="251"/>
      <c r="G651" s="384"/>
      <c r="H651" s="266" t="s">
        <v>175</v>
      </c>
      <c r="I651" s="284"/>
      <c r="J651" s="251"/>
      <c r="K651" s="238">
        <v>0.2</v>
      </c>
      <c r="L651" s="238">
        <v>0.64</v>
      </c>
      <c r="M651" s="278"/>
    </row>
    <row r="652" spans="1:15" ht="15.6" x14ac:dyDescent="0.25">
      <c r="A652" s="247"/>
      <c r="B652" s="248" t="s">
        <v>176</v>
      </c>
      <c r="C652" s="264">
        <v>80</v>
      </c>
      <c r="D652" s="252">
        <f t="shared" si="73"/>
        <v>80</v>
      </c>
      <c r="E652" s="231">
        <f t="shared" si="73"/>
        <v>80</v>
      </c>
      <c r="F652" s="251"/>
      <c r="G652" s="384"/>
      <c r="H652" s="266" t="s">
        <v>177</v>
      </c>
      <c r="I652" s="283">
        <f>I650+1.5</f>
        <v>3.0289999999999999</v>
      </c>
      <c r="J652" s="251"/>
      <c r="K652" s="238">
        <v>0.3</v>
      </c>
      <c r="L652" s="238">
        <v>0.4</v>
      </c>
      <c r="M652" s="278"/>
    </row>
    <row r="653" spans="1:15" ht="15.6" x14ac:dyDescent="0.25">
      <c r="A653" s="247"/>
      <c r="B653" s="248" t="s">
        <v>178</v>
      </c>
      <c r="C653" s="264">
        <v>1.83</v>
      </c>
      <c r="D653" s="252">
        <f t="shared" si="73"/>
        <v>1.83</v>
      </c>
      <c r="E653" s="231">
        <f t="shared" si="73"/>
        <v>1.83</v>
      </c>
      <c r="F653" s="251"/>
      <c r="G653" s="384"/>
      <c r="H653" s="266" t="s">
        <v>179</v>
      </c>
      <c r="I653" s="283">
        <v>3</v>
      </c>
      <c r="K653" s="238">
        <v>0.4</v>
      </c>
      <c r="L653" s="238">
        <v>0.36</v>
      </c>
      <c r="M653" s="278"/>
    </row>
    <row r="654" spans="1:15" ht="16.8" x14ac:dyDescent="0.25">
      <c r="A654" s="247"/>
      <c r="B654" s="248" t="s">
        <v>180</v>
      </c>
      <c r="C654" s="231">
        <f>C653*(C650/C651)^(4/3)*SIN(C652/180*PI())</f>
        <v>0.21078637878092679</v>
      </c>
      <c r="D654" s="252">
        <f>D653*(D650/D651)^(4/3)*SIN(D652/180*PI())</f>
        <v>0.21078637878092679</v>
      </c>
      <c r="E654" s="231">
        <f>E653*(E650/E651)^(4/3)*SIN(E652/180*PI())</f>
        <v>0.21078637878092679</v>
      </c>
      <c r="F654" s="251"/>
      <c r="G654" s="384"/>
      <c r="H654" s="266" t="s">
        <v>181</v>
      </c>
      <c r="I654" s="284"/>
      <c r="K654" s="238">
        <v>0.5</v>
      </c>
      <c r="L654" s="238">
        <v>0.25</v>
      </c>
      <c r="M654" s="278"/>
    </row>
    <row r="655" spans="1:15" ht="15.6" x14ac:dyDescent="0.25">
      <c r="A655" s="247"/>
      <c r="B655" s="247" t="s">
        <v>182</v>
      </c>
      <c r="C655" s="231">
        <f ca="1">H686</f>
        <v>0.79301175000000013</v>
      </c>
      <c r="D655" s="252">
        <f t="shared" ref="D655:E657" ca="1" si="74">C655</f>
        <v>0.79301175000000013</v>
      </c>
      <c r="E655" s="231">
        <f t="shared" ca="1" si="74"/>
        <v>0.79301175000000013</v>
      </c>
      <c r="F655" s="251"/>
      <c r="G655" s="384"/>
      <c r="H655" s="266" t="s">
        <v>183</v>
      </c>
      <c r="I655" s="284"/>
      <c r="K655" s="238">
        <v>0.6</v>
      </c>
      <c r="L655" s="238">
        <v>0.16</v>
      </c>
      <c r="M655" s="278"/>
    </row>
    <row r="656" spans="1:15" ht="16.2" x14ac:dyDescent="0.25">
      <c r="A656" s="247"/>
      <c r="B656" s="247" t="s">
        <v>184</v>
      </c>
      <c r="C656" s="264">
        <f ca="1">K646</f>
        <v>0.58896816155893883</v>
      </c>
      <c r="D656" s="252">
        <f t="shared" ca="1" si="74"/>
        <v>0.58896816155893883</v>
      </c>
      <c r="E656" s="231">
        <f t="shared" ca="1" si="74"/>
        <v>0.58896816155893883</v>
      </c>
      <c r="F656" s="251"/>
      <c r="G656" s="385"/>
      <c r="H656" s="266" t="s">
        <v>185</v>
      </c>
      <c r="I656" s="284"/>
      <c r="K656" s="238">
        <v>0.7</v>
      </c>
      <c r="L656" s="238">
        <v>0.09</v>
      </c>
      <c r="M656" s="278"/>
    </row>
    <row r="657" spans="1:13" ht="16.2" x14ac:dyDescent="0.25">
      <c r="A657" s="247"/>
      <c r="B657" s="248" t="s">
        <v>186</v>
      </c>
      <c r="C657" s="264">
        <f>0.1*1</f>
        <v>0.1</v>
      </c>
      <c r="D657" s="252">
        <f t="shared" si="74"/>
        <v>0.1</v>
      </c>
      <c r="E657" s="231">
        <f t="shared" si="74"/>
        <v>0.1</v>
      </c>
      <c r="F657" s="251"/>
      <c r="G657" s="386"/>
      <c r="H657" s="267" t="s">
        <v>187</v>
      </c>
      <c r="I657" s="285"/>
      <c r="J657" s="251"/>
      <c r="K657" s="238">
        <v>0.8</v>
      </c>
      <c r="L657" s="238">
        <v>0.04</v>
      </c>
      <c r="M657" s="278"/>
    </row>
    <row r="658" spans="1:13" ht="14.4" x14ac:dyDescent="0.25">
      <c r="A658" s="247"/>
      <c r="B658" s="248" t="s">
        <v>188</v>
      </c>
      <c r="C658" s="231">
        <f ca="1">C657+C654+C649+C648+C656+C655</f>
        <v>2.1427662903398659</v>
      </c>
      <c r="D658" s="252">
        <f ca="1">D657+D654+D649+D648+D656+D655</f>
        <v>2.1427662903398659</v>
      </c>
      <c r="E658" s="231">
        <f ca="1">E657+E654+E649+E648+E656+E655</f>
        <v>2.1427662903398659</v>
      </c>
      <c r="F658" s="251"/>
      <c r="G658" s="251"/>
      <c r="H658" s="251"/>
      <c r="I658" s="251"/>
      <c r="J658" s="251"/>
      <c r="K658" s="238">
        <v>0.9</v>
      </c>
      <c r="L658" s="238">
        <v>0.01</v>
      </c>
      <c r="M658" s="278"/>
    </row>
    <row r="659" spans="1:13" ht="16.8" x14ac:dyDescent="0.25">
      <c r="A659" s="247"/>
      <c r="B659" s="248" t="s">
        <v>189</v>
      </c>
      <c r="C659" s="231">
        <f ca="1">C658*C641^2/2/9.81</f>
        <v>0.19694440045890652</v>
      </c>
      <c r="D659" s="252">
        <f ca="1">D658*D641^2/2/9.81</f>
        <v>0.30772562571704143</v>
      </c>
      <c r="E659" s="231">
        <f ca="1">E658*E641^2/2/9.81</f>
        <v>3.1511104073425042E-2</v>
      </c>
      <c r="F659" s="251"/>
      <c r="G659" s="251"/>
      <c r="H659" s="251"/>
      <c r="I659" s="251"/>
      <c r="J659" s="251"/>
      <c r="K659" s="251"/>
      <c r="L659" s="251"/>
      <c r="M659" s="278"/>
    </row>
    <row r="660" spans="1:13" ht="14.4" x14ac:dyDescent="0.25">
      <c r="A660" s="268" t="s">
        <v>190</v>
      </c>
      <c r="B660" s="269" t="s">
        <v>191</v>
      </c>
      <c r="C660" s="270">
        <f ca="1">C647+C659</f>
        <v>0.36765430381069414</v>
      </c>
      <c r="D660" s="270">
        <f ca="1">D647+D659</f>
        <v>0.5744598497042096</v>
      </c>
      <c r="E660" s="271">
        <f ca="1">E647+E659</f>
        <v>5.8824688609711059E-2</v>
      </c>
      <c r="F660" s="251"/>
      <c r="G660" s="272" t="s">
        <v>192</v>
      </c>
      <c r="H660" s="241">
        <v>0.48</v>
      </c>
      <c r="I660" s="251"/>
      <c r="J660" s="251"/>
      <c r="K660" s="251"/>
      <c r="L660" s="251"/>
      <c r="M660" s="278"/>
    </row>
    <row r="661" spans="1:13" ht="14.4" x14ac:dyDescent="0.25">
      <c r="A661" s="273" t="s">
        <v>193</v>
      </c>
      <c r="B661" s="274"/>
      <c r="C661" s="231">
        <f ca="1">C660+(C641^2-D616^2)/(2*9.81)</f>
        <v>-1.5313875215408284</v>
      </c>
      <c r="D661" s="252">
        <f ca="1">D660+(D641^2-D615^2)/(2*9.81)</f>
        <v>-1.2728818785543332</v>
      </c>
      <c r="E661" s="231">
        <f ca="1">E660+(E641^2-D617^2)/(2*9.81)</f>
        <v>-1.9174226150673275</v>
      </c>
      <c r="F661" s="251"/>
      <c r="G661" s="251"/>
      <c r="H661" s="251"/>
      <c r="I661" s="251"/>
      <c r="J661" s="251"/>
      <c r="K661" s="251"/>
      <c r="L661" s="251"/>
      <c r="M661" s="278"/>
    </row>
    <row r="662" spans="1:13" ht="14.4" x14ac:dyDescent="0.25">
      <c r="A662" s="273" t="s">
        <v>194</v>
      </c>
      <c r="B662" s="274"/>
      <c r="C662" s="231">
        <f ca="1">C661+C624-D624</f>
        <v>-6.1813875215408283</v>
      </c>
      <c r="D662" s="252">
        <f ca="1">D661+C622-D622</f>
        <v>-5.9228818785543336</v>
      </c>
      <c r="E662" s="231">
        <f ca="1">E661+C626-D626</f>
        <v>-6.5674226150673274</v>
      </c>
      <c r="F662" s="251"/>
      <c r="G662" s="251"/>
      <c r="H662" s="251"/>
      <c r="I662" s="251"/>
      <c r="J662" s="251"/>
      <c r="K662" s="251"/>
      <c r="L662" s="251"/>
      <c r="M662" s="278"/>
    </row>
    <row r="663" spans="1:13" x14ac:dyDescent="0.25">
      <c r="A663" s="286"/>
      <c r="B663" s="287"/>
      <c r="C663" s="251"/>
      <c r="D663" s="251"/>
      <c r="E663" s="251"/>
      <c r="F663" s="251"/>
      <c r="G663" s="251"/>
      <c r="H663" s="251"/>
      <c r="I663" s="251"/>
      <c r="J663" s="251"/>
      <c r="K663" s="251"/>
      <c r="L663" s="251"/>
      <c r="M663" s="278"/>
    </row>
    <row r="664" spans="1:13" ht="18" x14ac:dyDescent="0.4">
      <c r="A664" s="288"/>
      <c r="B664" s="289" t="s">
        <v>26</v>
      </c>
      <c r="C664" s="289" t="s">
        <v>195</v>
      </c>
      <c r="D664" s="289" t="s">
        <v>196</v>
      </c>
      <c r="E664" s="289" t="s">
        <v>197</v>
      </c>
      <c r="F664" s="289" t="s">
        <v>198</v>
      </c>
      <c r="G664" s="289" t="s">
        <v>199</v>
      </c>
      <c r="H664" s="289" t="s">
        <v>200</v>
      </c>
      <c r="I664" s="251"/>
      <c r="J664" s="289" t="s">
        <v>201</v>
      </c>
      <c r="K664" s="289" t="s">
        <v>202</v>
      </c>
      <c r="L664" s="289" t="s">
        <v>197</v>
      </c>
      <c r="M664" s="292" t="s">
        <v>199</v>
      </c>
    </row>
    <row r="665" spans="1:13" x14ac:dyDescent="0.25">
      <c r="A665" s="288">
        <v>1</v>
      </c>
      <c r="B665" s="264">
        <v>10</v>
      </c>
      <c r="C665" s="290">
        <f>C640</f>
        <v>1.6</v>
      </c>
      <c r="D665" s="290">
        <f t="shared" ref="D665:D676" si="75">B665/C665</f>
        <v>6.25</v>
      </c>
      <c r="E665" s="264">
        <v>4.5780000000000003</v>
      </c>
      <c r="F665" s="290">
        <f t="shared" ref="F665:F676" ca="1" si="76">TREND(OFFSET($K$66,MATCH(D665,$J$67:$J$79),0,2,1),OFFSET($J$66,MATCH(D665,$J$67:$J$79),0,2,1),D665)</f>
        <v>0.27750000000000002</v>
      </c>
      <c r="G665" s="290">
        <f ca="1">TREND(OFFSET($M$66,MATCH(E665,$L$67:$L$80),0,2,1),OFFSET($L$66,MATCH(E665,$L$67:$L$80),0,2,1),E665)</f>
        <v>0.11445</v>
      </c>
      <c r="H665" s="290">
        <f t="shared" ref="H665:H676" ca="1" si="77">F665*G665</f>
        <v>3.1759875E-2</v>
      </c>
      <c r="I665" s="251"/>
      <c r="J665" s="289">
        <v>0.5</v>
      </c>
      <c r="K665" s="289">
        <v>1.2</v>
      </c>
      <c r="L665" s="289">
        <v>0</v>
      </c>
      <c r="M665" s="292">
        <v>0</v>
      </c>
    </row>
    <row r="666" spans="1:13" x14ac:dyDescent="0.25">
      <c r="A666" s="288">
        <v>2</v>
      </c>
      <c r="B666" s="264">
        <v>10</v>
      </c>
      <c r="C666" s="290">
        <f t="shared" ref="C666:C675" si="78">C665</f>
        <v>1.6</v>
      </c>
      <c r="D666" s="290">
        <f t="shared" si="75"/>
        <v>6.25</v>
      </c>
      <c r="E666" s="264">
        <v>17.366</v>
      </c>
      <c r="F666" s="290">
        <f t="shared" ca="1" si="76"/>
        <v>0.27750000000000002</v>
      </c>
      <c r="G666" s="290">
        <f t="shared" ref="G666:G676" ca="1" si="79">TREND(OFFSET($M$66,MATCH(E666,$L$67:$L$79),0,2,1),OFFSET($L$66,MATCH(E666,$L$67:$L$79),0,2,1),E666)</f>
        <v>0.35522200000000004</v>
      </c>
      <c r="H666" s="290">
        <f t="shared" ca="1" si="77"/>
        <v>9.8574105000000023E-2</v>
      </c>
      <c r="I666" s="251"/>
      <c r="J666" s="289">
        <v>1</v>
      </c>
      <c r="K666" s="289">
        <v>0.8</v>
      </c>
      <c r="L666" s="289">
        <v>5</v>
      </c>
      <c r="M666" s="292">
        <v>0.125</v>
      </c>
    </row>
    <row r="667" spans="1:13" x14ac:dyDescent="0.25">
      <c r="A667" s="288">
        <v>3</v>
      </c>
      <c r="B667" s="264">
        <v>10</v>
      </c>
      <c r="C667" s="290">
        <f t="shared" si="78"/>
        <v>1.6</v>
      </c>
      <c r="D667" s="290">
        <f t="shared" si="75"/>
        <v>6.25</v>
      </c>
      <c r="E667" s="264">
        <v>9.1240000000000006</v>
      </c>
      <c r="F667" s="290">
        <f t="shared" ca="1" si="76"/>
        <v>0.27750000000000002</v>
      </c>
      <c r="G667" s="290">
        <f t="shared" ca="1" si="79"/>
        <v>0.21160400000000001</v>
      </c>
      <c r="H667" s="290">
        <f t="shared" ca="1" si="77"/>
        <v>5.8720110000000006E-2</v>
      </c>
      <c r="I667" s="251"/>
      <c r="J667" s="289">
        <v>1.5</v>
      </c>
      <c r="K667" s="289">
        <v>0.6</v>
      </c>
      <c r="L667" s="289">
        <v>10</v>
      </c>
      <c r="M667" s="292">
        <v>0.23</v>
      </c>
    </row>
    <row r="668" spans="1:13" x14ac:dyDescent="0.25">
      <c r="A668" s="288">
        <v>4</v>
      </c>
      <c r="B668" s="264">
        <v>10</v>
      </c>
      <c r="C668" s="290">
        <f t="shared" si="78"/>
        <v>1.6</v>
      </c>
      <c r="D668" s="290">
        <f t="shared" si="75"/>
        <v>6.25</v>
      </c>
      <c r="E668" s="264">
        <v>6.3769999999999998</v>
      </c>
      <c r="F668" s="290">
        <f t="shared" ca="1" si="76"/>
        <v>0.27750000000000002</v>
      </c>
      <c r="G668" s="290">
        <f t="shared" ca="1" si="79"/>
        <v>0.153917</v>
      </c>
      <c r="H668" s="290">
        <f t="shared" ca="1" si="77"/>
        <v>4.2711967500000003E-2</v>
      </c>
      <c r="I668" s="251"/>
      <c r="J668" s="289">
        <v>2</v>
      </c>
      <c r="K668" s="289">
        <v>0.48</v>
      </c>
      <c r="L668" s="289">
        <v>20</v>
      </c>
      <c r="M668" s="292">
        <v>0.4</v>
      </c>
    </row>
    <row r="669" spans="1:13" x14ac:dyDescent="0.25">
      <c r="A669" s="288">
        <v>5</v>
      </c>
      <c r="B669" s="264">
        <v>10</v>
      </c>
      <c r="C669" s="290">
        <f t="shared" si="78"/>
        <v>1.6</v>
      </c>
      <c r="D669" s="290">
        <f t="shared" si="75"/>
        <v>6.25</v>
      </c>
      <c r="E669" s="264">
        <v>5.9989999999999997</v>
      </c>
      <c r="F669" s="290">
        <f t="shared" ca="1" si="76"/>
        <v>0.27750000000000002</v>
      </c>
      <c r="G669" s="290">
        <f t="shared" ca="1" si="79"/>
        <v>0.145979</v>
      </c>
      <c r="H669" s="290">
        <f t="shared" ca="1" si="77"/>
        <v>4.0509172500000003E-2</v>
      </c>
      <c r="I669" s="251"/>
      <c r="J669" s="289">
        <v>3</v>
      </c>
      <c r="K669" s="289">
        <v>0.36</v>
      </c>
      <c r="L669" s="289">
        <v>30</v>
      </c>
      <c r="M669" s="292">
        <v>0.55000000000000004</v>
      </c>
    </row>
    <row r="670" spans="1:13" x14ac:dyDescent="0.25">
      <c r="A670" s="288">
        <v>6</v>
      </c>
      <c r="B670" s="264">
        <v>10</v>
      </c>
      <c r="C670" s="290">
        <f t="shared" si="78"/>
        <v>1.6</v>
      </c>
      <c r="D670" s="290">
        <f t="shared" si="75"/>
        <v>6.25</v>
      </c>
      <c r="E670" s="264">
        <v>9.0869999999999997</v>
      </c>
      <c r="F670" s="290">
        <f t="shared" ca="1" si="76"/>
        <v>0.27750000000000002</v>
      </c>
      <c r="G670" s="290">
        <f t="shared" ca="1" si="79"/>
        <v>0.21082699999999999</v>
      </c>
      <c r="H670" s="290">
        <f t="shared" ca="1" si="77"/>
        <v>5.8504492500000005E-2</v>
      </c>
      <c r="I670" s="251"/>
      <c r="J670" s="289">
        <v>4</v>
      </c>
      <c r="K670" s="289">
        <v>0.3</v>
      </c>
      <c r="L670" s="289">
        <v>40</v>
      </c>
      <c r="M670" s="292">
        <v>0.65</v>
      </c>
    </row>
    <row r="671" spans="1:13" x14ac:dyDescent="0.25">
      <c r="A671" s="288">
        <v>7</v>
      </c>
      <c r="B671" s="264">
        <v>10</v>
      </c>
      <c r="C671" s="290">
        <f t="shared" si="78"/>
        <v>1.6</v>
      </c>
      <c r="D671" s="290">
        <f t="shared" si="75"/>
        <v>6.25</v>
      </c>
      <c r="E671" s="264">
        <v>10.036</v>
      </c>
      <c r="F671" s="290">
        <f t="shared" ca="1" si="76"/>
        <v>0.27750000000000002</v>
      </c>
      <c r="G671" s="290">
        <f t="shared" ca="1" si="79"/>
        <v>0.23061200000000001</v>
      </c>
      <c r="H671" s="290">
        <f t="shared" ca="1" si="77"/>
        <v>6.3994830000000003E-2</v>
      </c>
      <c r="I671" s="251"/>
      <c r="J671" s="289">
        <v>5</v>
      </c>
      <c r="K671" s="289">
        <v>0.28999999999999998</v>
      </c>
      <c r="L671" s="289">
        <v>50</v>
      </c>
      <c r="M671" s="292">
        <v>0.75</v>
      </c>
    </row>
    <row r="672" spans="1:13" x14ac:dyDescent="0.25">
      <c r="A672" s="288">
        <v>8</v>
      </c>
      <c r="B672" s="264">
        <v>10</v>
      </c>
      <c r="C672" s="290">
        <f t="shared" si="78"/>
        <v>1.6</v>
      </c>
      <c r="D672" s="290">
        <f t="shared" si="75"/>
        <v>6.25</v>
      </c>
      <c r="E672" s="264">
        <v>7.476</v>
      </c>
      <c r="F672" s="290">
        <f t="shared" ca="1" si="76"/>
        <v>0.27750000000000002</v>
      </c>
      <c r="G672" s="290">
        <f t="shared" ca="1" si="79"/>
        <v>0.17699600000000001</v>
      </c>
      <c r="H672" s="290">
        <f t="shared" ca="1" si="77"/>
        <v>4.911639000000001E-2</v>
      </c>
      <c r="I672" s="251"/>
      <c r="J672" s="289">
        <v>6</v>
      </c>
      <c r="K672" s="289">
        <v>0.28000000000000003</v>
      </c>
      <c r="L672" s="289">
        <v>60</v>
      </c>
      <c r="M672" s="292">
        <v>0.83</v>
      </c>
    </row>
    <row r="673" spans="1:13" x14ac:dyDescent="0.25">
      <c r="A673" s="288">
        <v>9</v>
      </c>
      <c r="B673" s="264">
        <v>10</v>
      </c>
      <c r="C673" s="290">
        <f t="shared" si="78"/>
        <v>1.6</v>
      </c>
      <c r="D673" s="290">
        <f t="shared" si="75"/>
        <v>6.25</v>
      </c>
      <c r="E673" s="264">
        <v>12.983000000000001</v>
      </c>
      <c r="F673" s="290">
        <f t="shared" ca="1" si="76"/>
        <v>0.27750000000000002</v>
      </c>
      <c r="G673" s="290">
        <f t="shared" ca="1" si="79"/>
        <v>0.28071100000000004</v>
      </c>
      <c r="H673" s="290">
        <f t="shared" ca="1" si="77"/>
        <v>7.7897302500000015E-2</v>
      </c>
      <c r="I673" s="251"/>
      <c r="J673" s="289">
        <v>7</v>
      </c>
      <c r="K673" s="289">
        <v>0.27</v>
      </c>
      <c r="L673" s="289">
        <v>70</v>
      </c>
      <c r="M673" s="292">
        <v>0.88</v>
      </c>
    </row>
    <row r="674" spans="1:13" x14ac:dyDescent="0.25">
      <c r="A674" s="288">
        <v>10</v>
      </c>
      <c r="B674" s="264">
        <v>10</v>
      </c>
      <c r="C674" s="290">
        <f t="shared" si="78"/>
        <v>1.6</v>
      </c>
      <c r="D674" s="290">
        <f t="shared" si="75"/>
        <v>6.25</v>
      </c>
      <c r="E674" s="264">
        <v>6.2619999999999996</v>
      </c>
      <c r="F674" s="290">
        <f t="shared" ca="1" si="76"/>
        <v>0.27750000000000002</v>
      </c>
      <c r="G674" s="290">
        <f t="shared" ca="1" si="79"/>
        <v>0.151502</v>
      </c>
      <c r="H674" s="290">
        <f t="shared" ca="1" si="77"/>
        <v>4.2041805000000002E-2</v>
      </c>
      <c r="I674" s="251"/>
      <c r="J674" s="289">
        <v>8</v>
      </c>
      <c r="K674" s="289">
        <v>0.26</v>
      </c>
      <c r="L674" s="289">
        <v>80</v>
      </c>
      <c r="M674" s="292">
        <v>0.95</v>
      </c>
    </row>
    <row r="675" spans="1:13" x14ac:dyDescent="0.25">
      <c r="A675" s="288">
        <v>11</v>
      </c>
      <c r="B675" s="264">
        <v>10</v>
      </c>
      <c r="C675" s="290">
        <f t="shared" si="78"/>
        <v>1.6</v>
      </c>
      <c r="D675" s="290">
        <f t="shared" si="75"/>
        <v>6.25</v>
      </c>
      <c r="E675" s="264">
        <v>38.725000000000001</v>
      </c>
      <c r="F675" s="290">
        <f t="shared" ca="1" si="76"/>
        <v>0.27750000000000002</v>
      </c>
      <c r="G675" s="290">
        <f t="shared" ca="1" si="79"/>
        <v>0.63725000000000009</v>
      </c>
      <c r="H675" s="290">
        <f t="shared" ca="1" si="77"/>
        <v>0.17683687500000003</v>
      </c>
      <c r="I675" s="251"/>
      <c r="J675" s="289">
        <v>9</v>
      </c>
      <c r="K675" s="289">
        <v>0.25</v>
      </c>
      <c r="L675" s="289">
        <v>90</v>
      </c>
      <c r="M675" s="292">
        <v>1</v>
      </c>
    </row>
    <row r="676" spans="1:13" x14ac:dyDescent="0.25">
      <c r="A676" s="288">
        <v>12</v>
      </c>
      <c r="B676" s="264">
        <v>10</v>
      </c>
      <c r="C676" s="290">
        <v>1.6</v>
      </c>
      <c r="D676" s="290">
        <f t="shared" si="75"/>
        <v>6.25</v>
      </c>
      <c r="E676" s="264">
        <v>8.0299999999999994</v>
      </c>
      <c r="F676" s="290">
        <f t="shared" ca="1" si="76"/>
        <v>0.27750000000000002</v>
      </c>
      <c r="G676" s="290">
        <f t="shared" ca="1" si="79"/>
        <v>0.18862999999999999</v>
      </c>
      <c r="H676" s="290">
        <f t="shared" ca="1" si="77"/>
        <v>5.2344825000000005E-2</v>
      </c>
      <c r="I676" s="251"/>
      <c r="J676" s="289">
        <v>10</v>
      </c>
      <c r="K676" s="289">
        <v>0.24</v>
      </c>
      <c r="L676" s="289">
        <v>100</v>
      </c>
      <c r="M676" s="292">
        <v>1.05</v>
      </c>
    </row>
    <row r="677" spans="1:13" x14ac:dyDescent="0.25">
      <c r="A677" s="288">
        <v>13</v>
      </c>
      <c r="B677" s="264"/>
      <c r="C677" s="290"/>
      <c r="D677" s="290"/>
      <c r="E677" s="264"/>
      <c r="F677" s="290"/>
      <c r="G677" s="290"/>
      <c r="H677" s="290"/>
      <c r="I677" s="251"/>
      <c r="J677" s="289">
        <v>11</v>
      </c>
      <c r="K677" s="289">
        <v>0.23</v>
      </c>
      <c r="L677" s="289">
        <v>120</v>
      </c>
      <c r="M677" s="292">
        <v>1.1299999999999999</v>
      </c>
    </row>
    <row r="678" spans="1:13" x14ac:dyDescent="0.25">
      <c r="A678" s="288">
        <v>14</v>
      </c>
      <c r="B678" s="264"/>
      <c r="C678" s="290"/>
      <c r="D678" s="290"/>
      <c r="E678" s="264"/>
      <c r="F678" s="290"/>
      <c r="G678" s="290"/>
      <c r="H678" s="290"/>
      <c r="I678" s="251"/>
      <c r="J678" s="289"/>
      <c r="K678" s="289"/>
      <c r="L678" s="289">
        <v>140</v>
      </c>
      <c r="M678" s="292">
        <v>1.2</v>
      </c>
    </row>
    <row r="679" spans="1:13" x14ac:dyDescent="0.25">
      <c r="A679" s="288">
        <v>15</v>
      </c>
      <c r="B679" s="264"/>
      <c r="C679" s="290"/>
      <c r="D679" s="290"/>
      <c r="E679" s="264"/>
      <c r="F679" s="290"/>
      <c r="G679" s="290"/>
      <c r="H679" s="290"/>
      <c r="I679" s="251"/>
      <c r="J679" s="251"/>
      <c r="K679" s="251"/>
      <c r="L679" s="251"/>
      <c r="M679" s="278"/>
    </row>
    <row r="680" spans="1:13" x14ac:dyDescent="0.25">
      <c r="A680" s="288">
        <v>16</v>
      </c>
      <c r="B680" s="264"/>
      <c r="C680" s="290"/>
      <c r="D680" s="290"/>
      <c r="E680" s="264"/>
      <c r="F680" s="290"/>
      <c r="G680" s="290"/>
      <c r="H680" s="290"/>
      <c r="I680" s="251"/>
      <c r="J680" s="251"/>
      <c r="K680" s="251"/>
      <c r="L680" s="251"/>
      <c r="M680" s="278"/>
    </row>
    <row r="681" spans="1:13" x14ac:dyDescent="0.25">
      <c r="A681" s="288">
        <v>17</v>
      </c>
      <c r="B681" s="264"/>
      <c r="C681" s="290"/>
      <c r="D681" s="290"/>
      <c r="E681" s="264"/>
      <c r="F681" s="290"/>
      <c r="G681" s="290"/>
      <c r="H681" s="290"/>
      <c r="I681" s="251"/>
      <c r="J681" s="251"/>
      <c r="K681" s="251"/>
      <c r="L681" s="251"/>
      <c r="M681" s="278"/>
    </row>
    <row r="682" spans="1:13" x14ac:dyDescent="0.25">
      <c r="A682" s="288">
        <v>18</v>
      </c>
      <c r="B682" s="264"/>
      <c r="C682" s="290"/>
      <c r="D682" s="290"/>
      <c r="E682" s="264"/>
      <c r="F682" s="290"/>
      <c r="G682" s="290"/>
      <c r="H682" s="290"/>
      <c r="I682" s="251"/>
      <c r="J682" s="251"/>
      <c r="K682" s="251"/>
      <c r="L682" s="251"/>
      <c r="M682" s="278"/>
    </row>
    <row r="683" spans="1:13" x14ac:dyDescent="0.25">
      <c r="A683" s="288">
        <v>19</v>
      </c>
      <c r="B683" s="264"/>
      <c r="C683" s="290"/>
      <c r="D683" s="290"/>
      <c r="E683" s="264"/>
      <c r="F683" s="290"/>
      <c r="G683" s="290"/>
      <c r="H683" s="290"/>
      <c r="I683" s="251"/>
      <c r="J683" s="251"/>
      <c r="K683" s="251"/>
      <c r="L683" s="251"/>
      <c r="M683" s="278"/>
    </row>
    <row r="684" spans="1:13" x14ac:dyDescent="0.25">
      <c r="A684" s="288">
        <v>20</v>
      </c>
      <c r="B684" s="264"/>
      <c r="C684" s="290"/>
      <c r="D684" s="290"/>
      <c r="E684" s="264"/>
      <c r="F684" s="290"/>
      <c r="G684" s="290"/>
      <c r="H684" s="290"/>
      <c r="I684" s="251"/>
      <c r="J684" s="251"/>
      <c r="K684" s="251"/>
      <c r="L684" s="251"/>
      <c r="M684" s="278"/>
    </row>
    <row r="685" spans="1:13" x14ac:dyDescent="0.25">
      <c r="A685" s="288"/>
      <c r="B685" s="264"/>
      <c r="C685" s="290"/>
      <c r="D685" s="290"/>
      <c r="E685" s="264"/>
      <c r="F685" s="290"/>
      <c r="G685" s="290"/>
      <c r="H685" s="290"/>
      <c r="I685" s="251"/>
      <c r="J685" s="251"/>
      <c r="K685" s="251"/>
      <c r="L685" s="251"/>
      <c r="M685" s="278"/>
    </row>
    <row r="686" spans="1:13" ht="16.2" x14ac:dyDescent="0.3">
      <c r="A686" s="387" t="s">
        <v>203</v>
      </c>
      <c r="B686" s="388"/>
      <c r="C686" s="388"/>
      <c r="D686" s="388"/>
      <c r="E686" s="388"/>
      <c r="F686" s="388"/>
      <c r="G686" s="388"/>
      <c r="H686" s="291">
        <f ca="1">SUM(H665:H685)</f>
        <v>0.79301175000000013</v>
      </c>
      <c r="I686" s="293"/>
      <c r="J686" s="293"/>
      <c r="K686" s="293"/>
      <c r="L686" s="293"/>
      <c r="M686" s="294"/>
    </row>
    <row r="689" spans="1:15" ht="14.4" x14ac:dyDescent="0.25">
      <c r="A689" s="244" t="s">
        <v>227</v>
      </c>
      <c r="C689" s="240"/>
    </row>
    <row r="690" spans="1:15" x14ac:dyDescent="0.25">
      <c r="A690" s="245" t="s">
        <v>138</v>
      </c>
      <c r="B690" s="246"/>
      <c r="C690" s="246"/>
      <c r="D690" s="246"/>
      <c r="E690" s="246"/>
      <c r="F690" s="246"/>
      <c r="G690" s="246"/>
      <c r="H690" s="246"/>
      <c r="I690" s="246"/>
      <c r="J690" s="246"/>
      <c r="K690" s="246"/>
      <c r="L690" s="246"/>
      <c r="M690" s="277"/>
    </row>
    <row r="691" spans="1:15" ht="14.4" x14ac:dyDescent="0.25">
      <c r="A691" s="247" t="s">
        <v>139</v>
      </c>
      <c r="B691" s="248"/>
      <c r="C691" s="249" t="s">
        <v>140</v>
      </c>
      <c r="D691" s="250" t="s">
        <v>141</v>
      </c>
      <c r="E691" s="249" t="s">
        <v>142</v>
      </c>
      <c r="F691" s="251"/>
      <c r="G691" s="251"/>
      <c r="H691" s="251"/>
      <c r="I691" s="251"/>
      <c r="J691" s="251"/>
      <c r="K691" s="251"/>
      <c r="L691" s="251"/>
      <c r="M691" s="278"/>
    </row>
    <row r="692" spans="1:15" ht="14.4" x14ac:dyDescent="0.25">
      <c r="A692" s="247"/>
      <c r="B692" s="248" t="s">
        <v>143</v>
      </c>
      <c r="C692" s="229">
        <v>2.1</v>
      </c>
      <c r="D692" s="252">
        <f>C692*1.25</f>
        <v>2.625</v>
      </c>
      <c r="E692" s="231">
        <f>C692*0.4</f>
        <v>0.84000000000000008</v>
      </c>
      <c r="F692" s="251"/>
      <c r="G692" s="251"/>
      <c r="H692" s="251"/>
      <c r="I692" s="251"/>
      <c r="J692" s="251"/>
      <c r="K692" s="251"/>
      <c r="L692" s="251"/>
      <c r="M692" s="278"/>
    </row>
    <row r="693" spans="1:15" ht="14.4" x14ac:dyDescent="0.25">
      <c r="A693" s="247"/>
      <c r="B693" s="248" t="s">
        <v>144</v>
      </c>
      <c r="C693" s="253">
        <v>1</v>
      </c>
      <c r="D693" s="254">
        <f>C693</f>
        <v>1</v>
      </c>
      <c r="E693" s="255">
        <f>D693</f>
        <v>1</v>
      </c>
      <c r="F693" s="251"/>
      <c r="G693" s="251"/>
      <c r="H693" s="251"/>
      <c r="I693" s="251"/>
      <c r="J693" s="251"/>
      <c r="K693" s="251"/>
      <c r="L693" s="251"/>
      <c r="M693" s="278"/>
    </row>
    <row r="694" spans="1:15" ht="14.4" x14ac:dyDescent="0.25">
      <c r="A694" s="247"/>
      <c r="B694" s="248" t="s">
        <v>145</v>
      </c>
      <c r="C694" s="231">
        <f>C692/C693</f>
        <v>2.1</v>
      </c>
      <c r="D694" s="252">
        <f>D692/D693</f>
        <v>2.625</v>
      </c>
      <c r="E694" s="231">
        <f>E692/E693</f>
        <v>0.84000000000000008</v>
      </c>
      <c r="F694" s="251"/>
      <c r="G694" s="251"/>
      <c r="H694" s="251"/>
      <c r="I694" s="251"/>
      <c r="J694" s="251"/>
      <c r="K694" s="251"/>
      <c r="L694" s="251"/>
      <c r="M694" s="278"/>
    </row>
    <row r="695" spans="1:15" ht="14.4" x14ac:dyDescent="0.25">
      <c r="A695" s="247"/>
      <c r="B695" s="248" t="s">
        <v>146</v>
      </c>
      <c r="C695" s="256">
        <v>1665</v>
      </c>
      <c r="D695" s="252">
        <f t="shared" ref="D695:E697" si="80">C695</f>
        <v>1665</v>
      </c>
      <c r="E695" s="231">
        <f t="shared" si="80"/>
        <v>1665</v>
      </c>
      <c r="F695" s="251"/>
      <c r="G695" s="251"/>
      <c r="H695" s="251"/>
      <c r="I695" s="251"/>
      <c r="J695" s="251"/>
      <c r="K695" s="251"/>
      <c r="L695" s="251"/>
      <c r="M695" s="278"/>
    </row>
    <row r="696" spans="1:15" ht="14.4" x14ac:dyDescent="0.25">
      <c r="A696" s="247"/>
      <c r="B696" s="248" t="s">
        <v>134</v>
      </c>
      <c r="C696" s="295">
        <f>$G$32</f>
        <v>1.0999999999999999E-2</v>
      </c>
      <c r="D696" s="258">
        <f t="shared" si="80"/>
        <v>1.0999999999999999E-2</v>
      </c>
      <c r="E696" s="258">
        <f t="shared" si="80"/>
        <v>1.0999999999999999E-2</v>
      </c>
      <c r="F696" s="251"/>
      <c r="G696" s="251"/>
      <c r="H696" s="251"/>
      <c r="I696" s="251"/>
      <c r="J696" s="251"/>
      <c r="K696" s="251"/>
      <c r="L696" s="251"/>
      <c r="M696" s="278"/>
    </row>
    <row r="697" spans="1:15" ht="14.4" x14ac:dyDescent="0.25">
      <c r="A697" s="247"/>
      <c r="B697" s="248" t="s">
        <v>147</v>
      </c>
      <c r="C697" s="229">
        <v>1.6</v>
      </c>
      <c r="D697" s="252">
        <f t="shared" si="80"/>
        <v>1.6</v>
      </c>
      <c r="E697" s="231">
        <f t="shared" si="80"/>
        <v>1.6</v>
      </c>
      <c r="F697" s="251"/>
      <c r="G697" s="251"/>
      <c r="H697" s="251"/>
      <c r="I697" s="251"/>
      <c r="J697" s="251"/>
      <c r="K697" s="251"/>
      <c r="L697" s="251"/>
      <c r="M697" s="278"/>
    </row>
    <row r="698" spans="1:15" ht="14.4" x14ac:dyDescent="0.25">
      <c r="A698" s="247"/>
      <c r="B698" s="248" t="s">
        <v>148</v>
      </c>
      <c r="C698" s="252">
        <f>4*C694/(C697^2*PI())</f>
        <v>1.0444543140405631</v>
      </c>
      <c r="D698" s="252">
        <f>4*D694/(D697^2*PI())</f>
        <v>1.3055678925507039</v>
      </c>
      <c r="E698" s="252">
        <f>4*E694/(E697^2*PI())</f>
        <v>0.41778172561622529</v>
      </c>
      <c r="F698" s="251"/>
      <c r="G698" s="251"/>
      <c r="H698" s="251"/>
      <c r="I698" s="251"/>
      <c r="J698" s="251"/>
      <c r="K698" s="251"/>
      <c r="L698" s="251"/>
      <c r="M698" s="278"/>
    </row>
    <row r="699" spans="1:15" ht="14.4" x14ac:dyDescent="0.25">
      <c r="A699" s="247"/>
      <c r="B699" s="248" t="s">
        <v>149</v>
      </c>
      <c r="C699" s="231">
        <f>C694/C698</f>
        <v>2.0106192982974678</v>
      </c>
      <c r="D699" s="252">
        <f>D694/D698</f>
        <v>2.0106192982974678</v>
      </c>
      <c r="E699" s="231">
        <f>E694/E698</f>
        <v>2.0106192982974678</v>
      </c>
      <c r="F699" s="251"/>
      <c r="G699" s="251"/>
      <c r="H699" s="251"/>
      <c r="I699" s="251"/>
      <c r="J699" s="251"/>
      <c r="K699" s="251"/>
      <c r="L699" s="251"/>
      <c r="M699" s="278"/>
    </row>
    <row r="700" spans="1:15" ht="14.4" x14ac:dyDescent="0.25">
      <c r="A700" s="247" t="s">
        <v>150</v>
      </c>
      <c r="B700" s="248"/>
      <c r="C700" s="248"/>
      <c r="D700" s="259"/>
      <c r="E700" s="248"/>
      <c r="F700" s="251"/>
      <c r="G700" s="389" t="s">
        <v>151</v>
      </c>
      <c r="H700" s="390"/>
      <c r="I700" s="390"/>
      <c r="J700" s="390"/>
      <c r="K700" s="391"/>
      <c r="L700" s="251"/>
      <c r="M700" s="278"/>
    </row>
    <row r="701" spans="1:15" ht="14.4" x14ac:dyDescent="0.25">
      <c r="A701" s="247" t="s">
        <v>152</v>
      </c>
      <c r="B701" s="248" t="s">
        <v>153</v>
      </c>
      <c r="C701" s="231">
        <f>C697/4</f>
        <v>0.4</v>
      </c>
      <c r="D701" s="252">
        <f>D697/4</f>
        <v>0.4</v>
      </c>
      <c r="E701" s="231">
        <f>E697/4</f>
        <v>0.4</v>
      </c>
      <c r="F701" s="251"/>
      <c r="G701" s="381" t="s">
        <v>154</v>
      </c>
      <c r="H701" s="260" t="s">
        <v>155</v>
      </c>
      <c r="I701" s="261" t="s">
        <v>156</v>
      </c>
      <c r="J701" s="261" t="s">
        <v>157</v>
      </c>
      <c r="K701" s="279" t="s">
        <v>158</v>
      </c>
      <c r="L701" s="251"/>
      <c r="M701" s="278"/>
    </row>
    <row r="702" spans="1:15" ht="16.8" x14ac:dyDescent="0.25">
      <c r="A702" s="247"/>
      <c r="B702" s="248" t="s">
        <v>159</v>
      </c>
      <c r="C702" s="231">
        <f>C701^(1/6)/C696</f>
        <v>78.034019902959741</v>
      </c>
      <c r="D702" s="252">
        <f>D701^(1/6)/D696</f>
        <v>78.034019902959741</v>
      </c>
      <c r="E702" s="231">
        <f>E701^(1/6)/E696</f>
        <v>78.034019902959741</v>
      </c>
      <c r="F702" s="251"/>
      <c r="G702" s="382"/>
      <c r="H702" s="261" t="s">
        <v>160</v>
      </c>
      <c r="I702" s="261" t="s">
        <v>161</v>
      </c>
      <c r="J702" s="261" t="s">
        <v>162</v>
      </c>
      <c r="K702" s="279" t="s">
        <v>163</v>
      </c>
      <c r="L702" s="251"/>
      <c r="M702" s="278"/>
    </row>
    <row r="703" spans="1:15" ht="16.8" x14ac:dyDescent="0.25">
      <c r="A703" s="247"/>
      <c r="B703" s="248" t="s">
        <v>164</v>
      </c>
      <c r="C703" s="231">
        <f>8*9.81/C702^2</f>
        <v>1.2888163420297277E-2</v>
      </c>
      <c r="D703" s="252">
        <f>8*9.81/D702^2</f>
        <v>1.2888163420297277E-2</v>
      </c>
      <c r="E703" s="231">
        <f>8*9.81/E702^2</f>
        <v>1.2888163420297277E-2</v>
      </c>
      <c r="F703" s="251"/>
      <c r="G703" s="262" t="s">
        <v>228</v>
      </c>
      <c r="H703" s="263">
        <f>C699</f>
        <v>2.0106192982974678</v>
      </c>
      <c r="I703" s="263">
        <f>I709*I710</f>
        <v>8.5890000000000004</v>
      </c>
      <c r="J703" s="263">
        <f>H703/I703</f>
        <v>0.23409236212568024</v>
      </c>
      <c r="K703" s="280">
        <f ca="1">TREND(OFFSET($L$51,MATCH(J703,$K$52:$K$60),0,2,1),OFFSET($K$51,MATCH(J703,$K$52:$K$60),0,2,1),J703)</f>
        <v>0.55817833089836744</v>
      </c>
      <c r="L703" s="251"/>
      <c r="M703" s="278"/>
    </row>
    <row r="704" spans="1:15" ht="16.8" x14ac:dyDescent="0.25">
      <c r="A704" s="247"/>
      <c r="B704" s="248" t="s">
        <v>166</v>
      </c>
      <c r="C704" s="231">
        <f>C703*C695*C698^2/(4*C701*2*9.81)</f>
        <v>0.74570178470712267</v>
      </c>
      <c r="D704" s="252">
        <f>D703*D695*D698^2/(4*D701*2*9.81)</f>
        <v>1.1651590386048791</v>
      </c>
      <c r="E704" s="231">
        <f>E703*E695*E698^2/(4*E701*2*9.81)</f>
        <v>0.11931228555313965</v>
      </c>
      <c r="F704" s="251"/>
      <c r="G704" s="251"/>
      <c r="H704" s="251"/>
      <c r="I704" s="251"/>
      <c r="J704" s="251"/>
      <c r="K704" s="251"/>
      <c r="L704" s="251"/>
      <c r="M704" s="278"/>
      <c r="O704" s="281">
        <f>0.64-(0.64-0.4)/0.1*(J703-0.2)</f>
        <v>0.55817833089836744</v>
      </c>
    </row>
    <row r="705" spans="1:13" ht="14.4" x14ac:dyDescent="0.25">
      <c r="A705" s="247" t="s">
        <v>167</v>
      </c>
      <c r="B705" s="248" t="s">
        <v>168</v>
      </c>
      <c r="C705" s="264">
        <v>0.25</v>
      </c>
      <c r="D705" s="252">
        <f t="shared" ref="D705:E710" si="81">C705</f>
        <v>0.25</v>
      </c>
      <c r="E705" s="231">
        <f t="shared" si="81"/>
        <v>0.25</v>
      </c>
      <c r="F705" s="251"/>
      <c r="G705" s="251"/>
      <c r="H705" s="251"/>
      <c r="I705" s="251"/>
      <c r="J705" s="251"/>
      <c r="K705" s="251"/>
      <c r="L705" s="251"/>
      <c r="M705" s="278"/>
    </row>
    <row r="706" spans="1:13" ht="15.6" x14ac:dyDescent="0.25">
      <c r="A706" s="247"/>
      <c r="B706" s="248" t="s">
        <v>169</v>
      </c>
      <c r="C706" s="264">
        <f>0.1*2</f>
        <v>0.2</v>
      </c>
      <c r="D706" s="252">
        <f t="shared" si="81"/>
        <v>0.2</v>
      </c>
      <c r="E706" s="231">
        <f t="shared" si="81"/>
        <v>0.2</v>
      </c>
      <c r="F706" s="251"/>
      <c r="G706" s="383" t="s">
        <v>170</v>
      </c>
      <c r="H706" s="265" t="s">
        <v>171</v>
      </c>
      <c r="I706" s="282"/>
      <c r="J706" s="251"/>
      <c r="K706" s="238" t="s">
        <v>162</v>
      </c>
      <c r="L706" s="238" t="s">
        <v>163</v>
      </c>
      <c r="M706" s="278"/>
    </row>
    <row r="707" spans="1:13" ht="15.6" x14ac:dyDescent="0.25">
      <c r="A707" s="247"/>
      <c r="B707" s="248" t="s">
        <v>172</v>
      </c>
      <c r="C707" s="264">
        <v>0.02</v>
      </c>
      <c r="D707" s="252">
        <f t="shared" si="81"/>
        <v>0.02</v>
      </c>
      <c r="E707" s="231">
        <f t="shared" si="81"/>
        <v>0.02</v>
      </c>
      <c r="F707" s="251"/>
      <c r="G707" s="384"/>
      <c r="H707" s="266" t="s">
        <v>173</v>
      </c>
      <c r="I707" s="283">
        <v>1.363</v>
      </c>
      <c r="J707" s="251"/>
      <c r="K707" s="238">
        <v>0.1</v>
      </c>
      <c r="L707" s="238">
        <v>0.81</v>
      </c>
      <c r="M707" s="278"/>
    </row>
    <row r="708" spans="1:13" ht="16.2" x14ac:dyDescent="0.25">
      <c r="A708" s="247"/>
      <c r="B708" s="248" t="s">
        <v>174</v>
      </c>
      <c r="C708" s="264">
        <v>0.1</v>
      </c>
      <c r="D708" s="252">
        <f t="shared" si="81"/>
        <v>0.1</v>
      </c>
      <c r="E708" s="231">
        <f t="shared" si="81"/>
        <v>0.1</v>
      </c>
      <c r="F708" s="251"/>
      <c r="G708" s="384"/>
      <c r="H708" s="266" t="s">
        <v>175</v>
      </c>
      <c r="I708" s="284"/>
      <c r="J708" s="251"/>
      <c r="K708" s="238">
        <v>0.2</v>
      </c>
      <c r="L708" s="238">
        <v>0.64</v>
      </c>
      <c r="M708" s="278"/>
    </row>
    <row r="709" spans="1:13" ht="15.6" x14ac:dyDescent="0.25">
      <c r="A709" s="247"/>
      <c r="B709" s="248" t="s">
        <v>176</v>
      </c>
      <c r="C709" s="264">
        <v>80</v>
      </c>
      <c r="D709" s="252">
        <f t="shared" si="81"/>
        <v>80</v>
      </c>
      <c r="E709" s="231">
        <f t="shared" si="81"/>
        <v>80</v>
      </c>
      <c r="F709" s="251"/>
      <c r="G709" s="384"/>
      <c r="H709" s="266" t="s">
        <v>177</v>
      </c>
      <c r="I709" s="283">
        <f>I707+1.5</f>
        <v>2.863</v>
      </c>
      <c r="J709" s="251"/>
      <c r="K709" s="238">
        <v>0.3</v>
      </c>
      <c r="L709" s="238">
        <v>0.4</v>
      </c>
      <c r="M709" s="278"/>
    </row>
    <row r="710" spans="1:13" ht="15.6" x14ac:dyDescent="0.25">
      <c r="A710" s="247"/>
      <c r="B710" s="248" t="s">
        <v>178</v>
      </c>
      <c r="C710" s="264">
        <v>1.83</v>
      </c>
      <c r="D710" s="252">
        <f t="shared" si="81"/>
        <v>1.83</v>
      </c>
      <c r="E710" s="231">
        <f t="shared" si="81"/>
        <v>1.83</v>
      </c>
      <c r="F710" s="251"/>
      <c r="G710" s="384"/>
      <c r="H710" s="266" t="s">
        <v>179</v>
      </c>
      <c r="I710" s="283">
        <v>3</v>
      </c>
      <c r="K710" s="238">
        <v>0.4</v>
      </c>
      <c r="L710" s="238">
        <v>0.36</v>
      </c>
      <c r="M710" s="278"/>
    </row>
    <row r="711" spans="1:13" ht="16.8" x14ac:dyDescent="0.25">
      <c r="A711" s="247"/>
      <c r="B711" s="248" t="s">
        <v>180</v>
      </c>
      <c r="C711" s="231">
        <f>C710*(C707/C708)^(4/3)*SIN(C709/180*PI())</f>
        <v>0.21078637878092679</v>
      </c>
      <c r="D711" s="252">
        <f>D710*(D707/D708)^(4/3)*SIN(D709/180*PI())</f>
        <v>0.21078637878092679</v>
      </c>
      <c r="E711" s="231">
        <f>E710*(E707/E708)^(4/3)*SIN(E709/180*PI())</f>
        <v>0.21078637878092679</v>
      </c>
      <c r="F711" s="251"/>
      <c r="G711" s="384"/>
      <c r="H711" s="266" t="s">
        <v>181</v>
      </c>
      <c r="I711" s="284"/>
      <c r="K711" s="238">
        <v>0.5</v>
      </c>
      <c r="L711" s="238">
        <v>0.25</v>
      </c>
      <c r="M711" s="278"/>
    </row>
    <row r="712" spans="1:13" ht="15.6" x14ac:dyDescent="0.25">
      <c r="A712" s="247"/>
      <c r="B712" s="247" t="s">
        <v>182</v>
      </c>
      <c r="C712" s="231">
        <f ca="1">H778</f>
        <v>2.8435490767500009</v>
      </c>
      <c r="D712" s="252">
        <f t="shared" ref="D712:E714" ca="1" si="82">C712</f>
        <v>2.8435490767500009</v>
      </c>
      <c r="E712" s="231">
        <f t="shared" ca="1" si="82"/>
        <v>2.8435490767500009</v>
      </c>
      <c r="F712" s="251"/>
      <c r="G712" s="384"/>
      <c r="H712" s="266" t="s">
        <v>183</v>
      </c>
      <c r="I712" s="284"/>
      <c r="K712" s="238">
        <v>0.6</v>
      </c>
      <c r="L712" s="238">
        <v>0.16</v>
      </c>
      <c r="M712" s="278"/>
    </row>
    <row r="713" spans="1:13" ht="16.2" x14ac:dyDescent="0.25">
      <c r="A713" s="247"/>
      <c r="B713" s="247" t="s">
        <v>184</v>
      </c>
      <c r="C713" s="264">
        <f ca="1">K703</f>
        <v>0.55817833089836744</v>
      </c>
      <c r="D713" s="252">
        <f t="shared" ca="1" si="82"/>
        <v>0.55817833089836744</v>
      </c>
      <c r="E713" s="231">
        <f t="shared" ca="1" si="82"/>
        <v>0.55817833089836744</v>
      </c>
      <c r="F713" s="251"/>
      <c r="G713" s="385"/>
      <c r="H713" s="266" t="s">
        <v>185</v>
      </c>
      <c r="I713" s="284"/>
      <c r="K713" s="238">
        <v>0.7</v>
      </c>
      <c r="L713" s="238">
        <v>0.09</v>
      </c>
      <c r="M713" s="278"/>
    </row>
    <row r="714" spans="1:13" ht="16.2" x14ac:dyDescent="0.25">
      <c r="A714" s="247"/>
      <c r="B714" s="248" t="s">
        <v>229</v>
      </c>
      <c r="C714" s="264">
        <f>0.1*4</f>
        <v>0.4</v>
      </c>
      <c r="D714" s="252">
        <f t="shared" si="82"/>
        <v>0.4</v>
      </c>
      <c r="E714" s="231">
        <f t="shared" si="82"/>
        <v>0.4</v>
      </c>
      <c r="F714" s="251"/>
      <c r="G714" s="386"/>
      <c r="H714" s="267" t="s">
        <v>187</v>
      </c>
      <c r="I714" s="285"/>
      <c r="J714" s="251"/>
      <c r="K714" s="238">
        <v>0.8</v>
      </c>
      <c r="L714" s="238">
        <v>0.04</v>
      </c>
      <c r="M714" s="278"/>
    </row>
    <row r="715" spans="1:13" ht="14.4" x14ac:dyDescent="0.25">
      <c r="A715" s="247"/>
      <c r="B715" s="248" t="s">
        <v>188</v>
      </c>
      <c r="C715" s="231">
        <f ca="1">C714+C711+C706+C705+C713+C712</f>
        <v>4.4625137864292954</v>
      </c>
      <c r="D715" s="252">
        <f ca="1">D714+D711+D706+D705+D713+D712</f>
        <v>4.4625137864292954</v>
      </c>
      <c r="E715" s="231">
        <f ca="1">E714+E711+E706+E705+E713+E712</f>
        <v>4.4625137864292954</v>
      </c>
      <c r="F715" s="251"/>
      <c r="G715" s="251"/>
      <c r="H715" s="251"/>
      <c r="I715" s="251"/>
      <c r="J715" s="251"/>
      <c r="K715" s="238">
        <v>0.9</v>
      </c>
      <c r="L715" s="238">
        <v>0.01</v>
      </c>
      <c r="M715" s="278"/>
    </row>
    <row r="716" spans="1:13" ht="16.8" x14ac:dyDescent="0.25">
      <c r="A716" s="247"/>
      <c r="B716" s="248" t="s">
        <v>189</v>
      </c>
      <c r="C716" s="231">
        <f ca="1">C715*C698^2/2/9.81</f>
        <v>0.24811868106053417</v>
      </c>
      <c r="D716" s="252">
        <f ca="1">D715*D698^2/2/9.81</f>
        <v>0.3876854391570847</v>
      </c>
      <c r="E716" s="231">
        <f ca="1">E715*E698^2/2/9.81</f>
        <v>3.9698988969685475E-2</v>
      </c>
      <c r="F716" s="251"/>
      <c r="G716" s="251"/>
      <c r="H716" s="251"/>
      <c r="I716" s="251"/>
      <c r="J716" s="251"/>
      <c r="K716" s="251"/>
      <c r="L716" s="251"/>
      <c r="M716" s="278"/>
    </row>
    <row r="717" spans="1:13" ht="14.4" x14ac:dyDescent="0.25">
      <c r="A717" s="268" t="s">
        <v>190</v>
      </c>
      <c r="B717" s="269" t="s">
        <v>191</v>
      </c>
      <c r="C717" s="270">
        <f ca="1">C704+C716</f>
        <v>0.99382046576765681</v>
      </c>
      <c r="D717" s="270">
        <f ca="1">D704+D716</f>
        <v>1.5528444777619639</v>
      </c>
      <c r="E717" s="271">
        <f ca="1">E704+E716</f>
        <v>0.15901127452282512</v>
      </c>
      <c r="F717" s="251"/>
      <c r="G717" s="272" t="s">
        <v>192</v>
      </c>
      <c r="H717" s="241">
        <v>2.85</v>
      </c>
      <c r="I717" s="251"/>
      <c r="J717" s="251"/>
      <c r="K717" s="251"/>
      <c r="L717" s="251"/>
      <c r="M717" s="278"/>
    </row>
    <row r="718" spans="1:13" ht="14.4" x14ac:dyDescent="0.25">
      <c r="A718" s="273" t="s">
        <v>193</v>
      </c>
      <c r="B718" s="274"/>
      <c r="C718" s="231">
        <f ca="1">C717+(C698^2-D673^2)/(2*9.81)</f>
        <v>-0.94153199018963463</v>
      </c>
      <c r="D718" s="252">
        <f ca="1">D717+(D698^2-D672^2)/(2*9.81)</f>
        <v>-0.35123261081809276</v>
      </c>
      <c r="E718" s="231">
        <f ca="1">E717+(E698^2-D674^2)/(2*9.81)</f>
        <v>-1.8230457300511362</v>
      </c>
      <c r="F718" s="251"/>
      <c r="G718" s="251"/>
      <c r="H718" s="251"/>
      <c r="I718" s="251"/>
      <c r="J718" s="251"/>
      <c r="K718" s="251"/>
      <c r="L718" s="251"/>
      <c r="M718" s="278"/>
    </row>
    <row r="719" spans="1:13" ht="14.4" x14ac:dyDescent="0.25">
      <c r="A719" s="273" t="s">
        <v>194</v>
      </c>
      <c r="B719" s="274"/>
      <c r="C719" s="231">
        <f ca="1">C718+C681-D681</f>
        <v>-0.94153199018963463</v>
      </c>
      <c r="D719" s="252">
        <f ca="1">D718+C679-D679</f>
        <v>-0.35123261081809276</v>
      </c>
      <c r="E719" s="231">
        <f ca="1">E718+C683-D683</f>
        <v>-1.8230457300511362</v>
      </c>
      <c r="F719" s="251"/>
      <c r="G719" s="251"/>
      <c r="H719" s="251"/>
      <c r="I719" s="251"/>
      <c r="J719" s="251"/>
      <c r="K719" s="251"/>
      <c r="L719" s="251"/>
      <c r="M719" s="278"/>
    </row>
    <row r="720" spans="1:13" x14ac:dyDescent="0.25">
      <c r="A720" s="286"/>
      <c r="B720" s="287"/>
      <c r="C720" s="251"/>
      <c r="D720" s="251"/>
      <c r="E720" s="251"/>
      <c r="F720" s="251"/>
      <c r="G720" s="251"/>
      <c r="H720" s="251"/>
      <c r="I720" s="251"/>
      <c r="J720" s="251"/>
      <c r="K720" s="251"/>
      <c r="L720" s="251"/>
      <c r="M720" s="278"/>
    </row>
    <row r="721" spans="1:13" ht="18" x14ac:dyDescent="0.4">
      <c r="A721" s="288"/>
      <c r="B721" s="289" t="s">
        <v>26</v>
      </c>
      <c r="C721" s="289" t="s">
        <v>195</v>
      </c>
      <c r="D721" s="289" t="s">
        <v>196</v>
      </c>
      <c r="E721" s="289" t="s">
        <v>197</v>
      </c>
      <c r="F721" s="289" t="s">
        <v>198</v>
      </c>
      <c r="G721" s="289" t="s">
        <v>199</v>
      </c>
      <c r="H721" s="289" t="s">
        <v>200</v>
      </c>
      <c r="I721" s="251"/>
      <c r="J721" s="289" t="s">
        <v>201</v>
      </c>
      <c r="K721" s="289" t="s">
        <v>202</v>
      </c>
      <c r="L721" s="289" t="s">
        <v>197</v>
      </c>
      <c r="M721" s="292" t="s">
        <v>199</v>
      </c>
    </row>
    <row r="722" spans="1:13" x14ac:dyDescent="0.25">
      <c r="A722" s="288">
        <v>1</v>
      </c>
      <c r="B722" s="264">
        <v>10</v>
      </c>
      <c r="C722" s="290">
        <f>C697</f>
        <v>1.6</v>
      </c>
      <c r="D722" s="290">
        <f t="shared" ref="D722:D753" si="83">B722/C722</f>
        <v>6.25</v>
      </c>
      <c r="E722" s="264">
        <v>3.0680000000000001</v>
      </c>
      <c r="F722" s="290">
        <f t="shared" ref="F722:F753" ca="1" si="84">TREND(OFFSET($K$66,MATCH(D722,$J$67:$J$79),0,2,1),OFFSET($J$66,MATCH(D722,$J$67:$J$79),0,2,1),D722)</f>
        <v>0.27750000000000002</v>
      </c>
      <c r="G722" s="290">
        <f ca="1">TREND(OFFSET($M$66,MATCH(E722,$L$67:$L$80),0,2,1),OFFSET($L$66,MATCH(E722,$L$67:$L$80),0,2,1),E722)</f>
        <v>7.669999999999999E-2</v>
      </c>
      <c r="H722" s="290">
        <f t="shared" ref="H722:H753" ca="1" si="85">F722*G722</f>
        <v>2.1284249999999998E-2</v>
      </c>
      <c r="I722" s="251"/>
      <c r="J722" s="289">
        <v>0.5</v>
      </c>
      <c r="K722" s="289">
        <v>1.2</v>
      </c>
      <c r="L722" s="289">
        <v>0</v>
      </c>
      <c r="M722" s="292">
        <v>0</v>
      </c>
    </row>
    <row r="723" spans="1:13" x14ac:dyDescent="0.25">
      <c r="A723" s="288">
        <v>2</v>
      </c>
      <c r="B723" s="264">
        <v>10</v>
      </c>
      <c r="C723" s="290">
        <f t="shared" ref="C723:C754" si="86">C722</f>
        <v>1.6</v>
      </c>
      <c r="D723" s="290">
        <f t="shared" si="83"/>
        <v>6.25</v>
      </c>
      <c r="E723" s="264">
        <v>11.481</v>
      </c>
      <c r="F723" s="290">
        <f t="shared" ca="1" si="84"/>
        <v>0.27750000000000002</v>
      </c>
      <c r="G723" s="290">
        <f t="shared" ref="G723:G754" ca="1" si="87">TREND(OFFSET($M$66,MATCH(E723,$L$67:$L$79),0,2,1),OFFSET($L$66,MATCH(E723,$L$67:$L$79),0,2,1),E723)</f>
        <v>0.25517699999999999</v>
      </c>
      <c r="H723" s="290">
        <f t="shared" ca="1" si="85"/>
        <v>7.0811617500000007E-2</v>
      </c>
      <c r="I723" s="251"/>
      <c r="J723" s="289">
        <v>1</v>
      </c>
      <c r="K723" s="289">
        <v>0.8</v>
      </c>
      <c r="L723" s="289">
        <v>5</v>
      </c>
      <c r="M723" s="292">
        <v>0.125</v>
      </c>
    </row>
    <row r="724" spans="1:13" x14ac:dyDescent="0.25">
      <c r="A724" s="288">
        <v>3</v>
      </c>
      <c r="B724" s="264">
        <v>10</v>
      </c>
      <c r="C724" s="290">
        <f t="shared" si="86"/>
        <v>1.6</v>
      </c>
      <c r="D724" s="290">
        <f t="shared" si="83"/>
        <v>6.25</v>
      </c>
      <c r="E724" s="264">
        <v>4.6399999999999997</v>
      </c>
      <c r="F724" s="290">
        <f t="shared" ca="1" si="84"/>
        <v>0.27750000000000002</v>
      </c>
      <c r="G724" s="290">
        <f t="shared" ca="1" si="87"/>
        <v>0.11599999999999999</v>
      </c>
      <c r="H724" s="290">
        <f t="shared" ca="1" si="85"/>
        <v>3.2190000000000003E-2</v>
      </c>
      <c r="I724" s="251"/>
      <c r="J724" s="289">
        <v>1.5</v>
      </c>
      <c r="K724" s="289">
        <v>0.6</v>
      </c>
      <c r="L724" s="289">
        <v>10</v>
      </c>
      <c r="M724" s="292">
        <v>0.23</v>
      </c>
    </row>
    <row r="725" spans="1:13" x14ac:dyDescent="0.25">
      <c r="A725" s="288">
        <v>4</v>
      </c>
      <c r="B725" s="264">
        <v>10</v>
      </c>
      <c r="C725" s="290">
        <f t="shared" si="86"/>
        <v>1.6</v>
      </c>
      <c r="D725" s="290">
        <f t="shared" si="83"/>
        <v>6.25</v>
      </c>
      <c r="E725" s="264">
        <v>6.5720000000000001</v>
      </c>
      <c r="F725" s="290">
        <f t="shared" ca="1" si="84"/>
        <v>0.27750000000000002</v>
      </c>
      <c r="G725" s="290">
        <f t="shared" ca="1" si="87"/>
        <v>0.15801200000000001</v>
      </c>
      <c r="H725" s="290">
        <f t="shared" ca="1" si="85"/>
        <v>4.3848330000000005E-2</v>
      </c>
      <c r="I725" s="251"/>
      <c r="J725" s="289">
        <v>2</v>
      </c>
      <c r="K725" s="289">
        <v>0.48</v>
      </c>
      <c r="L725" s="289">
        <v>20</v>
      </c>
      <c r="M725" s="292">
        <v>0.4</v>
      </c>
    </row>
    <row r="726" spans="1:13" x14ac:dyDescent="0.25">
      <c r="A726" s="288">
        <v>5</v>
      </c>
      <c r="B726" s="264">
        <v>10</v>
      </c>
      <c r="C726" s="290">
        <f t="shared" si="86"/>
        <v>1.6</v>
      </c>
      <c r="D726" s="290">
        <f t="shared" si="83"/>
        <v>6.25</v>
      </c>
      <c r="E726" s="264">
        <v>9.1270000000000007</v>
      </c>
      <c r="F726" s="290">
        <f t="shared" ca="1" si="84"/>
        <v>0.27750000000000002</v>
      </c>
      <c r="G726" s="290">
        <f t="shared" ca="1" si="87"/>
        <v>0.21166700000000002</v>
      </c>
      <c r="H726" s="290">
        <f t="shared" ca="1" si="85"/>
        <v>5.8737592500000012E-2</v>
      </c>
      <c r="I726" s="251"/>
      <c r="J726" s="289">
        <v>3</v>
      </c>
      <c r="K726" s="289">
        <v>0.36</v>
      </c>
      <c r="L726" s="289">
        <v>30</v>
      </c>
      <c r="M726" s="292">
        <v>0.55000000000000004</v>
      </c>
    </row>
    <row r="727" spans="1:13" x14ac:dyDescent="0.25">
      <c r="A727" s="288">
        <v>6</v>
      </c>
      <c r="B727" s="264">
        <v>10</v>
      </c>
      <c r="C727" s="290">
        <f t="shared" si="86"/>
        <v>1.6</v>
      </c>
      <c r="D727" s="290">
        <f t="shared" si="83"/>
        <v>6.25</v>
      </c>
      <c r="E727" s="264">
        <v>29.045999999999999</v>
      </c>
      <c r="F727" s="290">
        <f t="shared" ca="1" si="84"/>
        <v>0.27750000000000002</v>
      </c>
      <c r="G727" s="290">
        <f t="shared" ca="1" si="87"/>
        <v>0.53569</v>
      </c>
      <c r="H727" s="290">
        <f t="shared" ca="1" si="85"/>
        <v>0.14865397500000002</v>
      </c>
      <c r="I727" s="251"/>
      <c r="J727" s="289">
        <v>4</v>
      </c>
      <c r="K727" s="289">
        <v>0.3</v>
      </c>
      <c r="L727" s="289">
        <v>40</v>
      </c>
      <c r="M727" s="292">
        <v>0.65</v>
      </c>
    </row>
    <row r="728" spans="1:13" x14ac:dyDescent="0.25">
      <c r="A728" s="288">
        <v>7</v>
      </c>
      <c r="B728" s="264">
        <v>10</v>
      </c>
      <c r="C728" s="290">
        <f t="shared" si="86"/>
        <v>1.6</v>
      </c>
      <c r="D728" s="290">
        <f t="shared" si="83"/>
        <v>6.25</v>
      </c>
      <c r="E728" s="264">
        <v>7.0069999999999997</v>
      </c>
      <c r="F728" s="290">
        <f t="shared" ca="1" si="84"/>
        <v>0.27750000000000002</v>
      </c>
      <c r="G728" s="290">
        <f t="shared" ca="1" si="87"/>
        <v>0.16714699999999999</v>
      </c>
      <c r="H728" s="290">
        <f t="shared" ca="1" si="85"/>
        <v>4.6383292499999999E-2</v>
      </c>
      <c r="I728" s="251"/>
      <c r="J728" s="289">
        <v>5</v>
      </c>
      <c r="K728" s="289">
        <v>0.28999999999999998</v>
      </c>
      <c r="L728" s="289">
        <v>50</v>
      </c>
      <c r="M728" s="292">
        <v>0.75</v>
      </c>
    </row>
    <row r="729" spans="1:13" x14ac:dyDescent="0.25">
      <c r="A729" s="288">
        <v>8</v>
      </c>
      <c r="B729" s="264">
        <v>10</v>
      </c>
      <c r="C729" s="290">
        <f t="shared" si="86"/>
        <v>1.6</v>
      </c>
      <c r="D729" s="290">
        <f t="shared" si="83"/>
        <v>6.25</v>
      </c>
      <c r="E729" s="264">
        <v>4.8029999999999999</v>
      </c>
      <c r="F729" s="290">
        <f t="shared" ca="1" si="84"/>
        <v>0.27750000000000002</v>
      </c>
      <c r="G729" s="290">
        <f t="shared" ca="1" si="87"/>
        <v>0.12007499999999999</v>
      </c>
      <c r="H729" s="290">
        <f t="shared" ca="1" si="85"/>
        <v>3.3320812499999998E-2</v>
      </c>
      <c r="I729" s="251"/>
      <c r="J729" s="289">
        <v>6</v>
      </c>
      <c r="K729" s="289">
        <v>0.28000000000000003</v>
      </c>
      <c r="L729" s="289">
        <v>60</v>
      </c>
      <c r="M729" s="292">
        <v>0.83</v>
      </c>
    </row>
    <row r="730" spans="1:13" x14ac:dyDescent="0.25">
      <c r="A730" s="288">
        <v>9</v>
      </c>
      <c r="B730" s="264">
        <v>10</v>
      </c>
      <c r="C730" s="290">
        <f t="shared" si="86"/>
        <v>1.6</v>
      </c>
      <c r="D730" s="290">
        <f t="shared" si="83"/>
        <v>6.25</v>
      </c>
      <c r="E730" s="264">
        <v>3.8260000000000001</v>
      </c>
      <c r="F730" s="290">
        <f t="shared" ca="1" si="84"/>
        <v>0.27750000000000002</v>
      </c>
      <c r="G730" s="290">
        <f t="shared" ca="1" si="87"/>
        <v>9.5650000000000013E-2</v>
      </c>
      <c r="H730" s="290">
        <f t="shared" ca="1" si="85"/>
        <v>2.6542875000000007E-2</v>
      </c>
      <c r="I730" s="251"/>
      <c r="J730" s="289">
        <v>7</v>
      </c>
      <c r="K730" s="289">
        <v>0.27</v>
      </c>
      <c r="L730" s="289">
        <v>70</v>
      </c>
      <c r="M730" s="292">
        <v>0.88</v>
      </c>
    </row>
    <row r="731" spans="1:13" x14ac:dyDescent="0.25">
      <c r="A731" s="288">
        <v>10</v>
      </c>
      <c r="B731" s="264">
        <v>10</v>
      </c>
      <c r="C731" s="290">
        <f t="shared" si="86"/>
        <v>1.6</v>
      </c>
      <c r="D731" s="290">
        <f t="shared" si="83"/>
        <v>6.25</v>
      </c>
      <c r="E731" s="264">
        <v>9.202</v>
      </c>
      <c r="F731" s="290">
        <f t="shared" ca="1" si="84"/>
        <v>0.27750000000000002</v>
      </c>
      <c r="G731" s="290">
        <f t="shared" ca="1" si="87"/>
        <v>0.21324199999999999</v>
      </c>
      <c r="H731" s="290">
        <f t="shared" ca="1" si="85"/>
        <v>5.9174655E-2</v>
      </c>
      <c r="I731" s="251"/>
      <c r="J731" s="289">
        <v>8</v>
      </c>
      <c r="K731" s="289">
        <v>0.26</v>
      </c>
      <c r="L731" s="289">
        <v>80</v>
      </c>
      <c r="M731" s="292">
        <v>0.95</v>
      </c>
    </row>
    <row r="732" spans="1:13" x14ac:dyDescent="0.25">
      <c r="A732" s="288">
        <v>11</v>
      </c>
      <c r="B732" s="264">
        <v>10</v>
      </c>
      <c r="C732" s="290">
        <f t="shared" si="86"/>
        <v>1.6</v>
      </c>
      <c r="D732" s="290">
        <f t="shared" si="83"/>
        <v>6.25</v>
      </c>
      <c r="E732" s="264">
        <v>2.9</v>
      </c>
      <c r="F732" s="290">
        <f t="shared" ca="1" si="84"/>
        <v>0.27750000000000002</v>
      </c>
      <c r="G732" s="290">
        <f t="shared" ca="1" si="87"/>
        <v>7.2500000000000009E-2</v>
      </c>
      <c r="H732" s="290">
        <f t="shared" ca="1" si="85"/>
        <v>2.0118750000000005E-2</v>
      </c>
      <c r="I732" s="251"/>
      <c r="J732" s="289">
        <v>9</v>
      </c>
      <c r="K732" s="289">
        <v>0.25</v>
      </c>
      <c r="L732" s="289">
        <v>90</v>
      </c>
      <c r="M732" s="292">
        <v>1</v>
      </c>
    </row>
    <row r="733" spans="1:13" x14ac:dyDescent="0.25">
      <c r="A733" s="288">
        <v>12</v>
      </c>
      <c r="B733" s="264">
        <v>10</v>
      </c>
      <c r="C733" s="290">
        <f t="shared" si="86"/>
        <v>1.6</v>
      </c>
      <c r="D733" s="290">
        <f t="shared" si="83"/>
        <v>6.25</v>
      </c>
      <c r="E733" s="264">
        <v>10.8101</v>
      </c>
      <c r="F733" s="290">
        <f t="shared" ca="1" si="84"/>
        <v>0.27750000000000002</v>
      </c>
      <c r="G733" s="290">
        <f t="shared" ca="1" si="87"/>
        <v>0.24377170000000001</v>
      </c>
      <c r="H733" s="290">
        <f t="shared" ca="1" si="85"/>
        <v>6.7646646750000011E-2</v>
      </c>
      <c r="I733" s="251"/>
      <c r="J733" s="289">
        <v>10</v>
      </c>
      <c r="K733" s="289">
        <v>0.24</v>
      </c>
      <c r="L733" s="289">
        <v>100</v>
      </c>
      <c r="M733" s="292">
        <v>1.05</v>
      </c>
    </row>
    <row r="734" spans="1:13" x14ac:dyDescent="0.25">
      <c r="A734" s="288">
        <v>13</v>
      </c>
      <c r="B734" s="264">
        <v>10</v>
      </c>
      <c r="C734" s="290">
        <f t="shared" si="86"/>
        <v>1.6</v>
      </c>
      <c r="D734" s="290">
        <f t="shared" si="83"/>
        <v>6.25</v>
      </c>
      <c r="E734" s="264">
        <v>6.6390000000000002</v>
      </c>
      <c r="F734" s="290">
        <f t="shared" ca="1" si="84"/>
        <v>0.27750000000000002</v>
      </c>
      <c r="G734" s="290">
        <f t="shared" ca="1" si="87"/>
        <v>0.15941900000000001</v>
      </c>
      <c r="H734" s="290">
        <f t="shared" ca="1" si="85"/>
        <v>4.4238772500000002E-2</v>
      </c>
      <c r="I734" s="251"/>
      <c r="J734" s="289">
        <v>11</v>
      </c>
      <c r="K734" s="289">
        <v>0.23</v>
      </c>
      <c r="L734" s="289">
        <v>120</v>
      </c>
      <c r="M734" s="292">
        <v>1.1299999999999999</v>
      </c>
    </row>
    <row r="735" spans="1:13" x14ac:dyDescent="0.25">
      <c r="A735" s="288">
        <v>14</v>
      </c>
      <c r="B735" s="264">
        <v>10</v>
      </c>
      <c r="C735" s="290">
        <f t="shared" si="86"/>
        <v>1.6</v>
      </c>
      <c r="D735" s="290">
        <f t="shared" si="83"/>
        <v>6.25</v>
      </c>
      <c r="E735" s="264">
        <v>3.7130000000000001</v>
      </c>
      <c r="F735" s="290">
        <f t="shared" ca="1" si="84"/>
        <v>0.27750000000000002</v>
      </c>
      <c r="G735" s="290">
        <f t="shared" ca="1" si="87"/>
        <v>9.2824999999999991E-2</v>
      </c>
      <c r="H735" s="290">
        <f t="shared" ca="1" si="85"/>
        <v>2.5758937499999999E-2</v>
      </c>
      <c r="I735" s="251"/>
      <c r="J735" s="289"/>
      <c r="K735" s="289"/>
      <c r="L735" s="289">
        <v>140</v>
      </c>
      <c r="M735" s="292">
        <v>1.2</v>
      </c>
    </row>
    <row r="736" spans="1:13" x14ac:dyDescent="0.25">
      <c r="A736" s="288">
        <v>15</v>
      </c>
      <c r="B736" s="264">
        <v>10</v>
      </c>
      <c r="C736" s="290">
        <f t="shared" si="86"/>
        <v>1.6</v>
      </c>
      <c r="D736" s="290">
        <f t="shared" si="83"/>
        <v>6.25</v>
      </c>
      <c r="E736" s="264">
        <v>9.6240000000000006</v>
      </c>
      <c r="F736" s="290">
        <f t="shared" ca="1" si="84"/>
        <v>0.27750000000000002</v>
      </c>
      <c r="G736" s="290">
        <f t="shared" ca="1" si="87"/>
        <v>0.222104</v>
      </c>
      <c r="H736" s="290">
        <f t="shared" ca="1" si="85"/>
        <v>6.1633860000000006E-2</v>
      </c>
      <c r="I736" s="251"/>
      <c r="J736" s="251"/>
      <c r="K736" s="251"/>
      <c r="L736" s="251"/>
      <c r="M736" s="278"/>
    </row>
    <row r="737" spans="1:13" x14ac:dyDescent="0.25">
      <c r="A737" s="288">
        <v>16</v>
      </c>
      <c r="B737" s="264">
        <v>10</v>
      </c>
      <c r="C737" s="290">
        <f t="shared" si="86"/>
        <v>1.6</v>
      </c>
      <c r="D737" s="290">
        <f t="shared" si="83"/>
        <v>6.25</v>
      </c>
      <c r="E737" s="264">
        <v>19.975999999999999</v>
      </c>
      <c r="F737" s="290">
        <f t="shared" ca="1" si="84"/>
        <v>0.27750000000000002</v>
      </c>
      <c r="G737" s="290">
        <f t="shared" ca="1" si="87"/>
        <v>0.399592</v>
      </c>
      <c r="H737" s="290">
        <f t="shared" ca="1" si="85"/>
        <v>0.11088678</v>
      </c>
      <c r="I737" s="251"/>
      <c r="J737" s="251"/>
      <c r="K737" s="251"/>
      <c r="L737" s="251"/>
      <c r="M737" s="278"/>
    </row>
    <row r="738" spans="1:13" x14ac:dyDescent="0.25">
      <c r="A738" s="288">
        <v>17</v>
      </c>
      <c r="B738" s="264">
        <v>10</v>
      </c>
      <c r="C738" s="290">
        <f t="shared" si="86"/>
        <v>1.6</v>
      </c>
      <c r="D738" s="290">
        <f t="shared" si="83"/>
        <v>6.25</v>
      </c>
      <c r="E738" s="264">
        <v>14.804</v>
      </c>
      <c r="F738" s="290">
        <f t="shared" ca="1" si="84"/>
        <v>0.27750000000000002</v>
      </c>
      <c r="G738" s="290">
        <f t="shared" ca="1" si="87"/>
        <v>0.311668</v>
      </c>
      <c r="H738" s="290">
        <f t="shared" ca="1" si="85"/>
        <v>8.6487870000000008E-2</v>
      </c>
      <c r="I738" s="251"/>
      <c r="J738" s="251"/>
      <c r="K738" s="251"/>
      <c r="L738" s="251"/>
      <c r="M738" s="278"/>
    </row>
    <row r="739" spans="1:13" x14ac:dyDescent="0.25">
      <c r="A739" s="288">
        <v>18</v>
      </c>
      <c r="B739" s="264">
        <v>10</v>
      </c>
      <c r="C739" s="290">
        <f t="shared" si="86"/>
        <v>1.6</v>
      </c>
      <c r="D739" s="290">
        <f t="shared" si="83"/>
        <v>6.25</v>
      </c>
      <c r="E739" s="264">
        <v>14.804</v>
      </c>
      <c r="F739" s="290">
        <f t="shared" ca="1" si="84"/>
        <v>0.27750000000000002</v>
      </c>
      <c r="G739" s="290">
        <f t="shared" ca="1" si="87"/>
        <v>0.311668</v>
      </c>
      <c r="H739" s="290">
        <f t="shared" ca="1" si="85"/>
        <v>8.6487870000000008E-2</v>
      </c>
      <c r="I739" s="251"/>
      <c r="J739" s="251"/>
      <c r="K739" s="251"/>
      <c r="L739" s="251"/>
      <c r="M739" s="278"/>
    </row>
    <row r="740" spans="1:13" x14ac:dyDescent="0.25">
      <c r="A740" s="288">
        <v>19</v>
      </c>
      <c r="B740" s="264">
        <v>10</v>
      </c>
      <c r="C740" s="290">
        <f t="shared" si="86"/>
        <v>1.6</v>
      </c>
      <c r="D740" s="290">
        <f t="shared" si="83"/>
        <v>6.25</v>
      </c>
      <c r="E740" s="264">
        <v>3.7930000000000001</v>
      </c>
      <c r="F740" s="290">
        <f t="shared" ca="1" si="84"/>
        <v>0.27750000000000002</v>
      </c>
      <c r="G740" s="290">
        <f t="shared" ca="1" si="87"/>
        <v>9.4824999999999993E-2</v>
      </c>
      <c r="H740" s="290">
        <f t="shared" ca="1" si="85"/>
        <v>2.6313937499999999E-2</v>
      </c>
      <c r="I740" s="251"/>
      <c r="J740" s="251"/>
      <c r="K740" s="251"/>
      <c r="L740" s="251"/>
      <c r="M740" s="278"/>
    </row>
    <row r="741" spans="1:13" x14ac:dyDescent="0.25">
      <c r="A741" s="288">
        <v>20</v>
      </c>
      <c r="B741" s="264">
        <v>10</v>
      </c>
      <c r="C741" s="290">
        <f t="shared" si="86"/>
        <v>1.6</v>
      </c>
      <c r="D741" s="290">
        <f t="shared" si="83"/>
        <v>6.25</v>
      </c>
      <c r="E741" s="264">
        <v>5.2370000000000001</v>
      </c>
      <c r="F741" s="290">
        <f t="shared" ca="1" si="84"/>
        <v>0.27750000000000002</v>
      </c>
      <c r="G741" s="290">
        <f t="shared" ca="1" si="87"/>
        <v>0.12997700000000001</v>
      </c>
      <c r="H741" s="290">
        <f t="shared" ca="1" si="85"/>
        <v>3.6068617500000004E-2</v>
      </c>
      <c r="I741" s="251"/>
      <c r="J741" s="251"/>
      <c r="K741" s="251"/>
      <c r="L741" s="251"/>
      <c r="M741" s="278"/>
    </row>
    <row r="742" spans="1:13" x14ac:dyDescent="0.25">
      <c r="A742" s="288">
        <v>21</v>
      </c>
      <c r="B742" s="264">
        <v>10</v>
      </c>
      <c r="C742" s="290">
        <f t="shared" si="86"/>
        <v>1.6</v>
      </c>
      <c r="D742" s="290">
        <f t="shared" si="83"/>
        <v>6.25</v>
      </c>
      <c r="E742" s="264">
        <v>5.8079999999999998</v>
      </c>
      <c r="F742" s="290">
        <f t="shared" ca="1" si="84"/>
        <v>0.27750000000000002</v>
      </c>
      <c r="G742" s="290">
        <f t="shared" ca="1" si="87"/>
        <v>0.14196800000000001</v>
      </c>
      <c r="H742" s="290">
        <f t="shared" ca="1" si="85"/>
        <v>3.9396120000000007E-2</v>
      </c>
      <c r="I742" s="251"/>
      <c r="J742" s="251"/>
      <c r="K742" s="251"/>
      <c r="L742" s="251"/>
      <c r="M742" s="278"/>
    </row>
    <row r="743" spans="1:13" x14ac:dyDescent="0.25">
      <c r="A743" s="288">
        <v>22</v>
      </c>
      <c r="B743" s="264">
        <v>10</v>
      </c>
      <c r="C743" s="290">
        <f t="shared" si="86"/>
        <v>1.6</v>
      </c>
      <c r="D743" s="290">
        <f t="shared" si="83"/>
        <v>6.25</v>
      </c>
      <c r="E743" s="264">
        <v>10.911</v>
      </c>
      <c r="F743" s="290">
        <f t="shared" ca="1" si="84"/>
        <v>0.27750000000000002</v>
      </c>
      <c r="G743" s="290">
        <f t="shared" ca="1" si="87"/>
        <v>0.24548700000000001</v>
      </c>
      <c r="H743" s="290">
        <f t="shared" ca="1" si="85"/>
        <v>6.8122642500000011E-2</v>
      </c>
      <c r="I743" s="251"/>
      <c r="J743" s="251"/>
      <c r="K743" s="251"/>
      <c r="L743" s="251"/>
      <c r="M743" s="278"/>
    </row>
    <row r="744" spans="1:13" x14ac:dyDescent="0.25">
      <c r="A744" s="288">
        <v>23</v>
      </c>
      <c r="B744" s="264">
        <v>10</v>
      </c>
      <c r="C744" s="290">
        <f t="shared" si="86"/>
        <v>1.6</v>
      </c>
      <c r="D744" s="290">
        <f t="shared" si="83"/>
        <v>6.25</v>
      </c>
      <c r="E744" s="264">
        <v>13.276</v>
      </c>
      <c r="F744" s="290">
        <f t="shared" ca="1" si="84"/>
        <v>0.27750000000000002</v>
      </c>
      <c r="G744" s="290">
        <f t="shared" ca="1" si="87"/>
        <v>0.285692</v>
      </c>
      <c r="H744" s="290">
        <f t="shared" ca="1" si="85"/>
        <v>7.9279530000000001E-2</v>
      </c>
      <c r="I744" s="251"/>
      <c r="J744" s="251"/>
      <c r="K744" s="251"/>
      <c r="L744" s="251"/>
      <c r="M744" s="278"/>
    </row>
    <row r="745" spans="1:13" x14ac:dyDescent="0.25">
      <c r="A745" s="288">
        <v>24</v>
      </c>
      <c r="B745" s="264">
        <v>10</v>
      </c>
      <c r="C745" s="290">
        <f t="shared" si="86"/>
        <v>1.6</v>
      </c>
      <c r="D745" s="290">
        <f t="shared" si="83"/>
        <v>6.25</v>
      </c>
      <c r="E745" s="264">
        <v>12.473000000000001</v>
      </c>
      <c r="F745" s="290">
        <f t="shared" ca="1" si="84"/>
        <v>0.27750000000000002</v>
      </c>
      <c r="G745" s="290">
        <f t="shared" ca="1" si="87"/>
        <v>0.27204100000000003</v>
      </c>
      <c r="H745" s="290">
        <f t="shared" ca="1" si="85"/>
        <v>7.5491377500000012E-2</v>
      </c>
      <c r="I745" s="251"/>
      <c r="J745" s="251"/>
      <c r="K745" s="251"/>
      <c r="L745" s="251"/>
      <c r="M745" s="278"/>
    </row>
    <row r="746" spans="1:13" x14ac:dyDescent="0.25">
      <c r="A746" s="288">
        <v>25</v>
      </c>
      <c r="B746" s="264">
        <v>10</v>
      </c>
      <c r="C746" s="290">
        <f t="shared" si="86"/>
        <v>1.6</v>
      </c>
      <c r="D746" s="290">
        <f t="shared" si="83"/>
        <v>6.25</v>
      </c>
      <c r="E746" s="264">
        <v>31.013999999999999</v>
      </c>
      <c r="F746" s="290">
        <f t="shared" ca="1" si="84"/>
        <v>0.27750000000000002</v>
      </c>
      <c r="G746" s="290">
        <f t="shared" ca="1" si="87"/>
        <v>0.56014000000000008</v>
      </c>
      <c r="H746" s="290">
        <f t="shared" ca="1" si="85"/>
        <v>0.15543885000000005</v>
      </c>
      <c r="I746" s="251"/>
      <c r="J746" s="251"/>
      <c r="K746" s="251"/>
      <c r="L746" s="251"/>
      <c r="M746" s="278"/>
    </row>
    <row r="747" spans="1:13" x14ac:dyDescent="0.25">
      <c r="A747" s="288">
        <v>26</v>
      </c>
      <c r="B747" s="264">
        <v>10</v>
      </c>
      <c r="C747" s="290">
        <f t="shared" si="86"/>
        <v>1.6</v>
      </c>
      <c r="D747" s="290">
        <f t="shared" si="83"/>
        <v>6.25</v>
      </c>
      <c r="E747" s="264">
        <v>31.013999999999999</v>
      </c>
      <c r="F747" s="290">
        <f t="shared" ca="1" si="84"/>
        <v>0.27750000000000002</v>
      </c>
      <c r="G747" s="290">
        <f t="shared" ca="1" si="87"/>
        <v>0.56014000000000008</v>
      </c>
      <c r="H747" s="290">
        <f t="shared" ca="1" si="85"/>
        <v>0.15543885000000005</v>
      </c>
      <c r="I747" s="251"/>
      <c r="J747" s="251"/>
      <c r="K747" s="251"/>
      <c r="L747" s="251"/>
      <c r="M747" s="278"/>
    </row>
    <row r="748" spans="1:13" x14ac:dyDescent="0.25">
      <c r="A748" s="288">
        <v>27</v>
      </c>
      <c r="B748" s="264">
        <v>10</v>
      </c>
      <c r="C748" s="290">
        <f t="shared" si="86"/>
        <v>1.6</v>
      </c>
      <c r="D748" s="290">
        <f t="shared" si="83"/>
        <v>6.25</v>
      </c>
      <c r="E748" s="264">
        <v>2.7770000000000001</v>
      </c>
      <c r="F748" s="290">
        <f t="shared" ca="1" si="84"/>
        <v>0.27750000000000002</v>
      </c>
      <c r="G748" s="290">
        <f t="shared" ca="1" si="87"/>
        <v>6.9425000000000014E-2</v>
      </c>
      <c r="H748" s="290">
        <f t="shared" ca="1" si="85"/>
        <v>1.9265437500000007E-2</v>
      </c>
      <c r="I748" s="251"/>
      <c r="J748" s="251"/>
      <c r="K748" s="251"/>
      <c r="L748" s="251"/>
      <c r="M748" s="278"/>
    </row>
    <row r="749" spans="1:13" x14ac:dyDescent="0.25">
      <c r="A749" s="288">
        <v>28</v>
      </c>
      <c r="B749" s="264">
        <v>10</v>
      </c>
      <c r="C749" s="290">
        <f t="shared" si="86"/>
        <v>1.6</v>
      </c>
      <c r="D749" s="290">
        <f t="shared" si="83"/>
        <v>6.25</v>
      </c>
      <c r="E749" s="264">
        <v>6.4820000000000002</v>
      </c>
      <c r="F749" s="290">
        <f t="shared" ca="1" si="84"/>
        <v>0.27750000000000002</v>
      </c>
      <c r="G749" s="290">
        <f t="shared" ca="1" si="87"/>
        <v>0.15612200000000001</v>
      </c>
      <c r="H749" s="290">
        <f t="shared" ca="1" si="85"/>
        <v>4.3323855000000008E-2</v>
      </c>
      <c r="I749" s="251"/>
      <c r="J749" s="251"/>
      <c r="K749" s="251"/>
      <c r="L749" s="251"/>
      <c r="M749" s="278"/>
    </row>
    <row r="750" spans="1:13" x14ac:dyDescent="0.25">
      <c r="A750" s="288">
        <v>29</v>
      </c>
      <c r="B750" s="264">
        <v>10</v>
      </c>
      <c r="C750" s="290">
        <f t="shared" si="86"/>
        <v>1.6</v>
      </c>
      <c r="D750" s="290">
        <f t="shared" si="83"/>
        <v>6.25</v>
      </c>
      <c r="E750" s="264">
        <v>5.9139999999999997</v>
      </c>
      <c r="F750" s="290">
        <f t="shared" ca="1" si="84"/>
        <v>0.27750000000000002</v>
      </c>
      <c r="G750" s="290">
        <f t="shared" ca="1" si="87"/>
        <v>0.14419399999999999</v>
      </c>
      <c r="H750" s="290">
        <f t="shared" ca="1" si="85"/>
        <v>4.0013834999999998E-2</v>
      </c>
      <c r="I750" s="251"/>
      <c r="J750" s="251"/>
      <c r="K750" s="251"/>
      <c r="L750" s="251"/>
      <c r="M750" s="278"/>
    </row>
    <row r="751" spans="1:13" x14ac:dyDescent="0.25">
      <c r="A751" s="288">
        <v>30</v>
      </c>
      <c r="B751" s="264">
        <v>10</v>
      </c>
      <c r="C751" s="290">
        <f t="shared" si="86"/>
        <v>1.6</v>
      </c>
      <c r="D751" s="290">
        <f t="shared" si="83"/>
        <v>6.25</v>
      </c>
      <c r="E751" s="264">
        <v>9.3810000000000002</v>
      </c>
      <c r="F751" s="290">
        <f t="shared" ca="1" si="84"/>
        <v>0.27750000000000002</v>
      </c>
      <c r="G751" s="290">
        <f t="shared" ca="1" si="87"/>
        <v>0.217001</v>
      </c>
      <c r="H751" s="290">
        <f t="shared" ca="1" si="85"/>
        <v>6.0217777500000007E-2</v>
      </c>
      <c r="I751" s="251"/>
      <c r="J751" s="251"/>
      <c r="K751" s="251"/>
      <c r="L751" s="251"/>
      <c r="M751" s="278"/>
    </row>
    <row r="752" spans="1:13" x14ac:dyDescent="0.25">
      <c r="A752" s="288">
        <v>31</v>
      </c>
      <c r="B752" s="264">
        <v>10</v>
      </c>
      <c r="C752" s="290">
        <f t="shared" si="86"/>
        <v>1.6</v>
      </c>
      <c r="D752" s="290">
        <f t="shared" si="83"/>
        <v>6.25</v>
      </c>
      <c r="E752" s="264">
        <v>2.2930000000000001</v>
      </c>
      <c r="F752" s="290">
        <f t="shared" ca="1" si="84"/>
        <v>0.27750000000000002</v>
      </c>
      <c r="G752" s="290">
        <f t="shared" ca="1" si="87"/>
        <v>5.7325000000000008E-2</v>
      </c>
      <c r="H752" s="290">
        <f t="shared" ca="1" si="85"/>
        <v>1.5907687500000003E-2</v>
      </c>
      <c r="I752" s="251"/>
      <c r="J752" s="251"/>
      <c r="K752" s="251"/>
      <c r="L752" s="251"/>
      <c r="M752" s="278"/>
    </row>
    <row r="753" spans="1:13" x14ac:dyDescent="0.25">
      <c r="A753" s="288">
        <v>32</v>
      </c>
      <c r="B753" s="264">
        <v>10</v>
      </c>
      <c r="C753" s="290">
        <f t="shared" si="86"/>
        <v>1.6</v>
      </c>
      <c r="D753" s="290">
        <f t="shared" si="83"/>
        <v>6.25</v>
      </c>
      <c r="E753" s="264">
        <v>3.32</v>
      </c>
      <c r="F753" s="290">
        <f t="shared" ca="1" si="84"/>
        <v>0.27750000000000002</v>
      </c>
      <c r="G753" s="290">
        <f t="shared" ca="1" si="87"/>
        <v>8.299999999999999E-2</v>
      </c>
      <c r="H753" s="290">
        <f t="shared" ca="1" si="85"/>
        <v>2.3032500000000001E-2</v>
      </c>
      <c r="I753" s="251"/>
      <c r="J753" s="251"/>
      <c r="K753" s="251"/>
      <c r="L753" s="251"/>
      <c r="M753" s="278"/>
    </row>
    <row r="754" spans="1:13" x14ac:dyDescent="0.25">
      <c r="A754" s="288">
        <v>33</v>
      </c>
      <c r="B754" s="264">
        <v>10</v>
      </c>
      <c r="C754" s="290">
        <f t="shared" si="86"/>
        <v>1.6</v>
      </c>
      <c r="D754" s="290">
        <f t="shared" ref="D754:D771" si="88">B754/C754</f>
        <v>6.25</v>
      </c>
      <c r="E754" s="264">
        <v>13.54</v>
      </c>
      <c r="F754" s="290">
        <f t="shared" ref="F754:F771" ca="1" si="89">TREND(OFFSET($K$66,MATCH(D754,$J$67:$J$79),0,2,1),OFFSET($J$66,MATCH(D754,$J$67:$J$79),0,2,1),D754)</f>
        <v>0.27750000000000002</v>
      </c>
      <c r="G754" s="290">
        <f t="shared" ca="1" si="87"/>
        <v>0.29017999999999999</v>
      </c>
      <c r="H754" s="290">
        <f t="shared" ref="H754:H771" ca="1" si="90">F754*G754</f>
        <v>8.0524950000000012E-2</v>
      </c>
      <c r="I754" s="251"/>
      <c r="J754" s="251"/>
      <c r="K754" s="251"/>
      <c r="L754" s="251"/>
      <c r="M754" s="278"/>
    </row>
    <row r="755" spans="1:13" x14ac:dyDescent="0.25">
      <c r="A755" s="288">
        <v>34</v>
      </c>
      <c r="B755" s="264">
        <v>10</v>
      </c>
      <c r="C755" s="290">
        <f t="shared" ref="C755:C771" si="91">C754</f>
        <v>1.6</v>
      </c>
      <c r="D755" s="290">
        <f t="shared" si="88"/>
        <v>6.25</v>
      </c>
      <c r="E755" s="264">
        <v>10.879</v>
      </c>
      <c r="F755" s="290">
        <f t="shared" ca="1" si="89"/>
        <v>0.27750000000000002</v>
      </c>
      <c r="G755" s="290">
        <f t="shared" ref="G755:G771" ca="1" si="92">TREND(OFFSET($M$66,MATCH(E755,$L$67:$L$79),0,2,1),OFFSET($L$66,MATCH(E755,$L$67:$L$79),0,2,1),E755)</f>
        <v>0.24494299999999999</v>
      </c>
      <c r="H755" s="290">
        <f t="shared" ca="1" si="90"/>
        <v>6.7971682500000005E-2</v>
      </c>
      <c r="I755" s="251"/>
      <c r="J755" s="251"/>
      <c r="K755" s="251"/>
      <c r="L755" s="251"/>
      <c r="M755" s="278"/>
    </row>
    <row r="756" spans="1:13" x14ac:dyDescent="0.25">
      <c r="A756" s="288">
        <v>35</v>
      </c>
      <c r="B756" s="264">
        <v>10</v>
      </c>
      <c r="C756" s="290">
        <f t="shared" si="91"/>
        <v>1.6</v>
      </c>
      <c r="D756" s="290">
        <f t="shared" si="88"/>
        <v>6.25</v>
      </c>
      <c r="E756" s="264">
        <v>7.4260000000000002</v>
      </c>
      <c r="F756" s="290">
        <f t="shared" ca="1" si="89"/>
        <v>0.27750000000000002</v>
      </c>
      <c r="G756" s="290">
        <f t="shared" ca="1" si="92"/>
        <v>0.17594600000000002</v>
      </c>
      <c r="H756" s="290">
        <f t="shared" ca="1" si="90"/>
        <v>4.8825015000000006E-2</v>
      </c>
      <c r="I756" s="251"/>
      <c r="J756" s="251"/>
      <c r="K756" s="251"/>
      <c r="L756" s="251"/>
      <c r="M756" s="278"/>
    </row>
    <row r="757" spans="1:13" x14ac:dyDescent="0.25">
      <c r="A757" s="288">
        <v>36</v>
      </c>
      <c r="B757" s="264">
        <v>10</v>
      </c>
      <c r="C757" s="290">
        <f t="shared" si="91"/>
        <v>1.6</v>
      </c>
      <c r="D757" s="290">
        <f t="shared" si="88"/>
        <v>6.25</v>
      </c>
      <c r="E757" s="264">
        <v>1.35</v>
      </c>
      <c r="F757" s="290">
        <f t="shared" ca="1" si="89"/>
        <v>0.27750000000000002</v>
      </c>
      <c r="G757" s="290">
        <f t="shared" ca="1" si="92"/>
        <v>3.3750000000000009E-2</v>
      </c>
      <c r="H757" s="290">
        <f t="shared" ca="1" si="90"/>
        <v>9.3656250000000042E-3</v>
      </c>
      <c r="I757" s="251"/>
      <c r="J757" s="251"/>
      <c r="K757" s="251"/>
      <c r="L757" s="251"/>
      <c r="M757" s="278"/>
    </row>
    <row r="758" spans="1:13" x14ac:dyDescent="0.25">
      <c r="A758" s="288">
        <v>37</v>
      </c>
      <c r="B758" s="264">
        <v>10</v>
      </c>
      <c r="C758" s="290">
        <f t="shared" si="91"/>
        <v>1.6</v>
      </c>
      <c r="D758" s="290">
        <f t="shared" si="88"/>
        <v>6.25</v>
      </c>
      <c r="E758" s="264">
        <v>1.35</v>
      </c>
      <c r="F758" s="290">
        <f t="shared" ca="1" si="89"/>
        <v>0.27750000000000002</v>
      </c>
      <c r="G758" s="290">
        <f t="shared" ca="1" si="92"/>
        <v>3.3750000000000009E-2</v>
      </c>
      <c r="H758" s="290">
        <f t="shared" ca="1" si="90"/>
        <v>9.3656250000000042E-3</v>
      </c>
      <c r="I758" s="251"/>
      <c r="J758" s="251"/>
      <c r="K758" s="251"/>
      <c r="L758" s="251"/>
      <c r="M758" s="278"/>
    </row>
    <row r="759" spans="1:13" x14ac:dyDescent="0.25">
      <c r="A759" s="288">
        <v>38</v>
      </c>
      <c r="B759" s="264">
        <v>10</v>
      </c>
      <c r="C759" s="290">
        <f t="shared" si="91"/>
        <v>1.6</v>
      </c>
      <c r="D759" s="290">
        <f t="shared" si="88"/>
        <v>6.25</v>
      </c>
      <c r="E759" s="264">
        <v>0.98199999999999998</v>
      </c>
      <c r="F759" s="290">
        <f t="shared" ca="1" si="89"/>
        <v>0.27750000000000002</v>
      </c>
      <c r="G759" s="290">
        <f t="shared" ca="1" si="92"/>
        <v>2.4550000000000006E-2</v>
      </c>
      <c r="H759" s="290">
        <f t="shared" ca="1" si="90"/>
        <v>6.8126250000000018E-3</v>
      </c>
      <c r="I759" s="251"/>
      <c r="J759" s="251"/>
      <c r="K759" s="251"/>
      <c r="L759" s="251"/>
      <c r="M759" s="278"/>
    </row>
    <row r="760" spans="1:13" x14ac:dyDescent="0.25">
      <c r="A760" s="288">
        <v>39</v>
      </c>
      <c r="B760" s="264">
        <v>10</v>
      </c>
      <c r="C760" s="290">
        <f t="shared" si="91"/>
        <v>1.6</v>
      </c>
      <c r="D760" s="290">
        <f t="shared" si="88"/>
        <v>6.25</v>
      </c>
      <c r="E760" s="264">
        <v>3.96</v>
      </c>
      <c r="F760" s="290">
        <f t="shared" ca="1" si="89"/>
        <v>0.27750000000000002</v>
      </c>
      <c r="G760" s="290">
        <f t="shared" ca="1" si="92"/>
        <v>9.9000000000000005E-2</v>
      </c>
      <c r="H760" s="290">
        <f t="shared" ca="1" si="90"/>
        <v>2.7472500000000004E-2</v>
      </c>
      <c r="I760" s="251"/>
      <c r="J760" s="251"/>
      <c r="K760" s="251"/>
      <c r="L760" s="251"/>
      <c r="M760" s="278"/>
    </row>
    <row r="761" spans="1:13" x14ac:dyDescent="0.25">
      <c r="A761" s="288">
        <v>40</v>
      </c>
      <c r="B761" s="264">
        <v>10</v>
      </c>
      <c r="C761" s="290">
        <f t="shared" si="91"/>
        <v>1.6</v>
      </c>
      <c r="D761" s="290">
        <f t="shared" si="88"/>
        <v>6.25</v>
      </c>
      <c r="E761" s="264">
        <v>10.228999999999999</v>
      </c>
      <c r="F761" s="290">
        <f t="shared" ca="1" si="89"/>
        <v>0.27750000000000002</v>
      </c>
      <c r="G761" s="290">
        <f t="shared" ca="1" si="92"/>
        <v>0.23389299999999999</v>
      </c>
      <c r="H761" s="290">
        <f t="shared" ca="1" si="90"/>
        <v>6.4905307500000009E-2</v>
      </c>
      <c r="I761" s="251"/>
      <c r="J761" s="251"/>
      <c r="K761" s="251"/>
      <c r="L761" s="251"/>
      <c r="M761" s="278"/>
    </row>
    <row r="762" spans="1:13" x14ac:dyDescent="0.25">
      <c r="A762" s="288">
        <v>41</v>
      </c>
      <c r="B762" s="264">
        <v>10</v>
      </c>
      <c r="C762" s="290">
        <f t="shared" si="91"/>
        <v>1.6</v>
      </c>
      <c r="D762" s="290">
        <f t="shared" si="88"/>
        <v>6.25</v>
      </c>
      <c r="E762" s="264">
        <v>14.151</v>
      </c>
      <c r="F762" s="290">
        <f t="shared" ca="1" si="89"/>
        <v>0.27750000000000002</v>
      </c>
      <c r="G762" s="290">
        <f t="shared" ca="1" si="92"/>
        <v>0.30056700000000003</v>
      </c>
      <c r="H762" s="290">
        <f t="shared" ca="1" si="90"/>
        <v>8.3407342500000009E-2</v>
      </c>
      <c r="I762" s="251"/>
      <c r="J762" s="251"/>
      <c r="K762" s="251"/>
      <c r="L762" s="251"/>
      <c r="M762" s="278"/>
    </row>
    <row r="763" spans="1:13" x14ac:dyDescent="0.25">
      <c r="A763" s="288">
        <v>42</v>
      </c>
      <c r="B763" s="264">
        <v>10</v>
      </c>
      <c r="C763" s="290">
        <f t="shared" si="91"/>
        <v>1.6</v>
      </c>
      <c r="D763" s="290">
        <f t="shared" si="88"/>
        <v>6.25</v>
      </c>
      <c r="E763" s="264">
        <v>3.4969999999999999</v>
      </c>
      <c r="F763" s="290">
        <f t="shared" ca="1" si="89"/>
        <v>0.27750000000000002</v>
      </c>
      <c r="G763" s="290">
        <f t="shared" ca="1" si="92"/>
        <v>8.7425000000000003E-2</v>
      </c>
      <c r="H763" s="290">
        <f t="shared" ca="1" si="90"/>
        <v>2.4260437500000002E-2</v>
      </c>
      <c r="I763" s="251"/>
      <c r="J763" s="251"/>
      <c r="K763" s="251"/>
      <c r="L763" s="251"/>
      <c r="M763" s="278"/>
    </row>
    <row r="764" spans="1:13" x14ac:dyDescent="0.25">
      <c r="A764" s="288">
        <v>43</v>
      </c>
      <c r="B764" s="264">
        <v>10</v>
      </c>
      <c r="C764" s="290">
        <f t="shared" si="91"/>
        <v>1.6</v>
      </c>
      <c r="D764" s="290">
        <f t="shared" si="88"/>
        <v>6.25</v>
      </c>
      <c r="E764" s="264">
        <v>11.239000000000001</v>
      </c>
      <c r="F764" s="290">
        <f t="shared" ca="1" si="89"/>
        <v>0.27750000000000002</v>
      </c>
      <c r="G764" s="290">
        <f t="shared" ca="1" si="92"/>
        <v>0.25106300000000004</v>
      </c>
      <c r="H764" s="290">
        <f t="shared" ca="1" si="90"/>
        <v>6.9669982500000019E-2</v>
      </c>
      <c r="I764" s="251"/>
      <c r="J764" s="251"/>
      <c r="K764" s="251"/>
      <c r="L764" s="251"/>
      <c r="M764" s="278"/>
    </row>
    <row r="765" spans="1:13" x14ac:dyDescent="0.25">
      <c r="A765" s="288">
        <v>44</v>
      </c>
      <c r="B765" s="264">
        <v>10</v>
      </c>
      <c r="C765" s="290">
        <f t="shared" si="91"/>
        <v>1.6</v>
      </c>
      <c r="D765" s="290">
        <f t="shared" si="88"/>
        <v>6.25</v>
      </c>
      <c r="E765" s="264">
        <v>26.317</v>
      </c>
      <c r="F765" s="290">
        <f t="shared" ca="1" si="89"/>
        <v>0.27750000000000002</v>
      </c>
      <c r="G765" s="290">
        <f t="shared" ca="1" si="92"/>
        <v>0.49475500000000006</v>
      </c>
      <c r="H765" s="290">
        <f t="shared" ca="1" si="90"/>
        <v>0.13729451250000002</v>
      </c>
      <c r="I765" s="251"/>
      <c r="J765" s="251"/>
      <c r="K765" s="251"/>
      <c r="L765" s="251"/>
      <c r="M765" s="278"/>
    </row>
    <row r="766" spans="1:13" x14ac:dyDescent="0.25">
      <c r="A766" s="288">
        <v>45</v>
      </c>
      <c r="B766" s="264">
        <v>10</v>
      </c>
      <c r="C766" s="290">
        <f t="shared" si="91"/>
        <v>1.6</v>
      </c>
      <c r="D766" s="290">
        <f t="shared" si="88"/>
        <v>6.25</v>
      </c>
      <c r="E766" s="264">
        <v>7.5830000000000002</v>
      </c>
      <c r="F766" s="290">
        <f t="shared" ca="1" si="89"/>
        <v>0.27750000000000002</v>
      </c>
      <c r="G766" s="290">
        <f t="shared" ca="1" si="92"/>
        <v>0.17924300000000001</v>
      </c>
      <c r="H766" s="290">
        <f t="shared" ca="1" si="90"/>
        <v>4.9739932500000007E-2</v>
      </c>
      <c r="I766" s="251"/>
      <c r="J766" s="251"/>
      <c r="K766" s="251"/>
      <c r="L766" s="251"/>
      <c r="M766" s="278"/>
    </row>
    <row r="767" spans="1:13" x14ac:dyDescent="0.25">
      <c r="A767" s="288">
        <v>46</v>
      </c>
      <c r="B767" s="264">
        <v>10</v>
      </c>
      <c r="C767" s="290">
        <f t="shared" si="91"/>
        <v>1.6</v>
      </c>
      <c r="D767" s="290">
        <f t="shared" si="88"/>
        <v>6.25</v>
      </c>
      <c r="E767" s="264">
        <v>9.3209999999999997</v>
      </c>
      <c r="F767" s="290">
        <f t="shared" ca="1" si="89"/>
        <v>0.27750000000000002</v>
      </c>
      <c r="G767" s="290">
        <f t="shared" ca="1" si="92"/>
        <v>0.21574099999999999</v>
      </c>
      <c r="H767" s="290">
        <f t="shared" ca="1" si="90"/>
        <v>5.98681275E-2</v>
      </c>
      <c r="I767" s="251"/>
      <c r="J767" s="251"/>
      <c r="K767" s="251"/>
      <c r="L767" s="251"/>
      <c r="M767" s="278"/>
    </row>
    <row r="768" spans="1:13" x14ac:dyDescent="0.25">
      <c r="A768" s="288">
        <v>47</v>
      </c>
      <c r="B768" s="264">
        <v>10</v>
      </c>
      <c r="C768" s="290">
        <f t="shared" si="91"/>
        <v>1.6</v>
      </c>
      <c r="D768" s="290">
        <f t="shared" si="88"/>
        <v>6.25</v>
      </c>
      <c r="E768" s="264">
        <v>4.3680000000000003</v>
      </c>
      <c r="F768" s="290">
        <f t="shared" ca="1" si="89"/>
        <v>0.27750000000000002</v>
      </c>
      <c r="G768" s="290">
        <f t="shared" ca="1" si="92"/>
        <v>0.10920000000000002</v>
      </c>
      <c r="H768" s="290">
        <f t="shared" ca="1" si="90"/>
        <v>3.0303000000000007E-2</v>
      </c>
      <c r="I768" s="251"/>
      <c r="J768" s="251"/>
      <c r="K768" s="251"/>
      <c r="L768" s="251"/>
      <c r="M768" s="278"/>
    </row>
    <row r="769" spans="1:13" x14ac:dyDescent="0.25">
      <c r="A769" s="288">
        <v>48</v>
      </c>
      <c r="B769" s="264">
        <v>10</v>
      </c>
      <c r="C769" s="290">
        <f t="shared" si="91"/>
        <v>1.6</v>
      </c>
      <c r="D769" s="290">
        <f t="shared" si="88"/>
        <v>6.25</v>
      </c>
      <c r="E769" s="264">
        <v>8.5640000000000001</v>
      </c>
      <c r="F769" s="290">
        <f t="shared" ca="1" si="89"/>
        <v>0.27750000000000002</v>
      </c>
      <c r="G769" s="290">
        <f t="shared" ca="1" si="92"/>
        <v>0.19984399999999999</v>
      </c>
      <c r="H769" s="290">
        <f t="shared" ca="1" si="90"/>
        <v>5.5456710000000006E-2</v>
      </c>
      <c r="I769" s="251"/>
      <c r="J769" s="251"/>
      <c r="K769" s="251"/>
      <c r="L769" s="251"/>
      <c r="M769" s="278"/>
    </row>
    <row r="770" spans="1:13" x14ac:dyDescent="0.25">
      <c r="A770" s="288">
        <v>49</v>
      </c>
      <c r="B770" s="264">
        <v>10</v>
      </c>
      <c r="C770" s="290">
        <f t="shared" si="91"/>
        <v>1.6</v>
      </c>
      <c r="D770" s="290">
        <f t="shared" si="88"/>
        <v>6.25</v>
      </c>
      <c r="E770" s="264">
        <v>10.055999999999999</v>
      </c>
      <c r="F770" s="290">
        <f t="shared" ca="1" si="89"/>
        <v>0.27750000000000002</v>
      </c>
      <c r="G770" s="290">
        <f t="shared" ca="1" si="92"/>
        <v>0.23095199999999999</v>
      </c>
      <c r="H770" s="290">
        <f t="shared" ca="1" si="90"/>
        <v>6.4089180000000009E-2</v>
      </c>
      <c r="I770" s="251"/>
      <c r="J770" s="251"/>
      <c r="K770" s="251"/>
      <c r="L770" s="251"/>
      <c r="M770" s="278"/>
    </row>
    <row r="771" spans="1:13" x14ac:dyDescent="0.25">
      <c r="A771" s="288">
        <v>50</v>
      </c>
      <c r="B771" s="264">
        <v>10</v>
      </c>
      <c r="C771" s="290">
        <f t="shared" si="91"/>
        <v>1.6</v>
      </c>
      <c r="D771" s="290">
        <f t="shared" si="88"/>
        <v>6.25</v>
      </c>
      <c r="E771" s="264">
        <v>11.881</v>
      </c>
      <c r="F771" s="290">
        <f t="shared" ca="1" si="89"/>
        <v>0.27750000000000002</v>
      </c>
      <c r="G771" s="290">
        <f t="shared" ca="1" si="92"/>
        <v>0.26197700000000002</v>
      </c>
      <c r="H771" s="290">
        <f t="shared" ca="1" si="90"/>
        <v>7.2698617500000007E-2</v>
      </c>
      <c r="I771" s="251"/>
      <c r="J771" s="251"/>
      <c r="K771" s="251"/>
      <c r="L771" s="251"/>
      <c r="M771" s="278"/>
    </row>
    <row r="772" spans="1:13" x14ac:dyDescent="0.25">
      <c r="A772" s="288"/>
      <c r="B772" s="264"/>
      <c r="C772" s="290"/>
      <c r="D772" s="290"/>
      <c r="E772" s="264"/>
      <c r="F772" s="290"/>
      <c r="G772" s="290"/>
      <c r="H772" s="290"/>
      <c r="I772" s="251"/>
      <c r="J772" s="251"/>
      <c r="K772" s="251"/>
      <c r="L772" s="251"/>
      <c r="M772" s="278"/>
    </row>
    <row r="773" spans="1:13" x14ac:dyDescent="0.25">
      <c r="A773" s="288"/>
      <c r="B773" s="264"/>
      <c r="C773" s="290"/>
      <c r="D773" s="290"/>
      <c r="E773" s="264"/>
      <c r="F773" s="290"/>
      <c r="G773" s="290"/>
      <c r="H773" s="290"/>
      <c r="I773" s="251"/>
      <c r="J773" s="251"/>
      <c r="K773" s="251"/>
      <c r="L773" s="251"/>
      <c r="M773" s="278"/>
    </row>
    <row r="774" spans="1:13" x14ac:dyDescent="0.25">
      <c r="A774" s="288"/>
      <c r="B774" s="264"/>
      <c r="C774" s="290"/>
      <c r="D774" s="290"/>
      <c r="E774" s="264"/>
      <c r="F774" s="290"/>
      <c r="G774" s="290"/>
      <c r="H774" s="290"/>
      <c r="I774" s="251"/>
      <c r="J774" s="251"/>
      <c r="K774" s="251"/>
      <c r="L774" s="251"/>
      <c r="M774" s="278"/>
    </row>
    <row r="775" spans="1:13" x14ac:dyDescent="0.25">
      <c r="A775" s="288"/>
      <c r="B775" s="264"/>
      <c r="C775" s="290"/>
      <c r="D775" s="290"/>
      <c r="E775" s="264"/>
      <c r="F775" s="290"/>
      <c r="G775" s="290"/>
      <c r="H775" s="290"/>
      <c r="I775" s="251"/>
      <c r="J775" s="251"/>
      <c r="K775" s="251"/>
      <c r="L775" s="251"/>
      <c r="M775" s="278"/>
    </row>
    <row r="776" spans="1:13" x14ac:dyDescent="0.25">
      <c r="A776" s="288"/>
      <c r="B776" s="264"/>
      <c r="C776" s="290"/>
      <c r="D776" s="290"/>
      <c r="E776" s="264"/>
      <c r="F776" s="290"/>
      <c r="G776" s="290"/>
      <c r="H776" s="290"/>
      <c r="I776" s="251"/>
      <c r="J776" s="251"/>
      <c r="K776" s="251"/>
      <c r="L776" s="251"/>
      <c r="M776" s="278"/>
    </row>
    <row r="777" spans="1:13" x14ac:dyDescent="0.25">
      <c r="A777" s="288"/>
      <c r="B777" s="264"/>
      <c r="C777" s="290"/>
      <c r="D777" s="290"/>
      <c r="E777" s="264"/>
      <c r="F777" s="290"/>
      <c r="G777" s="290"/>
      <c r="H777" s="290"/>
      <c r="I777" s="251"/>
      <c r="J777" s="251"/>
      <c r="K777" s="251"/>
      <c r="L777" s="251"/>
      <c r="M777" s="278"/>
    </row>
    <row r="778" spans="1:13" ht="16.2" x14ac:dyDescent="0.3">
      <c r="A778" s="387" t="s">
        <v>203</v>
      </c>
      <c r="B778" s="388"/>
      <c r="C778" s="388"/>
      <c r="D778" s="388"/>
      <c r="E778" s="388"/>
      <c r="F778" s="388"/>
      <c r="G778" s="388"/>
      <c r="H778" s="291">
        <f ca="1">SUM(H722:H777)</f>
        <v>2.8435490767500009</v>
      </c>
      <c r="I778" s="293"/>
      <c r="J778" s="293"/>
      <c r="K778" s="293"/>
      <c r="L778" s="293"/>
      <c r="M778" s="294"/>
    </row>
    <row r="781" spans="1:13" ht="14.4" x14ac:dyDescent="0.25">
      <c r="A781" s="244" t="s">
        <v>230</v>
      </c>
      <c r="C781" s="240"/>
    </row>
    <row r="782" spans="1:13" x14ac:dyDescent="0.25">
      <c r="A782" s="245" t="s">
        <v>138</v>
      </c>
      <c r="B782" s="246"/>
      <c r="C782" s="246"/>
      <c r="D782" s="246"/>
      <c r="E782" s="246"/>
      <c r="F782" s="246"/>
      <c r="G782" s="246"/>
      <c r="H782" s="246"/>
      <c r="I782" s="246"/>
      <c r="J782" s="246"/>
      <c r="K782" s="246"/>
      <c r="L782" s="246"/>
      <c r="M782" s="277"/>
    </row>
    <row r="783" spans="1:13" ht="14.4" x14ac:dyDescent="0.25">
      <c r="A783" s="247" t="s">
        <v>139</v>
      </c>
      <c r="B783" s="248"/>
      <c r="C783" s="249" t="s">
        <v>140</v>
      </c>
      <c r="D783" s="250" t="s">
        <v>141</v>
      </c>
      <c r="E783" s="249" t="s">
        <v>142</v>
      </c>
      <c r="F783" s="251"/>
      <c r="G783" s="251"/>
      <c r="H783" s="251"/>
      <c r="I783" s="251"/>
      <c r="J783" s="251"/>
      <c r="K783" s="251"/>
      <c r="L783" s="251"/>
      <c r="M783" s="278"/>
    </row>
    <row r="784" spans="1:13" ht="14.4" x14ac:dyDescent="0.25">
      <c r="A784" s="247"/>
      <c r="B784" s="248" t="s">
        <v>143</v>
      </c>
      <c r="C784" s="229">
        <v>1.2</v>
      </c>
      <c r="D784" s="252">
        <f>C784*1.25</f>
        <v>1.5</v>
      </c>
      <c r="E784" s="231">
        <f>C784*0.4</f>
        <v>0.48</v>
      </c>
      <c r="F784" s="251"/>
      <c r="G784" s="251"/>
      <c r="H784" s="251"/>
      <c r="I784" s="251"/>
      <c r="J784" s="251"/>
      <c r="K784" s="251"/>
      <c r="L784" s="251"/>
      <c r="M784" s="278"/>
    </row>
    <row r="785" spans="1:15" ht="14.4" x14ac:dyDescent="0.25">
      <c r="A785" s="247"/>
      <c r="B785" s="248" t="s">
        <v>144</v>
      </c>
      <c r="C785" s="253">
        <v>1</v>
      </c>
      <c r="D785" s="254">
        <f>C785</f>
        <v>1</v>
      </c>
      <c r="E785" s="255">
        <f>D785</f>
        <v>1</v>
      </c>
      <c r="F785" s="251"/>
      <c r="G785" s="251"/>
      <c r="H785" s="251"/>
      <c r="I785" s="251"/>
      <c r="J785" s="251"/>
      <c r="K785" s="251"/>
      <c r="L785" s="251"/>
      <c r="M785" s="278"/>
    </row>
    <row r="786" spans="1:15" ht="14.4" x14ac:dyDescent="0.25">
      <c r="A786" s="247"/>
      <c r="B786" s="248" t="s">
        <v>145</v>
      </c>
      <c r="C786" s="231">
        <f>C784/C785</f>
        <v>1.2</v>
      </c>
      <c r="D786" s="252">
        <f>D784/D785</f>
        <v>1.5</v>
      </c>
      <c r="E786" s="231">
        <f>E784/E785</f>
        <v>0.48</v>
      </c>
      <c r="F786" s="251"/>
      <c r="G786" s="251"/>
      <c r="H786" s="251"/>
      <c r="I786" s="251"/>
      <c r="J786" s="251"/>
      <c r="K786" s="251"/>
      <c r="L786" s="251"/>
      <c r="M786" s="278"/>
    </row>
    <row r="787" spans="1:15" ht="14.4" x14ac:dyDescent="0.25">
      <c r="A787" s="247"/>
      <c r="B787" s="248" t="s">
        <v>146</v>
      </c>
      <c r="C787" s="256">
        <v>247</v>
      </c>
      <c r="D787" s="252">
        <f t="shared" ref="D787:E789" si="93">C787</f>
        <v>247</v>
      </c>
      <c r="E787" s="231">
        <f t="shared" si="93"/>
        <v>247</v>
      </c>
      <c r="F787" s="251"/>
      <c r="G787" s="251"/>
      <c r="H787" s="251"/>
      <c r="I787" s="251"/>
      <c r="J787" s="251"/>
      <c r="K787" s="251"/>
      <c r="L787" s="251"/>
      <c r="M787" s="278"/>
    </row>
    <row r="788" spans="1:15" ht="14.4" x14ac:dyDescent="0.25">
      <c r="A788" s="247"/>
      <c r="B788" s="248" t="s">
        <v>134</v>
      </c>
      <c r="C788" s="295">
        <f>$G$32</f>
        <v>1.0999999999999999E-2</v>
      </c>
      <c r="D788" s="258">
        <f t="shared" si="93"/>
        <v>1.0999999999999999E-2</v>
      </c>
      <c r="E788" s="258">
        <f t="shared" si="93"/>
        <v>1.0999999999999999E-2</v>
      </c>
      <c r="F788" s="251"/>
      <c r="G788" s="251"/>
      <c r="H788" s="251"/>
      <c r="I788" s="251"/>
      <c r="J788" s="251"/>
      <c r="K788" s="251"/>
      <c r="L788" s="251"/>
      <c r="M788" s="278"/>
    </row>
    <row r="789" spans="1:15" ht="14.4" x14ac:dyDescent="0.25">
      <c r="A789" s="247"/>
      <c r="B789" s="248" t="s">
        <v>147</v>
      </c>
      <c r="C789" s="229">
        <v>1.4</v>
      </c>
      <c r="D789" s="252">
        <f t="shared" si="93"/>
        <v>1.4</v>
      </c>
      <c r="E789" s="231">
        <f t="shared" si="93"/>
        <v>1.4</v>
      </c>
      <c r="F789" s="251"/>
      <c r="G789" s="251"/>
      <c r="H789" s="251"/>
      <c r="I789" s="251"/>
      <c r="J789" s="251"/>
      <c r="K789" s="251"/>
      <c r="L789" s="251"/>
      <c r="M789" s="278"/>
    </row>
    <row r="790" spans="1:15" ht="14.4" x14ac:dyDescent="0.25">
      <c r="A790" s="247"/>
      <c r="B790" s="248" t="s">
        <v>148</v>
      </c>
      <c r="C790" s="252">
        <f>4*C786/(C789^2*PI())</f>
        <v>0.77953441514397726</v>
      </c>
      <c r="D790" s="252">
        <f>4*D786/(D789^2*PI())</f>
        <v>0.9744180189299716</v>
      </c>
      <c r="E790" s="252">
        <f>4*E786/(E789^2*PI())</f>
        <v>0.31181376605759092</v>
      </c>
      <c r="F790" s="251"/>
      <c r="G790" s="251"/>
      <c r="H790" s="251"/>
      <c r="I790" s="251"/>
      <c r="J790" s="251"/>
      <c r="K790" s="251"/>
      <c r="L790" s="251"/>
      <c r="M790" s="278"/>
    </row>
    <row r="791" spans="1:15" ht="14.4" x14ac:dyDescent="0.25">
      <c r="A791" s="247"/>
      <c r="B791" s="248" t="s">
        <v>149</v>
      </c>
      <c r="C791" s="231">
        <f>C786/C790</f>
        <v>1.5393804002589984</v>
      </c>
      <c r="D791" s="252">
        <f>D786/D790</f>
        <v>1.5393804002589984</v>
      </c>
      <c r="E791" s="231">
        <f>E786/E790</f>
        <v>1.5393804002589984</v>
      </c>
      <c r="F791" s="251"/>
      <c r="G791" s="251"/>
      <c r="H791" s="251"/>
      <c r="I791" s="251"/>
      <c r="J791" s="251"/>
      <c r="K791" s="251"/>
      <c r="L791" s="251"/>
      <c r="M791" s="278"/>
    </row>
    <row r="792" spans="1:15" ht="14.4" x14ac:dyDescent="0.25">
      <c r="A792" s="247" t="s">
        <v>150</v>
      </c>
      <c r="B792" s="248"/>
      <c r="C792" s="248"/>
      <c r="D792" s="259"/>
      <c r="E792" s="248"/>
      <c r="F792" s="251"/>
      <c r="G792" s="389" t="s">
        <v>151</v>
      </c>
      <c r="H792" s="390"/>
      <c r="I792" s="390"/>
      <c r="J792" s="390"/>
      <c r="K792" s="391"/>
      <c r="L792" s="251"/>
      <c r="M792" s="278"/>
    </row>
    <row r="793" spans="1:15" ht="14.4" x14ac:dyDescent="0.25">
      <c r="A793" s="247" t="s">
        <v>152</v>
      </c>
      <c r="B793" s="248" t="s">
        <v>153</v>
      </c>
      <c r="C793" s="231">
        <f>C789/4</f>
        <v>0.35</v>
      </c>
      <c r="D793" s="252">
        <f>D789/4</f>
        <v>0.35</v>
      </c>
      <c r="E793" s="231">
        <f>E789/4</f>
        <v>0.35</v>
      </c>
      <c r="F793" s="251"/>
      <c r="G793" s="381" t="s">
        <v>154</v>
      </c>
      <c r="H793" s="260" t="s">
        <v>155</v>
      </c>
      <c r="I793" s="261" t="s">
        <v>156</v>
      </c>
      <c r="J793" s="261" t="s">
        <v>157</v>
      </c>
      <c r="K793" s="279" t="s">
        <v>158</v>
      </c>
      <c r="L793" s="251"/>
      <c r="M793" s="278"/>
    </row>
    <row r="794" spans="1:15" ht="16.8" x14ac:dyDescent="0.25">
      <c r="A794" s="247"/>
      <c r="B794" s="248" t="s">
        <v>159</v>
      </c>
      <c r="C794" s="231">
        <f>C793^(1/6)/C788</f>
        <v>76.316537055560929</v>
      </c>
      <c r="D794" s="252">
        <f>D793^(1/6)/D788</f>
        <v>76.316537055560929</v>
      </c>
      <c r="E794" s="231">
        <f>E793^(1/6)/E788</f>
        <v>76.316537055560929</v>
      </c>
      <c r="F794" s="251"/>
      <c r="G794" s="382"/>
      <c r="H794" s="261" t="s">
        <v>160</v>
      </c>
      <c r="I794" s="261" t="s">
        <v>161</v>
      </c>
      <c r="J794" s="261" t="s">
        <v>162</v>
      </c>
      <c r="K794" s="279" t="s">
        <v>163</v>
      </c>
      <c r="L794" s="251"/>
      <c r="M794" s="278"/>
    </row>
    <row r="795" spans="1:15" ht="16.8" x14ac:dyDescent="0.25">
      <c r="A795" s="247"/>
      <c r="B795" s="248" t="s">
        <v>164</v>
      </c>
      <c r="C795" s="231">
        <f>8*9.81/C794^2</f>
        <v>1.3474779998743721E-2</v>
      </c>
      <c r="D795" s="252">
        <f>8*9.81/D794^2</f>
        <v>1.3474779998743721E-2</v>
      </c>
      <c r="E795" s="231">
        <f>8*9.81/E794^2</f>
        <v>1.3474779998743721E-2</v>
      </c>
      <c r="F795" s="251"/>
      <c r="G795" s="262" t="s">
        <v>231</v>
      </c>
      <c r="H795" s="263">
        <f>C791</f>
        <v>1.5393804002589984</v>
      </c>
      <c r="I795" s="263">
        <f>I801*I802</f>
        <v>7.8239999999999998</v>
      </c>
      <c r="J795" s="263">
        <f>H795/I795</f>
        <v>0.19675107365273498</v>
      </c>
      <c r="K795" s="280">
        <f ca="1">TREND(OFFSET($L$51,MATCH(J795,$K$52:$K$60),0,2,1),OFFSET($K$51,MATCH(J795,$K$52:$K$60),0,2,1),J795)</f>
        <v>0.64552317479035071</v>
      </c>
      <c r="L795" s="251"/>
      <c r="M795" s="278"/>
    </row>
    <row r="796" spans="1:15" ht="16.8" x14ac:dyDescent="0.25">
      <c r="A796" s="247"/>
      <c r="B796" s="248" t="s">
        <v>166</v>
      </c>
      <c r="C796" s="231">
        <f>C795*C787*C790^2/(4*C793*2*9.81)</f>
        <v>7.3631251880485526E-2</v>
      </c>
      <c r="D796" s="252">
        <f>D795*D787*D790^2/(4*D793*2*9.81)</f>
        <v>0.11504883106325864</v>
      </c>
      <c r="E796" s="231">
        <f>E795*E787*E790^2/(4*E793*2*9.81)</f>
        <v>1.1781000300877685E-2</v>
      </c>
      <c r="F796" s="251"/>
      <c r="G796" s="251"/>
      <c r="H796" s="251"/>
      <c r="I796" s="251"/>
      <c r="J796" s="251"/>
      <c r="K796" s="251"/>
      <c r="L796" s="251"/>
      <c r="M796" s="278"/>
      <c r="O796" s="281">
        <f>0.64-(0.64-0.4)/0.1*(J795-0.2)</f>
        <v>0.64779742323343614</v>
      </c>
    </row>
    <row r="797" spans="1:15" ht="14.4" x14ac:dyDescent="0.25">
      <c r="A797" s="247" t="s">
        <v>167</v>
      </c>
      <c r="B797" s="248" t="s">
        <v>168</v>
      </c>
      <c r="C797" s="264">
        <v>0.25</v>
      </c>
      <c r="D797" s="252">
        <f t="shared" ref="D797:E802" si="94">C797</f>
        <v>0.25</v>
      </c>
      <c r="E797" s="231">
        <f t="shared" si="94"/>
        <v>0.25</v>
      </c>
      <c r="F797" s="251"/>
      <c r="G797" s="251"/>
      <c r="H797" s="251"/>
      <c r="I797" s="251"/>
      <c r="J797" s="251"/>
      <c r="K797" s="251"/>
      <c r="L797" s="251"/>
      <c r="M797" s="278"/>
    </row>
    <row r="798" spans="1:15" ht="15.6" x14ac:dyDescent="0.25">
      <c r="A798" s="247"/>
      <c r="B798" s="248" t="s">
        <v>169</v>
      </c>
      <c r="C798" s="264">
        <f>0.1*2</f>
        <v>0.2</v>
      </c>
      <c r="D798" s="252">
        <f t="shared" si="94"/>
        <v>0.2</v>
      </c>
      <c r="E798" s="231">
        <f t="shared" si="94"/>
        <v>0.2</v>
      </c>
      <c r="F798" s="251"/>
      <c r="G798" s="383" t="s">
        <v>170</v>
      </c>
      <c r="H798" s="265" t="s">
        <v>171</v>
      </c>
      <c r="I798" s="282"/>
      <c r="J798" s="251"/>
      <c r="K798" s="238" t="s">
        <v>162</v>
      </c>
      <c r="L798" s="238" t="s">
        <v>163</v>
      </c>
      <c r="M798" s="278"/>
    </row>
    <row r="799" spans="1:15" ht="15.6" x14ac:dyDescent="0.25">
      <c r="A799" s="247"/>
      <c r="B799" s="248" t="s">
        <v>172</v>
      </c>
      <c r="C799" s="264">
        <v>0.02</v>
      </c>
      <c r="D799" s="252">
        <f t="shared" si="94"/>
        <v>0.02</v>
      </c>
      <c r="E799" s="231">
        <f t="shared" si="94"/>
        <v>0.02</v>
      </c>
      <c r="F799" s="251"/>
      <c r="G799" s="384"/>
      <c r="H799" s="266" t="s">
        <v>173</v>
      </c>
      <c r="I799" s="283">
        <v>1.1080000000000001</v>
      </c>
      <c r="J799" s="251"/>
      <c r="K799" s="238">
        <v>0.1</v>
      </c>
      <c r="L799" s="238">
        <v>0.81</v>
      </c>
      <c r="M799" s="278"/>
    </row>
    <row r="800" spans="1:15" ht="16.2" x14ac:dyDescent="0.25">
      <c r="A800" s="247"/>
      <c r="B800" s="248" t="s">
        <v>174</v>
      </c>
      <c r="C800" s="264">
        <v>0.1</v>
      </c>
      <c r="D800" s="252">
        <f t="shared" si="94"/>
        <v>0.1</v>
      </c>
      <c r="E800" s="231">
        <f t="shared" si="94"/>
        <v>0.1</v>
      </c>
      <c r="F800" s="251"/>
      <c r="G800" s="384"/>
      <c r="H800" s="266" t="s">
        <v>175</v>
      </c>
      <c r="I800" s="284"/>
      <c r="J800" s="251"/>
      <c r="K800" s="238">
        <v>0.2</v>
      </c>
      <c r="L800" s="238">
        <v>0.64</v>
      </c>
      <c r="M800" s="278"/>
    </row>
    <row r="801" spans="1:13" ht="15.6" x14ac:dyDescent="0.25">
      <c r="A801" s="247"/>
      <c r="B801" s="248" t="s">
        <v>176</v>
      </c>
      <c r="C801" s="264">
        <v>80</v>
      </c>
      <c r="D801" s="252">
        <f t="shared" si="94"/>
        <v>80</v>
      </c>
      <c r="E801" s="231">
        <f t="shared" si="94"/>
        <v>80</v>
      </c>
      <c r="F801" s="251"/>
      <c r="G801" s="384"/>
      <c r="H801" s="266" t="s">
        <v>177</v>
      </c>
      <c r="I801" s="283">
        <f>I799+1.5</f>
        <v>2.6080000000000001</v>
      </c>
      <c r="J801" s="251"/>
      <c r="K801" s="238">
        <v>0.3</v>
      </c>
      <c r="L801" s="238">
        <v>0.4</v>
      </c>
      <c r="M801" s="278"/>
    </row>
    <row r="802" spans="1:13" ht="15.6" x14ac:dyDescent="0.25">
      <c r="A802" s="247"/>
      <c r="B802" s="248" t="s">
        <v>178</v>
      </c>
      <c r="C802" s="264">
        <v>1.83</v>
      </c>
      <c r="D802" s="252">
        <f t="shared" si="94"/>
        <v>1.83</v>
      </c>
      <c r="E802" s="231">
        <f t="shared" si="94"/>
        <v>1.83</v>
      </c>
      <c r="F802" s="251"/>
      <c r="G802" s="384"/>
      <c r="H802" s="266" t="s">
        <v>179</v>
      </c>
      <c r="I802" s="283">
        <v>3</v>
      </c>
      <c r="K802" s="238">
        <v>0.4</v>
      </c>
      <c r="L802" s="238">
        <v>0.36</v>
      </c>
      <c r="M802" s="278"/>
    </row>
    <row r="803" spans="1:13" ht="16.8" x14ac:dyDescent="0.25">
      <c r="A803" s="247"/>
      <c r="B803" s="248" t="s">
        <v>180</v>
      </c>
      <c r="C803" s="231">
        <f>C802*(C799/C800)^(4/3)*SIN(C801/180*PI())</f>
        <v>0.21078637878092679</v>
      </c>
      <c r="D803" s="252">
        <f>D802*(D799/D800)^(4/3)*SIN(D801/180*PI())</f>
        <v>0.21078637878092679</v>
      </c>
      <c r="E803" s="231">
        <f>E802*(E799/E800)^(4/3)*SIN(E801/180*PI())</f>
        <v>0.21078637878092679</v>
      </c>
      <c r="F803" s="251"/>
      <c r="G803" s="384"/>
      <c r="H803" s="266" t="s">
        <v>181</v>
      </c>
      <c r="I803" s="284"/>
      <c r="K803" s="238">
        <v>0.5</v>
      </c>
      <c r="L803" s="238">
        <v>0.25</v>
      </c>
      <c r="M803" s="278"/>
    </row>
    <row r="804" spans="1:13" ht="15.6" x14ac:dyDescent="0.25">
      <c r="A804" s="247"/>
      <c r="B804" s="247" t="s">
        <v>182</v>
      </c>
      <c r="C804" s="231">
        <f ca="1">H833</f>
        <v>0.40317298285714287</v>
      </c>
      <c r="D804" s="252">
        <f t="shared" ref="D804:E806" ca="1" si="95">C804</f>
        <v>0.40317298285714287</v>
      </c>
      <c r="E804" s="231">
        <f t="shared" ca="1" si="95"/>
        <v>0.40317298285714287</v>
      </c>
      <c r="F804" s="251"/>
      <c r="G804" s="384"/>
      <c r="H804" s="266" t="s">
        <v>183</v>
      </c>
      <c r="I804" s="284"/>
      <c r="K804" s="238">
        <v>0.6</v>
      </c>
      <c r="L804" s="238">
        <v>0.16</v>
      </c>
      <c r="M804" s="278"/>
    </row>
    <row r="805" spans="1:13" ht="16.2" x14ac:dyDescent="0.25">
      <c r="A805" s="247"/>
      <c r="B805" s="247" t="s">
        <v>184</v>
      </c>
      <c r="C805" s="264">
        <f ca="1">K795</f>
        <v>0.64552317479035071</v>
      </c>
      <c r="D805" s="252">
        <f t="shared" ca="1" si="95"/>
        <v>0.64552317479035071</v>
      </c>
      <c r="E805" s="231">
        <f t="shared" ca="1" si="95"/>
        <v>0.64552317479035071</v>
      </c>
      <c r="F805" s="251"/>
      <c r="G805" s="385"/>
      <c r="H805" s="266" t="s">
        <v>185</v>
      </c>
      <c r="I805" s="284"/>
      <c r="K805" s="238">
        <v>0.7</v>
      </c>
      <c r="L805" s="238">
        <v>0.09</v>
      </c>
      <c r="M805" s="278"/>
    </row>
    <row r="806" spans="1:13" ht="16.2" x14ac:dyDescent="0.25">
      <c r="A806" s="247"/>
      <c r="B806" s="248" t="s">
        <v>186</v>
      </c>
      <c r="C806" s="264">
        <f>0.1*1</f>
        <v>0.1</v>
      </c>
      <c r="D806" s="252">
        <f t="shared" si="95"/>
        <v>0.1</v>
      </c>
      <c r="E806" s="231">
        <f t="shared" si="95"/>
        <v>0.1</v>
      </c>
      <c r="F806" s="251"/>
      <c r="G806" s="386"/>
      <c r="H806" s="267" t="s">
        <v>187</v>
      </c>
      <c r="I806" s="285"/>
      <c r="J806" s="251"/>
      <c r="K806" s="238">
        <v>0.8</v>
      </c>
      <c r="L806" s="238">
        <v>0.04</v>
      </c>
      <c r="M806" s="278"/>
    </row>
    <row r="807" spans="1:13" ht="14.4" x14ac:dyDescent="0.25">
      <c r="A807" s="247"/>
      <c r="B807" s="248" t="s">
        <v>188</v>
      </c>
      <c r="C807" s="231">
        <f ca="1">C806+C803+C798+C797+C805+C804</f>
        <v>1.8094825364284204</v>
      </c>
      <c r="D807" s="252">
        <f ca="1">D806+D803+D798+D797+D805+D804</f>
        <v>1.8094825364284204</v>
      </c>
      <c r="E807" s="231">
        <f ca="1">E806+E803+E798+E797+E805+E804</f>
        <v>1.8094825364284204</v>
      </c>
      <c r="F807" s="251"/>
      <c r="G807" s="251"/>
      <c r="H807" s="251"/>
      <c r="I807" s="251"/>
      <c r="J807" s="251"/>
      <c r="K807" s="238">
        <v>0.9</v>
      </c>
      <c r="L807" s="238">
        <v>0.01</v>
      </c>
      <c r="M807" s="278"/>
    </row>
    <row r="808" spans="1:13" ht="16.8" x14ac:dyDescent="0.25">
      <c r="A808" s="247"/>
      <c r="B808" s="248" t="s">
        <v>189</v>
      </c>
      <c r="C808" s="231">
        <f ca="1">C807*C790^2/2/9.81</f>
        <v>5.6043594181649753E-2</v>
      </c>
      <c r="D808" s="252">
        <f ca="1">D807*D790^2/2/9.81</f>
        <v>8.7568115908827723E-2</v>
      </c>
      <c r="E808" s="231">
        <f ca="1">E807*E790^2/2/9.81</f>
        <v>8.9669750690639597E-3</v>
      </c>
      <c r="F808" s="251"/>
      <c r="G808" s="251"/>
      <c r="H808" s="251"/>
      <c r="I808" s="251"/>
      <c r="J808" s="251"/>
      <c r="K808" s="251"/>
      <c r="L808" s="251"/>
      <c r="M808" s="278"/>
    </row>
    <row r="809" spans="1:13" ht="14.4" x14ac:dyDescent="0.25">
      <c r="A809" s="268" t="s">
        <v>190</v>
      </c>
      <c r="B809" s="269" t="s">
        <v>191</v>
      </c>
      <c r="C809" s="270">
        <f ca="1">C796+C808</f>
        <v>0.12967484606213528</v>
      </c>
      <c r="D809" s="270">
        <f ca="1">D796+D808</f>
        <v>0.20261694697208638</v>
      </c>
      <c r="E809" s="271">
        <f ca="1">E796+E808</f>
        <v>2.0747975369941645E-2</v>
      </c>
      <c r="F809" s="251"/>
      <c r="G809" s="272" t="s">
        <v>192</v>
      </c>
      <c r="H809" s="241">
        <v>0.12</v>
      </c>
      <c r="I809" s="251"/>
      <c r="J809" s="251"/>
      <c r="K809" s="251"/>
      <c r="L809" s="251"/>
      <c r="M809" s="278"/>
    </row>
    <row r="810" spans="1:13" ht="14.4" x14ac:dyDescent="0.25">
      <c r="A810" s="273" t="s">
        <v>193</v>
      </c>
      <c r="B810" s="274"/>
      <c r="C810" s="231">
        <f ca="1">C809+(C790^2-D765^2)/(2*9.81)</f>
        <v>-1.830306096629309</v>
      </c>
      <c r="D810" s="252">
        <f ca="1">D809+(D790^2-D764^2)/(2*9.81)</f>
        <v>-1.739942152130084</v>
      </c>
      <c r="E810" s="231">
        <f ca="1">E809+(E790^2-D766^2)/(2*9.81)</f>
        <v>-1.9652495870814846</v>
      </c>
      <c r="F810" s="251"/>
      <c r="G810" s="251"/>
      <c r="H810" s="251"/>
      <c r="I810" s="251"/>
      <c r="J810" s="251"/>
      <c r="K810" s="251"/>
      <c r="L810" s="251"/>
      <c r="M810" s="278"/>
    </row>
    <row r="811" spans="1:13" ht="14.4" x14ac:dyDescent="0.25">
      <c r="A811" s="273" t="s">
        <v>194</v>
      </c>
      <c r="B811" s="274"/>
      <c r="C811" s="231">
        <f ca="1">C810+C773-D773</f>
        <v>-1.830306096629309</v>
      </c>
      <c r="D811" s="252">
        <f ca="1">D810+C771-D771</f>
        <v>-6.3899421521300841</v>
      </c>
      <c r="E811" s="231">
        <f ca="1">E810+C775-D775</f>
        <v>-1.9652495870814846</v>
      </c>
      <c r="F811" s="251"/>
      <c r="G811" s="251"/>
      <c r="H811" s="251"/>
      <c r="I811" s="251"/>
      <c r="J811" s="251"/>
      <c r="K811" s="251"/>
      <c r="L811" s="251"/>
      <c r="M811" s="278"/>
    </row>
    <row r="812" spans="1:13" x14ac:dyDescent="0.25">
      <c r="A812" s="286"/>
      <c r="B812" s="287"/>
      <c r="C812" s="251"/>
      <c r="D812" s="251"/>
      <c r="E812" s="251"/>
      <c r="F812" s="251"/>
      <c r="G812" s="251"/>
      <c r="H812" s="251"/>
      <c r="I812" s="251"/>
      <c r="J812" s="251"/>
      <c r="K812" s="251"/>
      <c r="L812" s="251"/>
      <c r="M812" s="278"/>
    </row>
    <row r="813" spans="1:13" ht="18" x14ac:dyDescent="0.4">
      <c r="A813" s="288"/>
      <c r="B813" s="289" t="s">
        <v>26</v>
      </c>
      <c r="C813" s="289" t="s">
        <v>195</v>
      </c>
      <c r="D813" s="289" t="s">
        <v>196</v>
      </c>
      <c r="E813" s="289" t="s">
        <v>197</v>
      </c>
      <c r="F813" s="289" t="s">
        <v>198</v>
      </c>
      <c r="G813" s="289" t="s">
        <v>199</v>
      </c>
      <c r="H813" s="289" t="s">
        <v>200</v>
      </c>
      <c r="I813" s="251"/>
      <c r="J813" s="289" t="s">
        <v>201</v>
      </c>
      <c r="K813" s="289" t="s">
        <v>202</v>
      </c>
      <c r="L813" s="289" t="s">
        <v>197</v>
      </c>
      <c r="M813" s="292" t="s">
        <v>199</v>
      </c>
    </row>
    <row r="814" spans="1:13" x14ac:dyDescent="0.25">
      <c r="A814" s="288">
        <v>1</v>
      </c>
      <c r="B814" s="264">
        <v>10</v>
      </c>
      <c r="C814" s="290">
        <f>C789</f>
        <v>1.4</v>
      </c>
      <c r="D814" s="290">
        <f t="shared" ref="D814:D821" si="96">B814/C814</f>
        <v>7.1428571428571432</v>
      </c>
      <c r="E814" s="264">
        <v>7.07</v>
      </c>
      <c r="F814" s="290">
        <f t="shared" ref="F814:F821" ca="1" si="97">TREND(OFFSET($K$66,MATCH(D814,$J$67:$J$79),0,2,1),OFFSET($J$66,MATCH(D814,$J$67:$J$79),0,2,1),D814)</f>
        <v>0.26857142857142857</v>
      </c>
      <c r="G814" s="290">
        <f ca="1">TREND(OFFSET($M$66,MATCH(E814,$L$67:$L$80),0,2,1),OFFSET($L$66,MATCH(E814,$L$67:$L$80),0,2,1),E814)</f>
        <v>0.16847000000000001</v>
      </c>
      <c r="H814" s="290">
        <f t="shared" ref="H814:H821" ca="1" si="98">F814*G814</f>
        <v>4.5246228571428571E-2</v>
      </c>
      <c r="I814" s="251"/>
      <c r="J814" s="289">
        <v>0.5</v>
      </c>
      <c r="K814" s="289">
        <v>1.2</v>
      </c>
      <c r="L814" s="289">
        <v>0</v>
      </c>
      <c r="M814" s="292">
        <v>0</v>
      </c>
    </row>
    <row r="815" spans="1:13" x14ac:dyDescent="0.25">
      <c r="A815" s="288">
        <v>2</v>
      </c>
      <c r="B815" s="264">
        <v>10</v>
      </c>
      <c r="C815" s="290">
        <f t="shared" ref="C815:C821" si="99">C814</f>
        <v>1.4</v>
      </c>
      <c r="D815" s="290">
        <f t="shared" si="96"/>
        <v>7.1428571428571432</v>
      </c>
      <c r="E815" s="264">
        <v>8.3049999999999997</v>
      </c>
      <c r="F815" s="290">
        <f t="shared" ca="1" si="97"/>
        <v>0.26857142857142857</v>
      </c>
      <c r="G815" s="290">
        <f t="shared" ref="G815:G821" ca="1" si="100">TREND(OFFSET($M$66,MATCH(E815,$L$67:$L$79),0,2,1),OFFSET($L$66,MATCH(E815,$L$67:$L$79),0,2,1),E815)</f>
        <v>0.19440499999999999</v>
      </c>
      <c r="H815" s="290">
        <f t="shared" ca="1" si="98"/>
        <v>5.2211628571428567E-2</v>
      </c>
      <c r="I815" s="251"/>
      <c r="J815" s="289">
        <v>1</v>
      </c>
      <c r="K815" s="289">
        <v>0.8</v>
      </c>
      <c r="L815" s="289">
        <v>5</v>
      </c>
      <c r="M815" s="292">
        <v>0.125</v>
      </c>
    </row>
    <row r="816" spans="1:13" x14ac:dyDescent="0.25">
      <c r="A816" s="288">
        <v>3</v>
      </c>
      <c r="B816" s="264">
        <v>10</v>
      </c>
      <c r="C816" s="290">
        <f t="shared" si="99"/>
        <v>1.4</v>
      </c>
      <c r="D816" s="290">
        <f t="shared" si="96"/>
        <v>7.1428571428571432</v>
      </c>
      <c r="E816" s="264">
        <v>2.2170000000000001</v>
      </c>
      <c r="F816" s="290">
        <f t="shared" ca="1" si="97"/>
        <v>0.26857142857142857</v>
      </c>
      <c r="G816" s="290">
        <f t="shared" ca="1" si="100"/>
        <v>5.5425000000000002E-2</v>
      </c>
      <c r="H816" s="290">
        <f t="shared" ca="1" si="98"/>
        <v>1.4885571428571429E-2</v>
      </c>
      <c r="I816" s="251"/>
      <c r="J816" s="289">
        <v>1.5</v>
      </c>
      <c r="K816" s="289">
        <v>0.6</v>
      </c>
      <c r="L816" s="289">
        <v>10</v>
      </c>
      <c r="M816" s="292">
        <v>0.23</v>
      </c>
    </row>
    <row r="817" spans="1:13" x14ac:dyDescent="0.25">
      <c r="A817" s="288">
        <v>4</v>
      </c>
      <c r="B817" s="264">
        <v>10</v>
      </c>
      <c r="C817" s="290">
        <f t="shared" si="99"/>
        <v>1.4</v>
      </c>
      <c r="D817" s="290">
        <f t="shared" si="96"/>
        <v>7.1428571428571432</v>
      </c>
      <c r="E817" s="264">
        <v>9.1120000000000001</v>
      </c>
      <c r="F817" s="290">
        <f t="shared" ca="1" si="97"/>
        <v>0.26857142857142857</v>
      </c>
      <c r="G817" s="290">
        <f t="shared" ca="1" si="100"/>
        <v>0.21135199999999998</v>
      </c>
      <c r="H817" s="290">
        <f t="shared" ca="1" si="98"/>
        <v>5.6763108571428571E-2</v>
      </c>
      <c r="I817" s="251"/>
      <c r="J817" s="289">
        <v>2</v>
      </c>
      <c r="K817" s="289">
        <v>0.48</v>
      </c>
      <c r="L817" s="289">
        <v>20</v>
      </c>
      <c r="M817" s="292">
        <v>0.4</v>
      </c>
    </row>
    <row r="818" spans="1:13" x14ac:dyDescent="0.25">
      <c r="A818" s="288">
        <v>5</v>
      </c>
      <c r="B818" s="264">
        <v>10</v>
      </c>
      <c r="C818" s="290">
        <f t="shared" si="99"/>
        <v>1.4</v>
      </c>
      <c r="D818" s="290">
        <f t="shared" si="96"/>
        <v>7.1428571428571432</v>
      </c>
      <c r="E818" s="264">
        <v>11.682</v>
      </c>
      <c r="F818" s="290">
        <f t="shared" ca="1" si="97"/>
        <v>0.26857142857142857</v>
      </c>
      <c r="G818" s="290">
        <f t="shared" ca="1" si="100"/>
        <v>0.25859399999999999</v>
      </c>
      <c r="H818" s="290">
        <f t="shared" ca="1" si="98"/>
        <v>6.9450959999999992E-2</v>
      </c>
      <c r="I818" s="251"/>
      <c r="J818" s="289">
        <v>3</v>
      </c>
      <c r="K818" s="289">
        <v>0.36</v>
      </c>
      <c r="L818" s="289">
        <v>30</v>
      </c>
      <c r="M818" s="292">
        <v>0.55000000000000004</v>
      </c>
    </row>
    <row r="819" spans="1:13" x14ac:dyDescent="0.25">
      <c r="A819" s="288">
        <v>6</v>
      </c>
      <c r="B819" s="264">
        <v>10</v>
      </c>
      <c r="C819" s="290">
        <f t="shared" si="99"/>
        <v>1.4</v>
      </c>
      <c r="D819" s="290">
        <f t="shared" si="96"/>
        <v>7.1428571428571432</v>
      </c>
      <c r="E819" s="264">
        <v>9.1519999999999992</v>
      </c>
      <c r="F819" s="290">
        <f t="shared" ca="1" si="97"/>
        <v>0.26857142857142857</v>
      </c>
      <c r="G819" s="290">
        <f t="shared" ca="1" si="100"/>
        <v>0.21219199999999999</v>
      </c>
      <c r="H819" s="290">
        <f t="shared" ca="1" si="98"/>
        <v>5.698870857142857E-2</v>
      </c>
      <c r="I819" s="251"/>
      <c r="J819" s="289">
        <v>4</v>
      </c>
      <c r="K819" s="289">
        <v>0.3</v>
      </c>
      <c r="L819" s="289">
        <v>40</v>
      </c>
      <c r="M819" s="292">
        <v>0.65</v>
      </c>
    </row>
    <row r="820" spans="1:13" x14ac:dyDescent="0.25">
      <c r="A820" s="288">
        <v>7</v>
      </c>
      <c r="B820" s="264">
        <v>10</v>
      </c>
      <c r="C820" s="290">
        <f t="shared" si="99"/>
        <v>1.4</v>
      </c>
      <c r="D820" s="290">
        <f t="shared" si="96"/>
        <v>7.1428571428571432</v>
      </c>
      <c r="E820" s="264">
        <v>9.5020000000000007</v>
      </c>
      <c r="F820" s="290">
        <f t="shared" ca="1" si="97"/>
        <v>0.26857142857142857</v>
      </c>
      <c r="G820" s="290">
        <f t="shared" ca="1" si="100"/>
        <v>0.21954200000000001</v>
      </c>
      <c r="H820" s="290">
        <f t="shared" ca="1" si="98"/>
        <v>5.8962708571428574E-2</v>
      </c>
      <c r="I820" s="251"/>
      <c r="J820" s="289">
        <v>5</v>
      </c>
      <c r="K820" s="289">
        <v>0.28999999999999998</v>
      </c>
      <c r="L820" s="289">
        <v>50</v>
      </c>
      <c r="M820" s="292">
        <v>0.75</v>
      </c>
    </row>
    <row r="821" spans="1:13" x14ac:dyDescent="0.25">
      <c r="A821" s="288">
        <v>8</v>
      </c>
      <c r="B821" s="264">
        <v>10</v>
      </c>
      <c r="C821" s="290">
        <f t="shared" si="99"/>
        <v>1.4</v>
      </c>
      <c r="D821" s="290">
        <f t="shared" si="96"/>
        <v>7.1428571428571432</v>
      </c>
      <c r="E821" s="264">
        <v>7.6760000000000002</v>
      </c>
      <c r="F821" s="290">
        <f t="shared" ca="1" si="97"/>
        <v>0.26857142857142857</v>
      </c>
      <c r="G821" s="290">
        <f t="shared" ca="1" si="100"/>
        <v>0.181196</v>
      </c>
      <c r="H821" s="290">
        <f t="shared" ca="1" si="98"/>
        <v>4.8664068571428569E-2</v>
      </c>
      <c r="I821" s="251"/>
      <c r="J821" s="289">
        <v>6</v>
      </c>
      <c r="K821" s="289">
        <v>0.28000000000000003</v>
      </c>
      <c r="L821" s="289">
        <v>60</v>
      </c>
      <c r="M821" s="292">
        <v>0.83</v>
      </c>
    </row>
    <row r="822" spans="1:13" x14ac:dyDescent="0.25">
      <c r="A822" s="288"/>
      <c r="B822" s="264"/>
      <c r="C822" s="290"/>
      <c r="D822" s="290"/>
      <c r="E822" s="264"/>
      <c r="F822" s="290"/>
      <c r="G822" s="290"/>
      <c r="H822" s="290"/>
      <c r="I822" s="251"/>
      <c r="J822" s="289">
        <v>7</v>
      </c>
      <c r="K822" s="289">
        <v>0.27</v>
      </c>
      <c r="L822" s="289">
        <v>70</v>
      </c>
      <c r="M822" s="292">
        <v>0.88</v>
      </c>
    </row>
    <row r="823" spans="1:13" x14ac:dyDescent="0.25">
      <c r="A823" s="288"/>
      <c r="B823" s="264"/>
      <c r="C823" s="290"/>
      <c r="D823" s="290"/>
      <c r="E823" s="264"/>
      <c r="F823" s="290"/>
      <c r="G823" s="290"/>
      <c r="H823" s="290"/>
      <c r="I823" s="251"/>
      <c r="J823" s="289">
        <v>8</v>
      </c>
      <c r="K823" s="289">
        <v>0.26</v>
      </c>
      <c r="L823" s="289">
        <v>80</v>
      </c>
      <c r="M823" s="292">
        <v>0.95</v>
      </c>
    </row>
    <row r="824" spans="1:13" x14ac:dyDescent="0.25">
      <c r="A824" s="288"/>
      <c r="B824" s="264"/>
      <c r="C824" s="290"/>
      <c r="D824" s="290"/>
      <c r="E824" s="264"/>
      <c r="F824" s="290"/>
      <c r="G824" s="290"/>
      <c r="H824" s="290"/>
      <c r="I824" s="251"/>
      <c r="J824" s="289">
        <v>9</v>
      </c>
      <c r="K824" s="289">
        <v>0.25</v>
      </c>
      <c r="L824" s="289">
        <v>90</v>
      </c>
      <c r="M824" s="292">
        <v>1</v>
      </c>
    </row>
    <row r="825" spans="1:13" x14ac:dyDescent="0.25">
      <c r="A825" s="288"/>
      <c r="B825" s="264"/>
      <c r="C825" s="290"/>
      <c r="D825" s="290"/>
      <c r="E825" s="264"/>
      <c r="F825" s="290"/>
      <c r="G825" s="290"/>
      <c r="H825" s="290"/>
      <c r="I825" s="251"/>
      <c r="J825" s="289">
        <v>10</v>
      </c>
      <c r="K825" s="289">
        <v>0.24</v>
      </c>
      <c r="L825" s="289">
        <v>100</v>
      </c>
      <c r="M825" s="292">
        <v>1.05</v>
      </c>
    </row>
    <row r="826" spans="1:13" x14ac:dyDescent="0.25">
      <c r="A826" s="288"/>
      <c r="B826" s="264"/>
      <c r="C826" s="290"/>
      <c r="D826" s="290"/>
      <c r="E826" s="264"/>
      <c r="F826" s="290"/>
      <c r="G826" s="290"/>
      <c r="H826" s="290"/>
      <c r="I826" s="251"/>
      <c r="J826" s="289">
        <v>11</v>
      </c>
      <c r="K826" s="289">
        <v>0.23</v>
      </c>
      <c r="L826" s="289">
        <v>120</v>
      </c>
      <c r="M826" s="292">
        <v>1.1299999999999999</v>
      </c>
    </row>
    <row r="827" spans="1:13" x14ac:dyDescent="0.25">
      <c r="A827" s="288"/>
      <c r="B827" s="264"/>
      <c r="C827" s="290"/>
      <c r="D827" s="290"/>
      <c r="E827" s="264"/>
      <c r="F827" s="290"/>
      <c r="G827" s="290"/>
      <c r="H827" s="290"/>
      <c r="I827" s="251"/>
      <c r="J827" s="289"/>
      <c r="K827" s="289"/>
      <c r="L827" s="289">
        <v>140</v>
      </c>
      <c r="M827" s="292">
        <v>1.2</v>
      </c>
    </row>
    <row r="828" spans="1:13" x14ac:dyDescent="0.25">
      <c r="A828" s="288"/>
      <c r="B828" s="264"/>
      <c r="C828" s="290"/>
      <c r="D828" s="290"/>
      <c r="E828" s="264"/>
      <c r="F828" s="290"/>
      <c r="G828" s="290"/>
      <c r="H828" s="290"/>
      <c r="I828" s="251"/>
      <c r="J828" s="251"/>
      <c r="K828" s="251"/>
      <c r="L828" s="251"/>
      <c r="M828" s="278"/>
    </row>
    <row r="829" spans="1:13" x14ac:dyDescent="0.25">
      <c r="A829" s="288"/>
      <c r="B829" s="264"/>
      <c r="C829" s="290"/>
      <c r="D829" s="290"/>
      <c r="E829" s="264"/>
      <c r="F829" s="290"/>
      <c r="G829" s="290"/>
      <c r="H829" s="290"/>
      <c r="I829" s="251"/>
      <c r="J829" s="251"/>
      <c r="K829" s="251"/>
      <c r="L829" s="251"/>
      <c r="M829" s="278"/>
    </row>
    <row r="830" spans="1:13" x14ac:dyDescent="0.25">
      <c r="A830" s="288"/>
      <c r="B830" s="264"/>
      <c r="C830" s="290"/>
      <c r="D830" s="290"/>
      <c r="E830" s="264"/>
      <c r="F830" s="290"/>
      <c r="G830" s="290"/>
      <c r="H830" s="290"/>
      <c r="I830" s="251"/>
      <c r="J830" s="251"/>
      <c r="K830" s="251"/>
      <c r="L830" s="251"/>
      <c r="M830" s="278"/>
    </row>
    <row r="831" spans="1:13" x14ac:dyDescent="0.25">
      <c r="A831" s="288"/>
      <c r="B831" s="264"/>
      <c r="C831" s="290"/>
      <c r="D831" s="290"/>
      <c r="E831" s="264"/>
      <c r="F831" s="290"/>
      <c r="G831" s="290"/>
      <c r="H831" s="290"/>
      <c r="I831" s="251"/>
      <c r="J831" s="251"/>
      <c r="K831" s="251"/>
      <c r="L831" s="251"/>
      <c r="M831" s="278"/>
    </row>
    <row r="832" spans="1:13" x14ac:dyDescent="0.25">
      <c r="A832" s="288"/>
      <c r="B832" s="264"/>
      <c r="C832" s="290"/>
      <c r="D832" s="290"/>
      <c r="E832" s="264"/>
      <c r="F832" s="290"/>
      <c r="G832" s="290"/>
      <c r="H832" s="290"/>
      <c r="I832" s="251"/>
      <c r="J832" s="251"/>
      <c r="K832" s="251"/>
      <c r="L832" s="251"/>
      <c r="M832" s="278"/>
    </row>
    <row r="833" spans="1:13" ht="16.2" x14ac:dyDescent="0.3">
      <c r="A833" s="387" t="s">
        <v>203</v>
      </c>
      <c r="B833" s="388"/>
      <c r="C833" s="388"/>
      <c r="D833" s="388"/>
      <c r="E833" s="388"/>
      <c r="F833" s="388"/>
      <c r="G833" s="388"/>
      <c r="H833" s="291">
        <f ca="1">SUM(H814:H832)</f>
        <v>0.40317298285714287</v>
      </c>
      <c r="I833" s="293"/>
      <c r="J833" s="293"/>
      <c r="K833" s="293"/>
      <c r="L833" s="293"/>
      <c r="M833" s="294"/>
    </row>
    <row r="836" spans="1:13" ht="14.4" x14ac:dyDescent="0.25">
      <c r="A836" s="244" t="s">
        <v>232</v>
      </c>
      <c r="C836" s="240"/>
    </row>
    <row r="837" spans="1:13" x14ac:dyDescent="0.25">
      <c r="A837" s="245" t="s">
        <v>138</v>
      </c>
      <c r="B837" s="246"/>
      <c r="C837" s="246"/>
      <c r="D837" s="246"/>
      <c r="E837" s="246"/>
      <c r="F837" s="246"/>
      <c r="G837" s="246"/>
      <c r="H837" s="246"/>
      <c r="I837" s="246"/>
      <c r="J837" s="246"/>
      <c r="K837" s="246"/>
      <c r="L837" s="246"/>
      <c r="M837" s="277"/>
    </row>
    <row r="838" spans="1:13" ht="14.4" x14ac:dyDescent="0.25">
      <c r="A838" s="247" t="s">
        <v>139</v>
      </c>
      <c r="B838" s="248"/>
      <c r="C838" s="249" t="s">
        <v>140</v>
      </c>
      <c r="D838" s="250" t="s">
        <v>141</v>
      </c>
      <c r="E838" s="249" t="s">
        <v>142</v>
      </c>
      <c r="F838" s="251"/>
      <c r="G838" s="251"/>
      <c r="H838" s="251"/>
      <c r="I838" s="251"/>
      <c r="J838" s="251"/>
      <c r="K838" s="251"/>
      <c r="L838" s="251"/>
      <c r="M838" s="278"/>
    </row>
    <row r="839" spans="1:13" ht="14.4" x14ac:dyDescent="0.25">
      <c r="A839" s="247"/>
      <c r="B839" s="248" t="s">
        <v>143</v>
      </c>
      <c r="C839" s="229">
        <v>1.2</v>
      </c>
      <c r="D839" s="252">
        <f>C839*1.25</f>
        <v>1.5</v>
      </c>
      <c r="E839" s="231">
        <f>C839*0.4</f>
        <v>0.48</v>
      </c>
      <c r="F839" s="251"/>
      <c r="G839" s="251"/>
      <c r="H839" s="251"/>
      <c r="I839" s="251"/>
      <c r="J839" s="251"/>
      <c r="K839" s="251"/>
      <c r="L839" s="251"/>
      <c r="M839" s="278"/>
    </row>
    <row r="840" spans="1:13" ht="14.4" x14ac:dyDescent="0.25">
      <c r="A840" s="247"/>
      <c r="B840" s="248" t="s">
        <v>144</v>
      </c>
      <c r="C840" s="253">
        <v>1</v>
      </c>
      <c r="D840" s="254">
        <f>C840</f>
        <v>1</v>
      </c>
      <c r="E840" s="255">
        <f>D840</f>
        <v>1</v>
      </c>
      <c r="F840" s="251"/>
      <c r="G840" s="251"/>
      <c r="H840" s="251"/>
      <c r="I840" s="251"/>
      <c r="J840" s="251"/>
      <c r="K840" s="251"/>
      <c r="L840" s="251"/>
      <c r="M840" s="278"/>
    </row>
    <row r="841" spans="1:13" ht="14.4" x14ac:dyDescent="0.25">
      <c r="A841" s="247"/>
      <c r="B841" s="248" t="s">
        <v>145</v>
      </c>
      <c r="C841" s="231">
        <f>C839/C840</f>
        <v>1.2</v>
      </c>
      <c r="D841" s="252">
        <f>D839/D840</f>
        <v>1.5</v>
      </c>
      <c r="E841" s="231">
        <f>E839/E840</f>
        <v>0.48</v>
      </c>
      <c r="F841" s="251"/>
      <c r="G841" s="251"/>
      <c r="H841" s="251"/>
      <c r="I841" s="251"/>
      <c r="J841" s="251"/>
      <c r="K841" s="251"/>
      <c r="L841" s="251"/>
      <c r="M841" s="278"/>
    </row>
    <row r="842" spans="1:13" ht="14.4" x14ac:dyDescent="0.25">
      <c r="A842" s="247"/>
      <c r="B842" s="248" t="s">
        <v>146</v>
      </c>
      <c r="C842" s="256">
        <v>386</v>
      </c>
      <c r="D842" s="252">
        <f t="shared" ref="D842:E844" si="101">C842</f>
        <v>386</v>
      </c>
      <c r="E842" s="231">
        <f t="shared" si="101"/>
        <v>386</v>
      </c>
      <c r="F842" s="251"/>
      <c r="G842" s="251"/>
      <c r="H842" s="251"/>
      <c r="I842" s="251"/>
      <c r="J842" s="251"/>
      <c r="K842" s="251"/>
      <c r="L842" s="251"/>
      <c r="M842" s="278"/>
    </row>
    <row r="843" spans="1:13" ht="14.4" x14ac:dyDescent="0.25">
      <c r="A843" s="247"/>
      <c r="B843" s="248" t="s">
        <v>134</v>
      </c>
      <c r="C843" s="295">
        <f>$G$32</f>
        <v>1.0999999999999999E-2</v>
      </c>
      <c r="D843" s="258">
        <f t="shared" si="101"/>
        <v>1.0999999999999999E-2</v>
      </c>
      <c r="E843" s="258">
        <f t="shared" si="101"/>
        <v>1.0999999999999999E-2</v>
      </c>
      <c r="F843" s="251"/>
      <c r="G843" s="251"/>
      <c r="H843" s="251"/>
      <c r="I843" s="251"/>
      <c r="J843" s="251"/>
      <c r="K843" s="251"/>
      <c r="L843" s="251"/>
      <c r="M843" s="278"/>
    </row>
    <row r="844" spans="1:13" ht="14.4" x14ac:dyDescent="0.25">
      <c r="A844" s="247"/>
      <c r="B844" s="248" t="s">
        <v>147</v>
      </c>
      <c r="C844" s="229">
        <v>1.4</v>
      </c>
      <c r="D844" s="252">
        <f t="shared" si="101"/>
        <v>1.4</v>
      </c>
      <c r="E844" s="231">
        <f t="shared" si="101"/>
        <v>1.4</v>
      </c>
      <c r="F844" s="251"/>
      <c r="G844" s="251"/>
      <c r="H844" s="251"/>
      <c r="I844" s="251"/>
      <c r="J844" s="251"/>
      <c r="K844" s="251"/>
      <c r="L844" s="251"/>
      <c r="M844" s="278"/>
    </row>
    <row r="845" spans="1:13" ht="14.4" x14ac:dyDescent="0.25">
      <c r="A845" s="247"/>
      <c r="B845" s="248" t="s">
        <v>148</v>
      </c>
      <c r="C845" s="252">
        <f>4*C841/(C844^2*PI())</f>
        <v>0.77953441514397726</v>
      </c>
      <c r="D845" s="252">
        <f>4*D841/(D844^2*PI())</f>
        <v>0.9744180189299716</v>
      </c>
      <c r="E845" s="252">
        <f>4*E841/(E844^2*PI())</f>
        <v>0.31181376605759092</v>
      </c>
      <c r="F845" s="251"/>
      <c r="G845" s="251"/>
      <c r="H845" s="251"/>
      <c r="I845" s="251"/>
      <c r="J845" s="251"/>
      <c r="K845" s="251"/>
      <c r="L845" s="251"/>
      <c r="M845" s="278"/>
    </row>
    <row r="846" spans="1:13" ht="14.4" x14ac:dyDescent="0.25">
      <c r="A846" s="247"/>
      <c r="B846" s="248" t="s">
        <v>149</v>
      </c>
      <c r="C846" s="231">
        <f>C841/C845</f>
        <v>1.5393804002589984</v>
      </c>
      <c r="D846" s="252">
        <f>D841/D845</f>
        <v>1.5393804002589984</v>
      </c>
      <c r="E846" s="231">
        <f>E841/E845</f>
        <v>1.5393804002589984</v>
      </c>
      <c r="F846" s="251"/>
      <c r="G846" s="251"/>
      <c r="H846" s="251"/>
      <c r="I846" s="251"/>
      <c r="J846" s="251"/>
      <c r="K846" s="251"/>
      <c r="L846" s="251"/>
      <c r="M846" s="278"/>
    </row>
    <row r="847" spans="1:13" ht="14.4" x14ac:dyDescent="0.25">
      <c r="A847" s="247" t="s">
        <v>150</v>
      </c>
      <c r="B847" s="248"/>
      <c r="C847" s="248"/>
      <c r="D847" s="259"/>
      <c r="E847" s="248"/>
      <c r="F847" s="251"/>
      <c r="G847" s="389" t="s">
        <v>151</v>
      </c>
      <c r="H847" s="390"/>
      <c r="I847" s="390"/>
      <c r="J847" s="390"/>
      <c r="K847" s="391"/>
      <c r="L847" s="251"/>
      <c r="M847" s="278"/>
    </row>
    <row r="848" spans="1:13" ht="14.4" x14ac:dyDescent="0.25">
      <c r="A848" s="247" t="s">
        <v>152</v>
      </c>
      <c r="B848" s="248" t="s">
        <v>153</v>
      </c>
      <c r="C848" s="231">
        <f>C844/4</f>
        <v>0.35</v>
      </c>
      <c r="D848" s="252">
        <f>D844/4</f>
        <v>0.35</v>
      </c>
      <c r="E848" s="231">
        <f>E844/4</f>
        <v>0.35</v>
      </c>
      <c r="F848" s="251"/>
      <c r="G848" s="381" t="s">
        <v>154</v>
      </c>
      <c r="H848" s="260" t="s">
        <v>155</v>
      </c>
      <c r="I848" s="261" t="s">
        <v>156</v>
      </c>
      <c r="J848" s="261" t="s">
        <v>157</v>
      </c>
      <c r="K848" s="279" t="s">
        <v>158</v>
      </c>
      <c r="L848" s="251"/>
      <c r="M848" s="278"/>
    </row>
    <row r="849" spans="1:15" ht="16.8" x14ac:dyDescent="0.25">
      <c r="A849" s="247"/>
      <c r="B849" s="248" t="s">
        <v>159</v>
      </c>
      <c r="C849" s="231">
        <f>C848^(1/6)/C843</f>
        <v>76.316537055560929</v>
      </c>
      <c r="D849" s="252">
        <f>D848^(1/6)/D843</f>
        <v>76.316537055560929</v>
      </c>
      <c r="E849" s="231">
        <f>E848^(1/6)/E843</f>
        <v>76.316537055560929</v>
      </c>
      <c r="F849" s="251"/>
      <c r="G849" s="382"/>
      <c r="H849" s="261" t="s">
        <v>160</v>
      </c>
      <c r="I849" s="261" t="s">
        <v>161</v>
      </c>
      <c r="J849" s="261" t="s">
        <v>162</v>
      </c>
      <c r="K849" s="279" t="s">
        <v>163</v>
      </c>
      <c r="L849" s="251"/>
      <c r="M849" s="278"/>
    </row>
    <row r="850" spans="1:15" ht="16.8" x14ac:dyDescent="0.25">
      <c r="A850" s="247"/>
      <c r="B850" s="248" t="s">
        <v>164</v>
      </c>
      <c r="C850" s="231">
        <f>8*9.81/C849^2</f>
        <v>1.3474779998743721E-2</v>
      </c>
      <c r="D850" s="252">
        <f>8*9.81/D849^2</f>
        <v>1.3474779998743721E-2</v>
      </c>
      <c r="E850" s="231">
        <f>8*9.81/E849^2</f>
        <v>1.3474779998743721E-2</v>
      </c>
      <c r="F850" s="251"/>
      <c r="G850" s="262" t="s">
        <v>233</v>
      </c>
      <c r="H850" s="263">
        <f>C846</f>
        <v>1.5393804002589984</v>
      </c>
      <c r="I850" s="263">
        <f>I856*I857</f>
        <v>7.8239999999999998</v>
      </c>
      <c r="J850" s="263">
        <f>H850/I850</f>
        <v>0.19675107365273498</v>
      </c>
      <c r="K850" s="280">
        <f ca="1">TREND(OFFSET($L$51,MATCH(J850,$K$52:$K$60),0,2,1),OFFSET($K$51,MATCH(J850,$K$52:$K$60),0,2,1),J850)</f>
        <v>0.64552317479035071</v>
      </c>
      <c r="L850" s="251"/>
      <c r="M850" s="278"/>
    </row>
    <row r="851" spans="1:15" ht="16.8" x14ac:dyDescent="0.25">
      <c r="A851" s="247"/>
      <c r="B851" s="248" t="s">
        <v>166</v>
      </c>
      <c r="C851" s="231">
        <f>C850*C842*C845^2/(4*C848*2*9.81)</f>
        <v>0.11506746245290451</v>
      </c>
      <c r="D851" s="252">
        <f>D850*D842*D845^2/(4*D848*2*9.81)</f>
        <v>0.17979291008266329</v>
      </c>
      <c r="E851" s="231">
        <f>E850*E842*E845^2/(4*E848*2*9.81)</f>
        <v>1.8410793992464727E-2</v>
      </c>
      <c r="F851" s="251"/>
      <c r="G851" s="251"/>
      <c r="H851" s="251"/>
      <c r="I851" s="251"/>
      <c r="J851" s="251"/>
      <c r="K851" s="251"/>
      <c r="L851" s="251"/>
      <c r="M851" s="278"/>
      <c r="O851" s="281">
        <f>0.64-(0.64-0.4)/0.1*(J850-0.2)</f>
        <v>0.64779742323343614</v>
      </c>
    </row>
    <row r="852" spans="1:15" ht="14.4" x14ac:dyDescent="0.25">
      <c r="A852" s="247" t="s">
        <v>167</v>
      </c>
      <c r="B852" s="248" t="s">
        <v>168</v>
      </c>
      <c r="C852" s="264">
        <v>0.25</v>
      </c>
      <c r="D852" s="252">
        <f t="shared" ref="D852:E857" si="102">C852</f>
        <v>0.25</v>
      </c>
      <c r="E852" s="231">
        <f t="shared" si="102"/>
        <v>0.25</v>
      </c>
      <c r="F852" s="251"/>
      <c r="G852" s="251"/>
      <c r="H852" s="251"/>
      <c r="I852" s="251"/>
      <c r="J852" s="251"/>
      <c r="K852" s="251"/>
      <c r="L852" s="251"/>
      <c r="M852" s="278"/>
    </row>
    <row r="853" spans="1:15" ht="15.6" x14ac:dyDescent="0.25">
      <c r="A853" s="247"/>
      <c r="B853" s="248" t="s">
        <v>169</v>
      </c>
      <c r="C853" s="264">
        <f>0.1*2</f>
        <v>0.2</v>
      </c>
      <c r="D853" s="252">
        <f t="shared" si="102"/>
        <v>0.2</v>
      </c>
      <c r="E853" s="231">
        <f t="shared" si="102"/>
        <v>0.2</v>
      </c>
      <c r="F853" s="251"/>
      <c r="G853" s="383" t="s">
        <v>170</v>
      </c>
      <c r="H853" s="265" t="s">
        <v>171</v>
      </c>
      <c r="I853" s="282"/>
      <c r="J853" s="251"/>
      <c r="K853" s="238" t="s">
        <v>162</v>
      </c>
      <c r="L853" s="238" t="s">
        <v>163</v>
      </c>
      <c r="M853" s="278"/>
    </row>
    <row r="854" spans="1:15" ht="15.6" x14ac:dyDescent="0.25">
      <c r="A854" s="247"/>
      <c r="B854" s="248" t="s">
        <v>172</v>
      </c>
      <c r="C854" s="264">
        <v>0.02</v>
      </c>
      <c r="D854" s="252">
        <f t="shared" si="102"/>
        <v>0.02</v>
      </c>
      <c r="E854" s="231">
        <f t="shared" si="102"/>
        <v>0.02</v>
      </c>
      <c r="F854" s="251"/>
      <c r="G854" s="384"/>
      <c r="H854" s="266" t="s">
        <v>173</v>
      </c>
      <c r="I854" s="283">
        <v>1.1080000000000001</v>
      </c>
      <c r="J854" s="251"/>
      <c r="K854" s="238">
        <v>0.1</v>
      </c>
      <c r="L854" s="238">
        <v>0.81</v>
      </c>
      <c r="M854" s="278"/>
    </row>
    <row r="855" spans="1:15" ht="16.2" x14ac:dyDescent="0.25">
      <c r="A855" s="247"/>
      <c r="B855" s="248" t="s">
        <v>174</v>
      </c>
      <c r="C855" s="264">
        <v>0.1</v>
      </c>
      <c r="D855" s="252">
        <f t="shared" si="102"/>
        <v>0.1</v>
      </c>
      <c r="E855" s="231">
        <f t="shared" si="102"/>
        <v>0.1</v>
      </c>
      <c r="F855" s="251"/>
      <c r="G855" s="384"/>
      <c r="H855" s="266" t="s">
        <v>175</v>
      </c>
      <c r="I855" s="284"/>
      <c r="J855" s="251"/>
      <c r="K855" s="238">
        <v>0.2</v>
      </c>
      <c r="L855" s="238">
        <v>0.64</v>
      </c>
      <c r="M855" s="278"/>
    </row>
    <row r="856" spans="1:15" ht="15.6" x14ac:dyDescent="0.25">
      <c r="A856" s="247"/>
      <c r="B856" s="248" t="s">
        <v>176</v>
      </c>
      <c r="C856" s="264">
        <v>80</v>
      </c>
      <c r="D856" s="252">
        <f t="shared" si="102"/>
        <v>80</v>
      </c>
      <c r="E856" s="231">
        <f t="shared" si="102"/>
        <v>80</v>
      </c>
      <c r="F856" s="251"/>
      <c r="G856" s="384"/>
      <c r="H856" s="266" t="s">
        <v>177</v>
      </c>
      <c r="I856" s="283">
        <f>I854+1.5</f>
        <v>2.6080000000000001</v>
      </c>
      <c r="J856" s="251"/>
      <c r="K856" s="238">
        <v>0.3</v>
      </c>
      <c r="L856" s="238">
        <v>0.4</v>
      </c>
      <c r="M856" s="278"/>
    </row>
    <row r="857" spans="1:15" ht="15.6" x14ac:dyDescent="0.25">
      <c r="A857" s="247"/>
      <c r="B857" s="248" t="s">
        <v>178</v>
      </c>
      <c r="C857" s="264">
        <v>1.83</v>
      </c>
      <c r="D857" s="252">
        <f t="shared" si="102"/>
        <v>1.83</v>
      </c>
      <c r="E857" s="231">
        <f t="shared" si="102"/>
        <v>1.83</v>
      </c>
      <c r="F857" s="251"/>
      <c r="G857" s="384"/>
      <c r="H857" s="266" t="s">
        <v>179</v>
      </c>
      <c r="I857" s="283">
        <v>3</v>
      </c>
      <c r="K857" s="238">
        <v>0.4</v>
      </c>
      <c r="L857" s="238">
        <v>0.36</v>
      </c>
      <c r="M857" s="278"/>
    </row>
    <row r="858" spans="1:15" ht="16.8" x14ac:dyDescent="0.25">
      <c r="A858" s="247"/>
      <c r="B858" s="248" t="s">
        <v>180</v>
      </c>
      <c r="C858" s="231">
        <f>C857*(C854/C855)^(4/3)*SIN(C856/180*PI())</f>
        <v>0.21078637878092679</v>
      </c>
      <c r="D858" s="252">
        <f>D857*(D854/D855)^(4/3)*SIN(D856/180*PI())</f>
        <v>0.21078637878092679</v>
      </c>
      <c r="E858" s="231">
        <f>E857*(E854/E855)^(4/3)*SIN(E856/180*PI())</f>
        <v>0.21078637878092679</v>
      </c>
      <c r="F858" s="251"/>
      <c r="G858" s="384"/>
      <c r="H858" s="266" t="s">
        <v>181</v>
      </c>
      <c r="I858" s="284"/>
      <c r="K858" s="238">
        <v>0.5</v>
      </c>
      <c r="L858" s="238">
        <v>0.25</v>
      </c>
      <c r="M858" s="278"/>
    </row>
    <row r="859" spans="1:15" ht="15.6" x14ac:dyDescent="0.25">
      <c r="A859" s="247"/>
      <c r="B859" s="247" t="s">
        <v>182</v>
      </c>
      <c r="C859" s="231">
        <f ca="1">H888</f>
        <v>0.34054239428571437</v>
      </c>
      <c r="D859" s="252">
        <f t="shared" ref="D859:E861" ca="1" si="103">C859</f>
        <v>0.34054239428571437</v>
      </c>
      <c r="E859" s="231">
        <f t="shared" ca="1" si="103"/>
        <v>0.34054239428571437</v>
      </c>
      <c r="F859" s="251"/>
      <c r="G859" s="384"/>
      <c r="H859" s="266" t="s">
        <v>183</v>
      </c>
      <c r="I859" s="284"/>
      <c r="K859" s="238">
        <v>0.6</v>
      </c>
      <c r="L859" s="238">
        <v>0.16</v>
      </c>
      <c r="M859" s="278"/>
    </row>
    <row r="860" spans="1:15" ht="16.2" x14ac:dyDescent="0.25">
      <c r="A860" s="247"/>
      <c r="B860" s="247" t="s">
        <v>184</v>
      </c>
      <c r="C860" s="264">
        <f ca="1">K850</f>
        <v>0.64552317479035071</v>
      </c>
      <c r="D860" s="252">
        <f t="shared" ca="1" si="103"/>
        <v>0.64552317479035071</v>
      </c>
      <c r="E860" s="231">
        <f t="shared" ca="1" si="103"/>
        <v>0.64552317479035071</v>
      </c>
      <c r="F860" s="251"/>
      <c r="G860" s="385"/>
      <c r="H860" s="266" t="s">
        <v>185</v>
      </c>
      <c r="I860" s="284"/>
      <c r="K860" s="238">
        <v>0.7</v>
      </c>
      <c r="L860" s="238">
        <v>0.09</v>
      </c>
      <c r="M860" s="278"/>
    </row>
    <row r="861" spans="1:15" ht="16.2" x14ac:dyDescent="0.25">
      <c r="A861" s="247"/>
      <c r="B861" s="248" t="s">
        <v>186</v>
      </c>
      <c r="C861" s="264">
        <f>0.1*1</f>
        <v>0.1</v>
      </c>
      <c r="D861" s="252">
        <f t="shared" si="103"/>
        <v>0.1</v>
      </c>
      <c r="E861" s="231">
        <f t="shared" si="103"/>
        <v>0.1</v>
      </c>
      <c r="F861" s="251"/>
      <c r="G861" s="386"/>
      <c r="H861" s="267" t="s">
        <v>187</v>
      </c>
      <c r="I861" s="285"/>
      <c r="J861" s="251"/>
      <c r="K861" s="238">
        <v>0.8</v>
      </c>
      <c r="L861" s="238">
        <v>0.04</v>
      </c>
      <c r="M861" s="278"/>
    </row>
    <row r="862" spans="1:15" ht="14.4" x14ac:dyDescent="0.25">
      <c r="A862" s="247"/>
      <c r="B862" s="248" t="s">
        <v>188</v>
      </c>
      <c r="C862" s="231">
        <f ca="1">C861+C858+C853+C852+C860+C859</f>
        <v>1.7468519478569919</v>
      </c>
      <c r="D862" s="252">
        <f ca="1">D861+D858+D853+D852+D860+D859</f>
        <v>1.7468519478569919</v>
      </c>
      <c r="E862" s="231">
        <f ca="1">E861+E858+E853+E852+E860+E859</f>
        <v>1.7468519478569919</v>
      </c>
      <c r="F862" s="251"/>
      <c r="G862" s="251"/>
      <c r="H862" s="251"/>
      <c r="I862" s="251"/>
      <c r="J862" s="251"/>
      <c r="K862" s="238">
        <v>0.9</v>
      </c>
      <c r="L862" s="238">
        <v>0.01</v>
      </c>
      <c r="M862" s="278"/>
    </row>
    <row r="863" spans="1:15" ht="16.8" x14ac:dyDescent="0.25">
      <c r="A863" s="247"/>
      <c r="B863" s="248" t="s">
        <v>189</v>
      </c>
      <c r="C863" s="231">
        <f ca="1">C862*C845^2/2/9.81</f>
        <v>5.4103789171879843E-2</v>
      </c>
      <c r="D863" s="252">
        <f ca="1">D862*D845^2/2/9.81</f>
        <v>8.4537170581062249E-2</v>
      </c>
      <c r="E863" s="231">
        <f ca="1">E862*E845^2/2/9.81</f>
        <v>8.6566062675007757E-3</v>
      </c>
      <c r="F863" s="251"/>
      <c r="G863" s="251"/>
      <c r="H863" s="251"/>
      <c r="I863" s="251"/>
      <c r="J863" s="251"/>
      <c r="K863" s="251"/>
      <c r="L863" s="251"/>
      <c r="M863" s="278"/>
    </row>
    <row r="864" spans="1:15" ht="14.4" x14ac:dyDescent="0.25">
      <c r="A864" s="268" t="s">
        <v>190</v>
      </c>
      <c r="B864" s="269" t="s">
        <v>191</v>
      </c>
      <c r="C864" s="270">
        <f ca="1">C851+C863</f>
        <v>0.16917125162478436</v>
      </c>
      <c r="D864" s="270">
        <f ca="1">D851+D863</f>
        <v>0.26433008066372554</v>
      </c>
      <c r="E864" s="271">
        <f ca="1">E851+E863</f>
        <v>2.7067400259965502E-2</v>
      </c>
      <c r="F864" s="251"/>
      <c r="G864" s="272" t="s">
        <v>192</v>
      </c>
      <c r="H864" s="241">
        <v>0.2</v>
      </c>
      <c r="I864" s="251"/>
      <c r="J864" s="251"/>
      <c r="K864" s="251"/>
      <c r="L864" s="251"/>
      <c r="M864" s="278"/>
    </row>
    <row r="865" spans="1:13" ht="14.4" x14ac:dyDescent="0.25">
      <c r="A865" s="273" t="s">
        <v>193</v>
      </c>
      <c r="B865" s="274"/>
      <c r="C865" s="231">
        <f ca="1">C864+(C845^2-D820^2)/(2*9.81)</f>
        <v>-2.4002851326194277</v>
      </c>
      <c r="D865" s="252">
        <f ca="1">D864+(D845^2-D819^2)/(2*9.81)</f>
        <v>-2.2877044599912129</v>
      </c>
      <c r="E865" s="231">
        <f ca="1">E864+(E845^2-D821^2)/(2*9.81)</f>
        <v>-2.5684056037442287</v>
      </c>
      <c r="F865" s="251"/>
      <c r="G865" s="251"/>
      <c r="H865" s="251"/>
      <c r="I865" s="251"/>
      <c r="J865" s="251"/>
      <c r="K865" s="251"/>
      <c r="L865" s="251"/>
      <c r="M865" s="278"/>
    </row>
    <row r="866" spans="1:13" ht="14.4" x14ac:dyDescent="0.25">
      <c r="A866" s="273" t="s">
        <v>194</v>
      </c>
      <c r="B866" s="274"/>
      <c r="C866" s="231">
        <f ca="1">C865+C828-D828</f>
        <v>-2.4002851326194277</v>
      </c>
      <c r="D866" s="252">
        <f ca="1">D865+C826-D826</f>
        <v>-2.2877044599912129</v>
      </c>
      <c r="E866" s="231">
        <f ca="1">E865+C830-D830</f>
        <v>-2.5684056037442287</v>
      </c>
      <c r="F866" s="251"/>
      <c r="G866" s="251"/>
      <c r="H866" s="251"/>
      <c r="I866" s="251"/>
      <c r="J866" s="251"/>
      <c r="K866" s="251"/>
      <c r="L866" s="251"/>
      <c r="M866" s="278"/>
    </row>
    <row r="867" spans="1:13" x14ac:dyDescent="0.25">
      <c r="A867" s="286"/>
      <c r="B867" s="287"/>
      <c r="C867" s="251"/>
      <c r="D867" s="251"/>
      <c r="E867" s="251"/>
      <c r="F867" s="251"/>
      <c r="G867" s="251"/>
      <c r="H867" s="251"/>
      <c r="I867" s="251"/>
      <c r="J867" s="251"/>
      <c r="K867" s="251"/>
      <c r="L867" s="251"/>
      <c r="M867" s="278"/>
    </row>
    <row r="868" spans="1:13" ht="18" x14ac:dyDescent="0.4">
      <c r="A868" s="288"/>
      <c r="B868" s="289" t="s">
        <v>26</v>
      </c>
      <c r="C868" s="289" t="s">
        <v>195</v>
      </c>
      <c r="D868" s="289" t="s">
        <v>196</v>
      </c>
      <c r="E868" s="289" t="s">
        <v>197</v>
      </c>
      <c r="F868" s="289" t="s">
        <v>198</v>
      </c>
      <c r="G868" s="289" t="s">
        <v>199</v>
      </c>
      <c r="H868" s="289" t="s">
        <v>200</v>
      </c>
      <c r="I868" s="251"/>
      <c r="J868" s="289" t="s">
        <v>201</v>
      </c>
      <c r="K868" s="289" t="s">
        <v>202</v>
      </c>
      <c r="L868" s="289" t="s">
        <v>197</v>
      </c>
      <c r="M868" s="292" t="s">
        <v>199</v>
      </c>
    </row>
    <row r="869" spans="1:13" x14ac:dyDescent="0.25">
      <c r="A869" s="288">
        <v>1</v>
      </c>
      <c r="B869" s="264">
        <v>10</v>
      </c>
      <c r="C869" s="290">
        <f>C844</f>
        <v>1.4</v>
      </c>
      <c r="D869" s="290">
        <f t="shared" ref="D869:D875" si="104">B869/C869</f>
        <v>7.1428571428571432</v>
      </c>
      <c r="E869" s="264">
        <v>9.0709999999999997</v>
      </c>
      <c r="F869" s="290">
        <f t="shared" ref="F869:F875" ca="1" si="105">TREND(OFFSET($K$66,MATCH(D869,$J$67:$J$79),0,2,1),OFFSET($J$66,MATCH(D869,$J$67:$J$79),0,2,1),D869)</f>
        <v>0.26857142857142857</v>
      </c>
      <c r="G869" s="290">
        <f ca="1">TREND(OFFSET($M$66,MATCH(E869,$L$67:$L$80),0,2,1),OFFSET($L$66,MATCH(E869,$L$67:$L$80),0,2,1),E869)</f>
        <v>0.21049099999999998</v>
      </c>
      <c r="H869" s="290">
        <f t="shared" ref="H869:H875" ca="1" si="106">F869*G869</f>
        <v>5.653186857142857E-2</v>
      </c>
      <c r="I869" s="251"/>
      <c r="J869" s="289">
        <v>0.5</v>
      </c>
      <c r="K869" s="289">
        <v>1.2</v>
      </c>
      <c r="L869" s="289">
        <v>0</v>
      </c>
      <c r="M869" s="292">
        <v>0</v>
      </c>
    </row>
    <row r="870" spans="1:13" x14ac:dyDescent="0.25">
      <c r="A870" s="288">
        <v>2</v>
      </c>
      <c r="B870" s="264">
        <v>10</v>
      </c>
      <c r="C870" s="290">
        <f t="shared" ref="C870:C875" si="107">C869</f>
        <v>1.4</v>
      </c>
      <c r="D870" s="290">
        <f t="shared" si="104"/>
        <v>7.1428571428571432</v>
      </c>
      <c r="E870" s="264">
        <v>5.1769999999999996</v>
      </c>
      <c r="F870" s="290">
        <f t="shared" ca="1" si="105"/>
        <v>0.26857142857142857</v>
      </c>
      <c r="G870" s="290">
        <f t="shared" ref="G870:G875" ca="1" si="108">TREND(OFFSET($M$66,MATCH(E870,$L$67:$L$79),0,2,1),OFFSET($L$66,MATCH(E870,$L$67:$L$79),0,2,1),E870)</f>
        <v>0.12871700000000003</v>
      </c>
      <c r="H870" s="290">
        <f t="shared" ca="1" si="106"/>
        <v>3.4569708571428576E-2</v>
      </c>
      <c r="I870" s="251"/>
      <c r="J870" s="289">
        <v>1</v>
      </c>
      <c r="K870" s="289">
        <v>0.8</v>
      </c>
      <c r="L870" s="289">
        <v>5</v>
      </c>
      <c r="M870" s="292">
        <v>0.125</v>
      </c>
    </row>
    <row r="871" spans="1:13" x14ac:dyDescent="0.25">
      <c r="A871" s="288">
        <v>3</v>
      </c>
      <c r="B871" s="264">
        <v>10</v>
      </c>
      <c r="C871" s="290">
        <f t="shared" si="107"/>
        <v>1.4</v>
      </c>
      <c r="D871" s="290">
        <f t="shared" si="104"/>
        <v>7.1428571428571432</v>
      </c>
      <c r="E871" s="264">
        <v>16.376999999999999</v>
      </c>
      <c r="F871" s="290">
        <f t="shared" ca="1" si="105"/>
        <v>0.26857142857142857</v>
      </c>
      <c r="G871" s="290">
        <f t="shared" ca="1" si="108"/>
        <v>0.33840900000000002</v>
      </c>
      <c r="H871" s="290">
        <f t="shared" ca="1" si="106"/>
        <v>9.0886988571428573E-2</v>
      </c>
      <c r="I871" s="251"/>
      <c r="J871" s="289">
        <v>1.5</v>
      </c>
      <c r="K871" s="289">
        <v>0.6</v>
      </c>
      <c r="L871" s="289">
        <v>10</v>
      </c>
      <c r="M871" s="292">
        <v>0.23</v>
      </c>
    </row>
    <row r="872" spans="1:13" x14ac:dyDescent="0.25">
      <c r="A872" s="288">
        <v>4</v>
      </c>
      <c r="B872" s="264">
        <v>10</v>
      </c>
      <c r="C872" s="290">
        <f t="shared" si="107"/>
        <v>1.4</v>
      </c>
      <c r="D872" s="290">
        <f t="shared" si="104"/>
        <v>7.1428571428571432</v>
      </c>
      <c r="E872" s="264">
        <v>9.61</v>
      </c>
      <c r="F872" s="290">
        <f t="shared" ca="1" si="105"/>
        <v>0.26857142857142857</v>
      </c>
      <c r="G872" s="290">
        <f t="shared" ca="1" si="108"/>
        <v>0.22180999999999998</v>
      </c>
      <c r="H872" s="290">
        <f t="shared" ca="1" si="106"/>
        <v>5.9571828571428564E-2</v>
      </c>
      <c r="I872" s="251"/>
      <c r="J872" s="289">
        <v>2</v>
      </c>
      <c r="K872" s="289">
        <v>0.48</v>
      </c>
      <c r="L872" s="289">
        <v>20</v>
      </c>
      <c r="M872" s="292">
        <v>0.4</v>
      </c>
    </row>
    <row r="873" spans="1:13" x14ac:dyDescent="0.25">
      <c r="A873" s="288">
        <v>5</v>
      </c>
      <c r="B873" s="264">
        <v>10</v>
      </c>
      <c r="C873" s="290">
        <f t="shared" si="107"/>
        <v>1.4</v>
      </c>
      <c r="D873" s="290">
        <f t="shared" si="104"/>
        <v>7.1428571428571432</v>
      </c>
      <c r="E873" s="264">
        <v>6.2750000000000004</v>
      </c>
      <c r="F873" s="290">
        <f t="shared" ca="1" si="105"/>
        <v>0.26857142857142857</v>
      </c>
      <c r="G873" s="290">
        <f t="shared" ca="1" si="108"/>
        <v>0.15177500000000002</v>
      </c>
      <c r="H873" s="290">
        <f t="shared" ca="1" si="106"/>
        <v>4.0762428571428574E-2</v>
      </c>
      <c r="I873" s="251"/>
      <c r="J873" s="289">
        <v>3</v>
      </c>
      <c r="K873" s="289">
        <v>0.36</v>
      </c>
      <c r="L873" s="289">
        <v>30</v>
      </c>
      <c r="M873" s="292">
        <v>0.55000000000000004</v>
      </c>
    </row>
    <row r="874" spans="1:13" x14ac:dyDescent="0.25">
      <c r="A874" s="288">
        <v>6</v>
      </c>
      <c r="B874" s="264">
        <v>10</v>
      </c>
      <c r="C874" s="290">
        <f t="shared" si="107"/>
        <v>1.4</v>
      </c>
      <c r="D874" s="290">
        <f t="shared" si="104"/>
        <v>7.1428571428571432</v>
      </c>
      <c r="E874" s="264">
        <v>4.0970000000000004</v>
      </c>
      <c r="F874" s="290">
        <f t="shared" ca="1" si="105"/>
        <v>0.26857142857142857</v>
      </c>
      <c r="G874" s="290">
        <f t="shared" ca="1" si="108"/>
        <v>0.10242500000000002</v>
      </c>
      <c r="H874" s="290">
        <f t="shared" ca="1" si="106"/>
        <v>2.7508428571428576E-2</v>
      </c>
      <c r="I874" s="251"/>
      <c r="J874" s="289">
        <v>4</v>
      </c>
      <c r="K874" s="289">
        <v>0.3</v>
      </c>
      <c r="L874" s="289">
        <v>40</v>
      </c>
      <c r="M874" s="292">
        <v>0.65</v>
      </c>
    </row>
    <row r="875" spans="1:13" x14ac:dyDescent="0.25">
      <c r="A875" s="288">
        <v>7</v>
      </c>
      <c r="B875" s="264">
        <v>10</v>
      </c>
      <c r="C875" s="290">
        <f t="shared" si="107"/>
        <v>1.4</v>
      </c>
      <c r="D875" s="290">
        <f t="shared" si="104"/>
        <v>7.1428571428571432</v>
      </c>
      <c r="E875" s="264">
        <v>4.5739999999999998</v>
      </c>
      <c r="F875" s="290">
        <f t="shared" ca="1" si="105"/>
        <v>0.26857142857142857</v>
      </c>
      <c r="G875" s="290">
        <f t="shared" ca="1" si="108"/>
        <v>0.11435000000000001</v>
      </c>
      <c r="H875" s="290">
        <f t="shared" ca="1" si="106"/>
        <v>3.071114285714286E-2</v>
      </c>
      <c r="I875" s="251"/>
      <c r="J875" s="289">
        <v>5</v>
      </c>
      <c r="K875" s="289">
        <v>0.28999999999999998</v>
      </c>
      <c r="L875" s="289">
        <v>50</v>
      </c>
      <c r="M875" s="292">
        <v>0.75</v>
      </c>
    </row>
    <row r="876" spans="1:13" x14ac:dyDescent="0.25">
      <c r="A876" s="288"/>
      <c r="B876" s="264"/>
      <c r="C876" s="290"/>
      <c r="D876" s="290"/>
      <c r="E876" s="264"/>
      <c r="F876" s="290"/>
      <c r="G876" s="290"/>
      <c r="H876" s="290"/>
      <c r="I876" s="251"/>
      <c r="J876" s="289">
        <v>6</v>
      </c>
      <c r="K876" s="289">
        <v>0.28000000000000003</v>
      </c>
      <c r="L876" s="289">
        <v>60</v>
      </c>
      <c r="M876" s="292">
        <v>0.83</v>
      </c>
    </row>
    <row r="877" spans="1:13" x14ac:dyDescent="0.25">
      <c r="A877" s="288"/>
      <c r="B877" s="264"/>
      <c r="C877" s="290"/>
      <c r="D877" s="290"/>
      <c r="E877" s="264"/>
      <c r="F877" s="290"/>
      <c r="G877" s="290"/>
      <c r="H877" s="290"/>
      <c r="I877" s="251"/>
      <c r="J877" s="289">
        <v>7</v>
      </c>
      <c r="K877" s="289">
        <v>0.27</v>
      </c>
      <c r="L877" s="289">
        <v>70</v>
      </c>
      <c r="M877" s="292">
        <v>0.88</v>
      </c>
    </row>
    <row r="878" spans="1:13" x14ac:dyDescent="0.25">
      <c r="A878" s="288"/>
      <c r="B878" s="264"/>
      <c r="C878" s="290"/>
      <c r="D878" s="290"/>
      <c r="E878" s="264"/>
      <c r="F878" s="290"/>
      <c r="G878" s="290"/>
      <c r="H878" s="290"/>
      <c r="I878" s="251"/>
      <c r="J878" s="289">
        <v>8</v>
      </c>
      <c r="K878" s="289">
        <v>0.26</v>
      </c>
      <c r="L878" s="289">
        <v>80</v>
      </c>
      <c r="M878" s="292">
        <v>0.95</v>
      </c>
    </row>
    <row r="879" spans="1:13" x14ac:dyDescent="0.25">
      <c r="A879" s="288"/>
      <c r="B879" s="264"/>
      <c r="C879" s="290"/>
      <c r="D879" s="290"/>
      <c r="E879" s="264"/>
      <c r="F879" s="290"/>
      <c r="G879" s="290"/>
      <c r="H879" s="290"/>
      <c r="I879" s="251"/>
      <c r="J879" s="289">
        <v>9</v>
      </c>
      <c r="K879" s="289">
        <v>0.25</v>
      </c>
      <c r="L879" s="289">
        <v>90</v>
      </c>
      <c r="M879" s="292">
        <v>1</v>
      </c>
    </row>
    <row r="880" spans="1:13" x14ac:dyDescent="0.25">
      <c r="A880" s="288"/>
      <c r="B880" s="264"/>
      <c r="C880" s="290"/>
      <c r="D880" s="290"/>
      <c r="E880" s="264"/>
      <c r="F880" s="290"/>
      <c r="G880" s="290"/>
      <c r="H880" s="290"/>
      <c r="I880" s="251"/>
      <c r="J880" s="289">
        <v>10</v>
      </c>
      <c r="K880" s="289">
        <v>0.24</v>
      </c>
      <c r="L880" s="289">
        <v>100</v>
      </c>
      <c r="M880" s="292">
        <v>1.05</v>
      </c>
    </row>
    <row r="881" spans="1:13" x14ac:dyDescent="0.25">
      <c r="A881" s="288"/>
      <c r="B881" s="264"/>
      <c r="C881" s="290"/>
      <c r="D881" s="290"/>
      <c r="E881" s="264"/>
      <c r="F881" s="290"/>
      <c r="G881" s="290"/>
      <c r="H881" s="290"/>
      <c r="I881" s="251"/>
      <c r="J881" s="289">
        <v>11</v>
      </c>
      <c r="K881" s="289">
        <v>0.23</v>
      </c>
      <c r="L881" s="289">
        <v>120</v>
      </c>
      <c r="M881" s="292">
        <v>1.1299999999999999</v>
      </c>
    </row>
    <row r="882" spans="1:13" x14ac:dyDescent="0.25">
      <c r="A882" s="288"/>
      <c r="B882" s="264"/>
      <c r="C882" s="290"/>
      <c r="D882" s="290"/>
      <c r="E882" s="264"/>
      <c r="F882" s="290"/>
      <c r="G882" s="290"/>
      <c r="H882" s="290"/>
      <c r="I882" s="251"/>
      <c r="J882" s="289"/>
      <c r="K882" s="289"/>
      <c r="L882" s="289">
        <v>140</v>
      </c>
      <c r="M882" s="292">
        <v>1.2</v>
      </c>
    </row>
    <row r="883" spans="1:13" x14ac:dyDescent="0.25">
      <c r="A883" s="288"/>
      <c r="B883" s="264"/>
      <c r="C883" s="290"/>
      <c r="D883" s="290"/>
      <c r="E883" s="264"/>
      <c r="F883" s="290"/>
      <c r="G883" s="290"/>
      <c r="H883" s="290"/>
      <c r="I883" s="251"/>
      <c r="J883" s="251"/>
      <c r="K883" s="251"/>
      <c r="L883" s="251"/>
      <c r="M883" s="278"/>
    </row>
    <row r="884" spans="1:13" x14ac:dyDescent="0.25">
      <c r="A884" s="288"/>
      <c r="B884" s="264"/>
      <c r="C884" s="290"/>
      <c r="D884" s="290"/>
      <c r="E884" s="264"/>
      <c r="F884" s="290"/>
      <c r="G884" s="290"/>
      <c r="H884" s="290"/>
      <c r="I884" s="251"/>
      <c r="J884" s="251"/>
      <c r="K884" s="251"/>
      <c r="L884" s="251"/>
      <c r="M884" s="278"/>
    </row>
    <row r="885" spans="1:13" x14ac:dyDescent="0.25">
      <c r="A885" s="288"/>
      <c r="B885" s="264"/>
      <c r="C885" s="290"/>
      <c r="D885" s="290"/>
      <c r="E885" s="264"/>
      <c r="F885" s="290"/>
      <c r="G885" s="290"/>
      <c r="H885" s="290"/>
      <c r="I885" s="251"/>
      <c r="J885" s="251"/>
      <c r="K885" s="251"/>
      <c r="L885" s="251"/>
      <c r="M885" s="278"/>
    </row>
    <row r="886" spans="1:13" x14ac:dyDescent="0.25">
      <c r="A886" s="288"/>
      <c r="B886" s="264"/>
      <c r="C886" s="290"/>
      <c r="D886" s="290"/>
      <c r="E886" s="264"/>
      <c r="F886" s="290"/>
      <c r="G886" s="290"/>
      <c r="H886" s="290"/>
      <c r="I886" s="251"/>
      <c r="J886" s="251"/>
      <c r="K886" s="251"/>
      <c r="L886" s="251"/>
      <c r="M886" s="278"/>
    </row>
    <row r="887" spans="1:13" x14ac:dyDescent="0.25">
      <c r="A887" s="288"/>
      <c r="B887" s="264"/>
      <c r="C887" s="290"/>
      <c r="D887" s="290"/>
      <c r="E887" s="264"/>
      <c r="F887" s="290"/>
      <c r="G887" s="290"/>
      <c r="H887" s="290"/>
      <c r="I887" s="251"/>
      <c r="J887" s="251"/>
      <c r="K887" s="251"/>
      <c r="L887" s="251"/>
      <c r="M887" s="278"/>
    </row>
    <row r="888" spans="1:13" ht="16.2" x14ac:dyDescent="0.3">
      <c r="A888" s="387" t="s">
        <v>203</v>
      </c>
      <c r="B888" s="388"/>
      <c r="C888" s="388"/>
      <c r="D888" s="388"/>
      <c r="E888" s="388"/>
      <c r="F888" s="388"/>
      <c r="G888" s="388"/>
      <c r="H888" s="291">
        <f ca="1">SUM(H869:H887)</f>
        <v>0.34054239428571437</v>
      </c>
      <c r="I888" s="293"/>
      <c r="J888" s="293"/>
      <c r="K888" s="293"/>
      <c r="L888" s="293"/>
      <c r="M888" s="294"/>
    </row>
    <row r="891" spans="1:13" ht="14.4" x14ac:dyDescent="0.25">
      <c r="A891" s="244" t="s">
        <v>234</v>
      </c>
      <c r="C891" s="240"/>
    </row>
    <row r="892" spans="1:13" x14ac:dyDescent="0.25">
      <c r="A892" s="245" t="s">
        <v>138</v>
      </c>
      <c r="B892" s="246"/>
      <c r="C892" s="246"/>
      <c r="D892" s="246"/>
      <c r="E892" s="246"/>
      <c r="F892" s="246"/>
      <c r="G892" s="246"/>
      <c r="H892" s="246"/>
      <c r="I892" s="246"/>
      <c r="J892" s="246"/>
      <c r="K892" s="246"/>
      <c r="L892" s="246"/>
      <c r="M892" s="277"/>
    </row>
    <row r="893" spans="1:13" ht="14.4" x14ac:dyDescent="0.25">
      <c r="A893" s="247" t="s">
        <v>139</v>
      </c>
      <c r="B893" s="248"/>
      <c r="C893" s="249" t="s">
        <v>140</v>
      </c>
      <c r="D893" s="250" t="s">
        <v>141</v>
      </c>
      <c r="E893" s="249" t="s">
        <v>142</v>
      </c>
      <c r="F893" s="251"/>
      <c r="G893" s="251"/>
      <c r="H893" s="251"/>
      <c r="I893" s="251"/>
      <c r="J893" s="251"/>
      <c r="K893" s="251"/>
      <c r="L893" s="251"/>
      <c r="M893" s="278"/>
    </row>
    <row r="894" spans="1:13" ht="14.4" x14ac:dyDescent="0.25">
      <c r="A894" s="247"/>
      <c r="B894" s="248" t="s">
        <v>143</v>
      </c>
      <c r="C894" s="229">
        <v>1.2</v>
      </c>
      <c r="D894" s="252">
        <f>C894*1.25</f>
        <v>1.5</v>
      </c>
      <c r="E894" s="231">
        <f>C894*0.4</f>
        <v>0.48</v>
      </c>
      <c r="F894" s="251"/>
      <c r="G894" s="251"/>
      <c r="H894" s="251"/>
      <c r="I894" s="251"/>
      <c r="J894" s="251"/>
      <c r="K894" s="251"/>
      <c r="L894" s="251"/>
      <c r="M894" s="278"/>
    </row>
    <row r="895" spans="1:13" ht="14.4" x14ac:dyDescent="0.25">
      <c r="A895" s="247"/>
      <c r="B895" s="248" t="s">
        <v>144</v>
      </c>
      <c r="C895" s="253">
        <v>1</v>
      </c>
      <c r="D895" s="254">
        <f>C895</f>
        <v>1</v>
      </c>
      <c r="E895" s="255">
        <f>D895</f>
        <v>1</v>
      </c>
      <c r="F895" s="251"/>
      <c r="G895" s="251"/>
      <c r="H895" s="251"/>
      <c r="I895" s="251"/>
      <c r="J895" s="251"/>
      <c r="K895" s="251"/>
      <c r="L895" s="251"/>
      <c r="M895" s="278"/>
    </row>
    <row r="896" spans="1:13" ht="14.4" x14ac:dyDescent="0.25">
      <c r="A896" s="247"/>
      <c r="B896" s="248" t="s">
        <v>145</v>
      </c>
      <c r="C896" s="231">
        <f>C894/C895</f>
        <v>1.2</v>
      </c>
      <c r="D896" s="252">
        <f>D894/D895</f>
        <v>1.5</v>
      </c>
      <c r="E896" s="231">
        <f>E894/E895</f>
        <v>0.48</v>
      </c>
      <c r="F896" s="251"/>
      <c r="G896" s="251"/>
      <c r="H896" s="251"/>
      <c r="I896" s="251"/>
      <c r="J896" s="251"/>
      <c r="K896" s="251"/>
      <c r="L896" s="251"/>
      <c r="M896" s="278"/>
    </row>
    <row r="897" spans="1:15" ht="14.4" x14ac:dyDescent="0.25">
      <c r="A897" s="247"/>
      <c r="B897" s="248" t="s">
        <v>146</v>
      </c>
      <c r="C897" s="256">
        <v>235</v>
      </c>
      <c r="D897" s="252">
        <f t="shared" ref="D897:E899" si="109">C897</f>
        <v>235</v>
      </c>
      <c r="E897" s="231">
        <f t="shared" si="109"/>
        <v>235</v>
      </c>
      <c r="F897" s="251"/>
      <c r="G897" s="251"/>
      <c r="H897" s="251"/>
      <c r="I897" s="251"/>
      <c r="J897" s="251"/>
      <c r="K897" s="251"/>
      <c r="L897" s="251"/>
      <c r="M897" s="278"/>
    </row>
    <row r="898" spans="1:15" ht="14.4" x14ac:dyDescent="0.25">
      <c r="A898" s="247"/>
      <c r="B898" s="248" t="s">
        <v>134</v>
      </c>
      <c r="C898" s="295">
        <f>$G$32</f>
        <v>1.0999999999999999E-2</v>
      </c>
      <c r="D898" s="258">
        <f t="shared" si="109"/>
        <v>1.0999999999999999E-2</v>
      </c>
      <c r="E898" s="258">
        <f t="shared" si="109"/>
        <v>1.0999999999999999E-2</v>
      </c>
      <c r="F898" s="251"/>
      <c r="G898" s="251"/>
      <c r="H898" s="251"/>
      <c r="I898" s="251"/>
      <c r="J898" s="251"/>
      <c r="K898" s="251"/>
      <c r="L898" s="251"/>
      <c r="M898" s="278"/>
    </row>
    <row r="899" spans="1:15" ht="14.4" x14ac:dyDescent="0.25">
      <c r="A899" s="247"/>
      <c r="B899" s="248" t="s">
        <v>147</v>
      </c>
      <c r="C899" s="229">
        <v>1.4</v>
      </c>
      <c r="D899" s="252">
        <f t="shared" si="109"/>
        <v>1.4</v>
      </c>
      <c r="E899" s="231">
        <f t="shared" si="109"/>
        <v>1.4</v>
      </c>
      <c r="F899" s="251"/>
      <c r="G899" s="251"/>
      <c r="H899" s="251"/>
      <c r="I899" s="251"/>
      <c r="J899" s="251"/>
      <c r="K899" s="251"/>
      <c r="L899" s="251"/>
      <c r="M899" s="278"/>
    </row>
    <row r="900" spans="1:15" ht="14.4" x14ac:dyDescent="0.25">
      <c r="A900" s="247"/>
      <c r="B900" s="248" t="s">
        <v>148</v>
      </c>
      <c r="C900" s="252">
        <f>4*C896/(C899^2*PI())</f>
        <v>0.77953441514397726</v>
      </c>
      <c r="D900" s="252">
        <f>4*D896/(D899^2*PI())</f>
        <v>0.9744180189299716</v>
      </c>
      <c r="E900" s="252">
        <f>4*E896/(E899^2*PI())</f>
        <v>0.31181376605759092</v>
      </c>
      <c r="F900" s="251"/>
      <c r="G900" s="251"/>
      <c r="H900" s="251"/>
      <c r="I900" s="251"/>
      <c r="J900" s="251"/>
      <c r="K900" s="251"/>
      <c r="L900" s="251"/>
      <c r="M900" s="278"/>
    </row>
    <row r="901" spans="1:15" ht="14.4" x14ac:dyDescent="0.25">
      <c r="A901" s="247"/>
      <c r="B901" s="248" t="s">
        <v>149</v>
      </c>
      <c r="C901" s="231">
        <f>C896/C900</f>
        <v>1.5393804002589984</v>
      </c>
      <c r="D901" s="252">
        <f>D896/D900</f>
        <v>1.5393804002589984</v>
      </c>
      <c r="E901" s="231">
        <f>E896/E900</f>
        <v>1.5393804002589984</v>
      </c>
      <c r="F901" s="251"/>
      <c r="G901" s="251"/>
      <c r="H901" s="251"/>
      <c r="I901" s="251"/>
      <c r="J901" s="251"/>
      <c r="K901" s="251"/>
      <c r="L901" s="251"/>
      <c r="M901" s="278"/>
    </row>
    <row r="902" spans="1:15" ht="14.4" x14ac:dyDescent="0.25">
      <c r="A902" s="247" t="s">
        <v>150</v>
      </c>
      <c r="B902" s="248"/>
      <c r="C902" s="248"/>
      <c r="D902" s="259"/>
      <c r="E902" s="248"/>
      <c r="F902" s="251"/>
      <c r="G902" s="389" t="s">
        <v>151</v>
      </c>
      <c r="H902" s="390"/>
      <c r="I902" s="390"/>
      <c r="J902" s="390"/>
      <c r="K902" s="391"/>
      <c r="L902" s="251"/>
      <c r="M902" s="278"/>
    </row>
    <row r="903" spans="1:15" ht="14.4" x14ac:dyDescent="0.25">
      <c r="A903" s="247" t="s">
        <v>152</v>
      </c>
      <c r="B903" s="248" t="s">
        <v>153</v>
      </c>
      <c r="C903" s="231">
        <f>C899/4</f>
        <v>0.35</v>
      </c>
      <c r="D903" s="252">
        <f>D899/4</f>
        <v>0.35</v>
      </c>
      <c r="E903" s="231">
        <f>E899/4</f>
        <v>0.35</v>
      </c>
      <c r="F903" s="251"/>
      <c r="G903" s="381" t="s">
        <v>154</v>
      </c>
      <c r="H903" s="260" t="s">
        <v>155</v>
      </c>
      <c r="I903" s="261" t="s">
        <v>156</v>
      </c>
      <c r="J903" s="261" t="s">
        <v>157</v>
      </c>
      <c r="K903" s="279" t="s">
        <v>158</v>
      </c>
      <c r="L903" s="251"/>
      <c r="M903" s="278"/>
    </row>
    <row r="904" spans="1:15" ht="16.8" x14ac:dyDescent="0.25">
      <c r="A904" s="247"/>
      <c r="B904" s="248" t="s">
        <v>159</v>
      </c>
      <c r="C904" s="231">
        <f>C903^(1/6)/C898</f>
        <v>76.316537055560929</v>
      </c>
      <c r="D904" s="252">
        <f>D903^(1/6)/D898</f>
        <v>76.316537055560929</v>
      </c>
      <c r="E904" s="231">
        <f>E903^(1/6)/E898</f>
        <v>76.316537055560929</v>
      </c>
      <c r="F904" s="251"/>
      <c r="G904" s="382"/>
      <c r="H904" s="261" t="s">
        <v>160</v>
      </c>
      <c r="I904" s="261" t="s">
        <v>161</v>
      </c>
      <c r="J904" s="261" t="s">
        <v>162</v>
      </c>
      <c r="K904" s="279" t="s">
        <v>163</v>
      </c>
      <c r="L904" s="251"/>
      <c r="M904" s="278"/>
    </row>
    <row r="905" spans="1:15" ht="16.8" x14ac:dyDescent="0.25">
      <c r="A905" s="247"/>
      <c r="B905" s="248" t="s">
        <v>164</v>
      </c>
      <c r="C905" s="231">
        <f>8*9.81/C904^2</f>
        <v>1.3474779998743721E-2</v>
      </c>
      <c r="D905" s="252">
        <f>8*9.81/D904^2</f>
        <v>1.3474779998743721E-2</v>
      </c>
      <c r="E905" s="231">
        <f>8*9.81/E904^2</f>
        <v>1.3474779998743721E-2</v>
      </c>
      <c r="F905" s="251"/>
      <c r="G905" s="262" t="s">
        <v>235</v>
      </c>
      <c r="H905" s="263">
        <f>C901</f>
        <v>1.5393804002589984</v>
      </c>
      <c r="I905" s="263">
        <f>I911*I912</f>
        <v>7.8239999999999998</v>
      </c>
      <c r="J905" s="263">
        <f>H905/I905</f>
        <v>0.19675107365273498</v>
      </c>
      <c r="K905" s="280">
        <f ca="1">TREND(OFFSET($L$51,MATCH(J905,$K$52:$K$60),0,2,1),OFFSET($K$51,MATCH(J905,$K$52:$K$60),0,2,1),J905)</f>
        <v>0.64552317479035071</v>
      </c>
      <c r="L905" s="251"/>
      <c r="M905" s="278"/>
    </row>
    <row r="906" spans="1:15" ht="16.8" x14ac:dyDescent="0.25">
      <c r="A906" s="247"/>
      <c r="B906" s="248" t="s">
        <v>166</v>
      </c>
      <c r="C906" s="231">
        <f>C905*C897*C900^2/(4*C903*2*9.81)</f>
        <v>7.0054025068478132E-2</v>
      </c>
      <c r="D906" s="252">
        <f>D905*D897*D900^2/(4*D903*2*9.81)</f>
        <v>0.10945941416949709</v>
      </c>
      <c r="E906" s="231">
        <f>E905*E897*E900^2/(4*E903*2*9.81)</f>
        <v>1.1208644010956503E-2</v>
      </c>
      <c r="F906" s="251"/>
      <c r="G906" s="251"/>
      <c r="H906" s="251"/>
      <c r="I906" s="251"/>
      <c r="J906" s="251"/>
      <c r="K906" s="251"/>
      <c r="L906" s="251"/>
      <c r="M906" s="278"/>
      <c r="O906" s="281">
        <f>0.64-(0.64-0.4)/0.1*(J905-0.2)</f>
        <v>0.64779742323343614</v>
      </c>
    </row>
    <row r="907" spans="1:15" ht="14.4" x14ac:dyDescent="0.25">
      <c r="A907" s="247" t="s">
        <v>167</v>
      </c>
      <c r="B907" s="248" t="s">
        <v>168</v>
      </c>
      <c r="C907" s="264">
        <v>0.25</v>
      </c>
      <c r="D907" s="252">
        <f t="shared" ref="D907:E912" si="110">C907</f>
        <v>0.25</v>
      </c>
      <c r="E907" s="231">
        <f t="shared" si="110"/>
        <v>0.25</v>
      </c>
      <c r="F907" s="251"/>
      <c r="G907" s="251"/>
      <c r="H907" s="251"/>
      <c r="I907" s="251"/>
      <c r="J907" s="251"/>
      <c r="K907" s="251"/>
      <c r="L907" s="251"/>
      <c r="M907" s="278"/>
    </row>
    <row r="908" spans="1:15" ht="15.6" x14ac:dyDescent="0.25">
      <c r="A908" s="247"/>
      <c r="B908" s="248" t="s">
        <v>169</v>
      </c>
      <c r="C908" s="264">
        <f>0.1*2</f>
        <v>0.2</v>
      </c>
      <c r="D908" s="252">
        <f t="shared" si="110"/>
        <v>0.2</v>
      </c>
      <c r="E908" s="231">
        <f t="shared" si="110"/>
        <v>0.2</v>
      </c>
      <c r="F908" s="251"/>
      <c r="G908" s="383" t="s">
        <v>170</v>
      </c>
      <c r="H908" s="265" t="s">
        <v>171</v>
      </c>
      <c r="I908" s="282"/>
      <c r="J908" s="251"/>
      <c r="K908" s="238" t="s">
        <v>162</v>
      </c>
      <c r="L908" s="238" t="s">
        <v>163</v>
      </c>
      <c r="M908" s="278"/>
    </row>
    <row r="909" spans="1:15" ht="15.6" x14ac:dyDescent="0.25">
      <c r="A909" s="247"/>
      <c r="B909" s="248" t="s">
        <v>172</v>
      </c>
      <c r="C909" s="264">
        <v>0.02</v>
      </c>
      <c r="D909" s="252">
        <f t="shared" si="110"/>
        <v>0.02</v>
      </c>
      <c r="E909" s="231">
        <f t="shared" si="110"/>
        <v>0.02</v>
      </c>
      <c r="F909" s="251"/>
      <c r="G909" s="384"/>
      <c r="H909" s="266" t="s">
        <v>173</v>
      </c>
      <c r="I909" s="283">
        <v>1.1080000000000001</v>
      </c>
      <c r="J909" s="251"/>
      <c r="K909" s="238">
        <v>0.1</v>
      </c>
      <c r="L909" s="238">
        <v>0.81</v>
      </c>
      <c r="M909" s="278"/>
    </row>
    <row r="910" spans="1:15" ht="16.2" x14ac:dyDescent="0.25">
      <c r="A910" s="247"/>
      <c r="B910" s="248" t="s">
        <v>174</v>
      </c>
      <c r="C910" s="264">
        <v>0.1</v>
      </c>
      <c r="D910" s="252">
        <f t="shared" si="110"/>
        <v>0.1</v>
      </c>
      <c r="E910" s="231">
        <f t="shared" si="110"/>
        <v>0.1</v>
      </c>
      <c r="F910" s="251"/>
      <c r="G910" s="384"/>
      <c r="H910" s="266" t="s">
        <v>175</v>
      </c>
      <c r="I910" s="284"/>
      <c r="J910" s="251"/>
      <c r="K910" s="238">
        <v>0.2</v>
      </c>
      <c r="L910" s="238">
        <v>0.64</v>
      </c>
      <c r="M910" s="278"/>
    </row>
    <row r="911" spans="1:15" ht="15.6" x14ac:dyDescent="0.25">
      <c r="A911" s="247"/>
      <c r="B911" s="248" t="s">
        <v>176</v>
      </c>
      <c r="C911" s="264">
        <v>80</v>
      </c>
      <c r="D911" s="252">
        <f t="shared" si="110"/>
        <v>80</v>
      </c>
      <c r="E911" s="231">
        <f t="shared" si="110"/>
        <v>80</v>
      </c>
      <c r="F911" s="251"/>
      <c r="G911" s="384"/>
      <c r="H911" s="266" t="s">
        <v>177</v>
      </c>
      <c r="I911" s="283">
        <f>I909+1.5</f>
        <v>2.6080000000000001</v>
      </c>
      <c r="J911" s="251"/>
      <c r="K911" s="238">
        <v>0.3</v>
      </c>
      <c r="L911" s="238">
        <v>0.4</v>
      </c>
      <c r="M911" s="278"/>
    </row>
    <row r="912" spans="1:15" ht="15.6" x14ac:dyDescent="0.25">
      <c r="A912" s="247"/>
      <c r="B912" s="248" t="s">
        <v>178</v>
      </c>
      <c r="C912" s="264">
        <v>1.83</v>
      </c>
      <c r="D912" s="252">
        <f t="shared" si="110"/>
        <v>1.83</v>
      </c>
      <c r="E912" s="231">
        <f t="shared" si="110"/>
        <v>1.83</v>
      </c>
      <c r="F912" s="251"/>
      <c r="G912" s="384"/>
      <c r="H912" s="266" t="s">
        <v>179</v>
      </c>
      <c r="I912" s="283">
        <v>3</v>
      </c>
      <c r="K912" s="238">
        <v>0.4</v>
      </c>
      <c r="L912" s="238">
        <v>0.36</v>
      </c>
      <c r="M912" s="278"/>
    </row>
    <row r="913" spans="1:13" ht="16.8" x14ac:dyDescent="0.25">
      <c r="A913" s="247"/>
      <c r="B913" s="248" t="s">
        <v>180</v>
      </c>
      <c r="C913" s="231">
        <f>C912*(C909/C910)^(4/3)*SIN(C911/180*PI())</f>
        <v>0.21078637878092679</v>
      </c>
      <c r="D913" s="252">
        <f>D912*(D909/D910)^(4/3)*SIN(D911/180*PI())</f>
        <v>0.21078637878092679</v>
      </c>
      <c r="E913" s="231">
        <f>E912*(E909/E910)^(4/3)*SIN(E911/180*PI())</f>
        <v>0.21078637878092679</v>
      </c>
      <c r="F913" s="251"/>
      <c r="G913" s="384"/>
      <c r="H913" s="266" t="s">
        <v>181</v>
      </c>
      <c r="I913" s="284"/>
      <c r="K913" s="238">
        <v>0.5</v>
      </c>
      <c r="L913" s="238">
        <v>0.25</v>
      </c>
      <c r="M913" s="278"/>
    </row>
    <row r="914" spans="1:13" ht="15.6" x14ac:dyDescent="0.25">
      <c r="A914" s="247"/>
      <c r="B914" s="247" t="s">
        <v>182</v>
      </c>
      <c r="C914" s="231">
        <f ca="1">H943</f>
        <v>0.81167200571428577</v>
      </c>
      <c r="D914" s="252">
        <f t="shared" ref="D914:E916" ca="1" si="111">C914</f>
        <v>0.81167200571428577</v>
      </c>
      <c r="E914" s="231">
        <f t="shared" ca="1" si="111"/>
        <v>0.81167200571428577</v>
      </c>
      <c r="F914" s="251"/>
      <c r="G914" s="384"/>
      <c r="H914" s="266" t="s">
        <v>183</v>
      </c>
      <c r="I914" s="284"/>
      <c r="K914" s="238">
        <v>0.6</v>
      </c>
      <c r="L914" s="238">
        <v>0.16</v>
      </c>
      <c r="M914" s="278"/>
    </row>
    <row r="915" spans="1:13" ht="16.2" x14ac:dyDescent="0.25">
      <c r="A915" s="247"/>
      <c r="B915" s="247" t="s">
        <v>184</v>
      </c>
      <c r="C915" s="264">
        <f ca="1">K905</f>
        <v>0.64552317479035071</v>
      </c>
      <c r="D915" s="252">
        <f t="shared" ca="1" si="111"/>
        <v>0.64552317479035071</v>
      </c>
      <c r="E915" s="231">
        <f t="shared" ca="1" si="111"/>
        <v>0.64552317479035071</v>
      </c>
      <c r="F915" s="251"/>
      <c r="G915" s="385"/>
      <c r="H915" s="266" t="s">
        <v>185</v>
      </c>
      <c r="I915" s="284"/>
      <c r="K915" s="238">
        <v>0.7</v>
      </c>
      <c r="L915" s="238">
        <v>0.09</v>
      </c>
      <c r="M915" s="278"/>
    </row>
    <row r="916" spans="1:13" ht="16.2" x14ac:dyDescent="0.25">
      <c r="A916" s="247"/>
      <c r="B916" s="248" t="s">
        <v>186</v>
      </c>
      <c r="C916" s="264">
        <f>0.1*1</f>
        <v>0.1</v>
      </c>
      <c r="D916" s="252">
        <f t="shared" si="111"/>
        <v>0.1</v>
      </c>
      <c r="E916" s="231">
        <f t="shared" si="111"/>
        <v>0.1</v>
      </c>
      <c r="F916" s="251"/>
      <c r="G916" s="386"/>
      <c r="H916" s="267" t="s">
        <v>187</v>
      </c>
      <c r="I916" s="285"/>
      <c r="J916" s="251"/>
      <c r="K916" s="238">
        <v>0.8</v>
      </c>
      <c r="L916" s="238">
        <v>0.04</v>
      </c>
      <c r="M916" s="278"/>
    </row>
    <row r="917" spans="1:13" ht="14.4" x14ac:dyDescent="0.25">
      <c r="A917" s="247"/>
      <c r="B917" s="248" t="s">
        <v>188</v>
      </c>
      <c r="C917" s="231">
        <f ca="1">C916+C913+C908+C907+C915+C914</f>
        <v>2.2179815592855632</v>
      </c>
      <c r="D917" s="252">
        <f ca="1">D916+D913+D908+D907+D915+D914</f>
        <v>2.2179815592855632</v>
      </c>
      <c r="E917" s="231">
        <f ca="1">E916+E913+E908+E907+E915+E914</f>
        <v>2.2179815592855632</v>
      </c>
      <c r="F917" s="251"/>
      <c r="G917" s="251"/>
      <c r="H917" s="251"/>
      <c r="I917" s="251"/>
      <c r="J917" s="251"/>
      <c r="K917" s="238">
        <v>0.9</v>
      </c>
      <c r="L917" s="238">
        <v>0.01</v>
      </c>
      <c r="M917" s="278"/>
    </row>
    <row r="918" spans="1:13" ht="16.8" x14ac:dyDescent="0.25">
      <c r="A918" s="247"/>
      <c r="B918" s="248" t="s">
        <v>189</v>
      </c>
      <c r="C918" s="231">
        <f ca="1">C917*C900^2/2/9.81</f>
        <v>6.8695693884028838E-2</v>
      </c>
      <c r="D918" s="252">
        <f ca="1">D917*D900^2/2/9.81</f>
        <v>0.10733702169379505</v>
      </c>
      <c r="E918" s="231">
        <f ca="1">E917*E900^2/2/9.81</f>
        <v>1.0991311021444615E-2</v>
      </c>
      <c r="F918" s="251"/>
      <c r="G918" s="251"/>
      <c r="H918" s="251"/>
      <c r="I918" s="251"/>
      <c r="J918" s="251"/>
      <c r="K918" s="251"/>
      <c r="L918" s="251"/>
      <c r="M918" s="278"/>
    </row>
    <row r="919" spans="1:13" ht="14.4" x14ac:dyDescent="0.25">
      <c r="A919" s="268" t="s">
        <v>190</v>
      </c>
      <c r="B919" s="269" t="s">
        <v>191</v>
      </c>
      <c r="C919" s="270">
        <f ca="1">C906+C918</f>
        <v>0.13874971895250698</v>
      </c>
      <c r="D919" s="270">
        <f ca="1">D906+D918</f>
        <v>0.21679643586329214</v>
      </c>
      <c r="E919" s="271">
        <f ca="1">E906+E918</f>
        <v>2.2199955032401117E-2</v>
      </c>
      <c r="F919" s="251"/>
      <c r="G919" s="272" t="s">
        <v>192</v>
      </c>
      <c r="H919" s="241">
        <v>0.12</v>
      </c>
      <c r="I919" s="251"/>
      <c r="J919" s="251"/>
      <c r="K919" s="251"/>
      <c r="L919" s="251"/>
      <c r="M919" s="278"/>
    </row>
    <row r="920" spans="1:13" ht="14.4" x14ac:dyDescent="0.25">
      <c r="A920" s="273" t="s">
        <v>193</v>
      </c>
      <c r="B920" s="274"/>
      <c r="C920" s="231">
        <f ca="1">C919+(C900^2-D875^2)/(2*9.81)</f>
        <v>-2.4307066652917051</v>
      </c>
      <c r="D920" s="252">
        <f ca="1">D919+(D900^2-D874^2)/(2*9.81)</f>
        <v>-2.3352381047916464</v>
      </c>
      <c r="E920" s="231">
        <f ca="1">E919+(E900^2-D876^2)/(2*9.81)</f>
        <v>2.7155501653350046E-2</v>
      </c>
      <c r="F920" s="251"/>
      <c r="G920" s="251"/>
      <c r="H920" s="251"/>
      <c r="I920" s="251"/>
      <c r="J920" s="251"/>
      <c r="K920" s="251"/>
      <c r="L920" s="251"/>
      <c r="M920" s="278"/>
    </row>
    <row r="921" spans="1:13" ht="14.4" x14ac:dyDescent="0.25">
      <c r="A921" s="273" t="s">
        <v>194</v>
      </c>
      <c r="B921" s="274"/>
      <c r="C921" s="231">
        <f ca="1">C920+C883-D883</f>
        <v>-2.4307066652917051</v>
      </c>
      <c r="D921" s="252">
        <f ca="1">D920+C881-D881</f>
        <v>-2.3352381047916464</v>
      </c>
      <c r="E921" s="231">
        <f ca="1">E920+C885-D885</f>
        <v>2.7155501653350046E-2</v>
      </c>
      <c r="F921" s="251"/>
      <c r="G921" s="251"/>
      <c r="H921" s="251"/>
      <c r="I921" s="251"/>
      <c r="J921" s="251"/>
      <c r="K921" s="251"/>
      <c r="L921" s="251"/>
      <c r="M921" s="278"/>
    </row>
    <row r="922" spans="1:13" x14ac:dyDescent="0.25">
      <c r="A922" s="286"/>
      <c r="B922" s="287"/>
      <c r="C922" s="251"/>
      <c r="D922" s="251"/>
      <c r="E922" s="251"/>
      <c r="F922" s="251"/>
      <c r="G922" s="251"/>
      <c r="H922" s="251"/>
      <c r="I922" s="251"/>
      <c r="J922" s="251"/>
      <c r="K922" s="251"/>
      <c r="L922" s="251"/>
      <c r="M922" s="278"/>
    </row>
    <row r="923" spans="1:13" ht="18" x14ac:dyDescent="0.4">
      <c r="A923" s="288"/>
      <c r="B923" s="289" t="s">
        <v>26</v>
      </c>
      <c r="C923" s="289" t="s">
        <v>195</v>
      </c>
      <c r="D923" s="289" t="s">
        <v>196</v>
      </c>
      <c r="E923" s="289" t="s">
        <v>197</v>
      </c>
      <c r="F923" s="289" t="s">
        <v>198</v>
      </c>
      <c r="G923" s="289" t="s">
        <v>199</v>
      </c>
      <c r="H923" s="289" t="s">
        <v>200</v>
      </c>
      <c r="I923" s="251"/>
      <c r="J923" s="289" t="s">
        <v>201</v>
      </c>
      <c r="K923" s="289" t="s">
        <v>202</v>
      </c>
      <c r="L923" s="289" t="s">
        <v>197</v>
      </c>
      <c r="M923" s="292" t="s">
        <v>199</v>
      </c>
    </row>
    <row r="924" spans="1:13" x14ac:dyDescent="0.25">
      <c r="A924" s="288">
        <v>1</v>
      </c>
      <c r="B924" s="264">
        <v>10</v>
      </c>
      <c r="C924" s="290">
        <f>C899</f>
        <v>1.4</v>
      </c>
      <c r="D924" s="290">
        <f t="shared" ref="D924:D931" si="112">B924/C924</f>
        <v>7.1428571428571432</v>
      </c>
      <c r="E924" s="264">
        <v>3.4169999999999998</v>
      </c>
      <c r="F924" s="290">
        <f t="shared" ref="F924:F931" ca="1" si="113">TREND(OFFSET($K$66,MATCH(D924,$J$67:$J$79),0,2,1),OFFSET($J$66,MATCH(D924,$J$67:$J$79),0,2,1),D924)</f>
        <v>0.26857142857142857</v>
      </c>
      <c r="G924" s="290">
        <f ca="1">TREND(OFFSET($M$66,MATCH(E924,$L$67:$L$80),0,2,1),OFFSET($L$66,MATCH(E924,$L$67:$L$80),0,2,1),E924)</f>
        <v>8.5425000000000001E-2</v>
      </c>
      <c r="H924" s="290">
        <f t="shared" ref="H924:H931" ca="1" si="114">F924*G924</f>
        <v>2.2942714285714285E-2</v>
      </c>
      <c r="I924" s="251"/>
      <c r="J924" s="289">
        <v>0.5</v>
      </c>
      <c r="K924" s="289">
        <v>1.2</v>
      </c>
      <c r="L924" s="289">
        <v>0</v>
      </c>
      <c r="M924" s="292">
        <v>0</v>
      </c>
    </row>
    <row r="925" spans="1:13" x14ac:dyDescent="0.25">
      <c r="A925" s="288">
        <v>2</v>
      </c>
      <c r="B925" s="264">
        <v>10</v>
      </c>
      <c r="C925" s="290">
        <f t="shared" ref="C925:C931" si="115">C924</f>
        <v>1.4</v>
      </c>
      <c r="D925" s="290">
        <f t="shared" si="112"/>
        <v>7.1428571428571432</v>
      </c>
      <c r="E925" s="264">
        <v>3.5350000000000001</v>
      </c>
      <c r="F925" s="290">
        <f t="shared" ca="1" si="113"/>
        <v>0.26857142857142857</v>
      </c>
      <c r="G925" s="290">
        <f t="shared" ref="G925:G931" ca="1" si="116">TREND(OFFSET($M$66,MATCH(E925,$L$67:$L$79),0,2,1),OFFSET($L$66,MATCH(E925,$L$67:$L$79),0,2,1),E925)</f>
        <v>8.8375000000000009E-2</v>
      </c>
      <c r="H925" s="290">
        <f t="shared" ca="1" si="114"/>
        <v>2.3735000000000003E-2</v>
      </c>
      <c r="I925" s="251"/>
      <c r="J925" s="289">
        <v>1</v>
      </c>
      <c r="K925" s="289">
        <v>0.8</v>
      </c>
      <c r="L925" s="289">
        <v>5</v>
      </c>
      <c r="M925" s="292">
        <v>0.125</v>
      </c>
    </row>
    <row r="926" spans="1:13" x14ac:dyDescent="0.25">
      <c r="A926" s="288">
        <v>3</v>
      </c>
      <c r="B926" s="264">
        <v>10</v>
      </c>
      <c r="C926" s="290">
        <f t="shared" si="115"/>
        <v>1.4</v>
      </c>
      <c r="D926" s="290">
        <f t="shared" si="112"/>
        <v>7.1428571428571432</v>
      </c>
      <c r="E926" s="264">
        <v>11.093999999999999</v>
      </c>
      <c r="F926" s="290">
        <f t="shared" ca="1" si="113"/>
        <v>0.26857142857142857</v>
      </c>
      <c r="G926" s="290">
        <f t="shared" ca="1" si="116"/>
        <v>0.24859800000000001</v>
      </c>
      <c r="H926" s="290">
        <f t="shared" ca="1" si="114"/>
        <v>6.6766320000000004E-2</v>
      </c>
      <c r="I926" s="251"/>
      <c r="J926" s="289">
        <v>1.5</v>
      </c>
      <c r="K926" s="289">
        <v>0.6</v>
      </c>
      <c r="L926" s="289">
        <v>10</v>
      </c>
      <c r="M926" s="292">
        <v>0.23</v>
      </c>
    </row>
    <row r="927" spans="1:13" x14ac:dyDescent="0.25">
      <c r="A927" s="288">
        <v>4</v>
      </c>
      <c r="B927" s="264">
        <v>10</v>
      </c>
      <c r="C927" s="290">
        <f t="shared" si="115"/>
        <v>1.4</v>
      </c>
      <c r="D927" s="290">
        <f t="shared" si="112"/>
        <v>7.1428571428571432</v>
      </c>
      <c r="E927" s="264">
        <v>12.08</v>
      </c>
      <c r="F927" s="290">
        <f t="shared" ca="1" si="113"/>
        <v>0.26857142857142857</v>
      </c>
      <c r="G927" s="290">
        <f t="shared" ca="1" si="116"/>
        <v>0.26536000000000004</v>
      </c>
      <c r="H927" s="290">
        <f t="shared" ca="1" si="114"/>
        <v>7.1268114285714293E-2</v>
      </c>
      <c r="I927" s="251"/>
      <c r="J927" s="289">
        <v>2</v>
      </c>
      <c r="K927" s="289">
        <v>0.48</v>
      </c>
      <c r="L927" s="289">
        <v>20</v>
      </c>
      <c r="M927" s="292">
        <v>0.4</v>
      </c>
    </row>
    <row r="928" spans="1:13" x14ac:dyDescent="0.25">
      <c r="A928" s="288">
        <v>5</v>
      </c>
      <c r="B928" s="264">
        <v>10</v>
      </c>
      <c r="C928" s="290">
        <f t="shared" si="115"/>
        <v>1.4</v>
      </c>
      <c r="D928" s="290">
        <f t="shared" si="112"/>
        <v>7.1428571428571432</v>
      </c>
      <c r="E928" s="264">
        <v>34.859000000000002</v>
      </c>
      <c r="F928" s="290">
        <f t="shared" ca="1" si="113"/>
        <v>0.26857142857142857</v>
      </c>
      <c r="G928" s="290">
        <f t="shared" ca="1" si="116"/>
        <v>0.59859000000000018</v>
      </c>
      <c r="H928" s="290">
        <f t="shared" ca="1" si="114"/>
        <v>0.16076417142857147</v>
      </c>
      <c r="I928" s="251"/>
      <c r="J928" s="289">
        <v>3</v>
      </c>
      <c r="K928" s="289">
        <v>0.36</v>
      </c>
      <c r="L928" s="289">
        <v>30</v>
      </c>
      <c r="M928" s="292">
        <v>0.55000000000000004</v>
      </c>
    </row>
    <row r="929" spans="1:13" x14ac:dyDescent="0.25">
      <c r="A929" s="288">
        <v>6</v>
      </c>
      <c r="B929" s="264">
        <v>10</v>
      </c>
      <c r="C929" s="290">
        <f t="shared" si="115"/>
        <v>1.4</v>
      </c>
      <c r="D929" s="290">
        <f t="shared" si="112"/>
        <v>7.1428571428571432</v>
      </c>
      <c r="E929" s="264">
        <v>29.728999999999999</v>
      </c>
      <c r="F929" s="290">
        <f t="shared" ca="1" si="113"/>
        <v>0.26857142857142857</v>
      </c>
      <c r="G929" s="290">
        <f t="shared" ca="1" si="116"/>
        <v>0.54593500000000006</v>
      </c>
      <c r="H929" s="290">
        <f t="shared" ca="1" si="114"/>
        <v>0.14662254285714288</v>
      </c>
      <c r="I929" s="251"/>
      <c r="J929" s="289">
        <v>4</v>
      </c>
      <c r="K929" s="289">
        <v>0.3</v>
      </c>
      <c r="L929" s="289">
        <v>40</v>
      </c>
      <c r="M929" s="292">
        <v>0.65</v>
      </c>
    </row>
    <row r="930" spans="1:13" x14ac:dyDescent="0.25">
      <c r="A930" s="288">
        <v>7</v>
      </c>
      <c r="B930" s="264">
        <v>10</v>
      </c>
      <c r="C930" s="290">
        <f t="shared" si="115"/>
        <v>1.4</v>
      </c>
      <c r="D930" s="290">
        <f t="shared" si="112"/>
        <v>7.1428571428571432</v>
      </c>
      <c r="E930" s="264">
        <v>26.972000000000001</v>
      </c>
      <c r="F930" s="290">
        <f t="shared" ca="1" si="113"/>
        <v>0.26857142857142857</v>
      </c>
      <c r="G930" s="290">
        <f t="shared" ca="1" si="116"/>
        <v>0.50458000000000003</v>
      </c>
      <c r="H930" s="290">
        <f t="shared" ca="1" si="114"/>
        <v>0.13551577142857144</v>
      </c>
      <c r="I930" s="251"/>
      <c r="J930" s="289">
        <v>5</v>
      </c>
      <c r="K930" s="289">
        <v>0.28999999999999998</v>
      </c>
      <c r="L930" s="289">
        <v>50</v>
      </c>
      <c r="M930" s="292">
        <v>0.75</v>
      </c>
    </row>
    <row r="931" spans="1:13" x14ac:dyDescent="0.25">
      <c r="A931" s="288">
        <v>8</v>
      </c>
      <c r="B931" s="264">
        <v>10</v>
      </c>
      <c r="C931" s="290">
        <f t="shared" si="115"/>
        <v>1.4</v>
      </c>
      <c r="D931" s="290">
        <f t="shared" si="112"/>
        <v>7.1428571428571432</v>
      </c>
      <c r="E931" s="264">
        <v>43.531999999999996</v>
      </c>
      <c r="F931" s="290">
        <f t="shared" ca="1" si="113"/>
        <v>0.26857142857142857</v>
      </c>
      <c r="G931" s="290">
        <f t="shared" ca="1" si="116"/>
        <v>0.68531999999999993</v>
      </c>
      <c r="H931" s="290">
        <f t="shared" ca="1" si="114"/>
        <v>0.1840573714285714</v>
      </c>
      <c r="I931" s="251"/>
      <c r="J931" s="289">
        <v>6</v>
      </c>
      <c r="K931" s="289">
        <v>0.28000000000000003</v>
      </c>
      <c r="L931" s="289">
        <v>60</v>
      </c>
      <c r="M931" s="292">
        <v>0.83</v>
      </c>
    </row>
    <row r="932" spans="1:13" x14ac:dyDescent="0.25">
      <c r="A932" s="288"/>
      <c r="B932" s="264"/>
      <c r="C932" s="290"/>
      <c r="D932" s="290"/>
      <c r="E932" s="264"/>
      <c r="F932" s="290"/>
      <c r="G932" s="290"/>
      <c r="H932" s="290"/>
      <c r="I932" s="251"/>
      <c r="J932" s="289">
        <v>7</v>
      </c>
      <c r="K932" s="289">
        <v>0.27</v>
      </c>
      <c r="L932" s="289">
        <v>70</v>
      </c>
      <c r="M932" s="292">
        <v>0.88</v>
      </c>
    </row>
    <row r="933" spans="1:13" x14ac:dyDescent="0.25">
      <c r="A933" s="288"/>
      <c r="B933" s="264"/>
      <c r="C933" s="290"/>
      <c r="D933" s="290"/>
      <c r="E933" s="264"/>
      <c r="F933" s="290"/>
      <c r="G933" s="290"/>
      <c r="H933" s="290"/>
      <c r="I933" s="251"/>
      <c r="J933" s="289">
        <v>8</v>
      </c>
      <c r="K933" s="289">
        <v>0.26</v>
      </c>
      <c r="L933" s="289">
        <v>80</v>
      </c>
      <c r="M933" s="292">
        <v>0.95</v>
      </c>
    </row>
    <row r="934" spans="1:13" x14ac:dyDescent="0.25">
      <c r="A934" s="288"/>
      <c r="B934" s="264"/>
      <c r="C934" s="290"/>
      <c r="D934" s="290"/>
      <c r="E934" s="264"/>
      <c r="F934" s="290"/>
      <c r="G934" s="290"/>
      <c r="H934" s="290"/>
      <c r="I934" s="251"/>
      <c r="J934" s="289">
        <v>9</v>
      </c>
      <c r="K934" s="289">
        <v>0.25</v>
      </c>
      <c r="L934" s="289">
        <v>90</v>
      </c>
      <c r="M934" s="292">
        <v>1</v>
      </c>
    </row>
    <row r="935" spans="1:13" x14ac:dyDescent="0.25">
      <c r="A935" s="288"/>
      <c r="B935" s="264"/>
      <c r="C935" s="290"/>
      <c r="D935" s="290"/>
      <c r="E935" s="264"/>
      <c r="F935" s="290"/>
      <c r="G935" s="290"/>
      <c r="H935" s="290"/>
      <c r="I935" s="251"/>
      <c r="J935" s="289">
        <v>10</v>
      </c>
      <c r="K935" s="289">
        <v>0.24</v>
      </c>
      <c r="L935" s="289">
        <v>100</v>
      </c>
      <c r="M935" s="292">
        <v>1.05</v>
      </c>
    </row>
    <row r="936" spans="1:13" x14ac:dyDescent="0.25">
      <c r="A936" s="288"/>
      <c r="B936" s="264"/>
      <c r="C936" s="290"/>
      <c r="D936" s="290"/>
      <c r="E936" s="264"/>
      <c r="F936" s="290"/>
      <c r="G936" s="290"/>
      <c r="H936" s="290"/>
      <c r="I936" s="251"/>
      <c r="J936" s="289">
        <v>11</v>
      </c>
      <c r="K936" s="289">
        <v>0.23</v>
      </c>
      <c r="L936" s="289">
        <v>120</v>
      </c>
      <c r="M936" s="292">
        <v>1.1299999999999999</v>
      </c>
    </row>
    <row r="937" spans="1:13" x14ac:dyDescent="0.25">
      <c r="A937" s="288"/>
      <c r="B937" s="264"/>
      <c r="C937" s="290"/>
      <c r="D937" s="290"/>
      <c r="E937" s="264"/>
      <c r="F937" s="290"/>
      <c r="G937" s="290"/>
      <c r="H937" s="290"/>
      <c r="I937" s="251"/>
      <c r="J937" s="289"/>
      <c r="K937" s="289"/>
      <c r="L937" s="289">
        <v>140</v>
      </c>
      <c r="M937" s="292">
        <v>1.2</v>
      </c>
    </row>
    <row r="938" spans="1:13" x14ac:dyDescent="0.25">
      <c r="A938" s="288"/>
      <c r="B938" s="264"/>
      <c r="C938" s="290"/>
      <c r="D938" s="290"/>
      <c r="E938" s="264"/>
      <c r="F938" s="290"/>
      <c r="G938" s="290"/>
      <c r="H938" s="290"/>
      <c r="I938" s="251"/>
      <c r="J938" s="251"/>
      <c r="K938" s="251"/>
      <c r="L938" s="251"/>
      <c r="M938" s="278"/>
    </row>
    <row r="939" spans="1:13" x14ac:dyDescent="0.25">
      <c r="A939" s="288"/>
      <c r="B939" s="264"/>
      <c r="C939" s="290"/>
      <c r="D939" s="290"/>
      <c r="E939" s="264"/>
      <c r="F939" s="290"/>
      <c r="G939" s="290"/>
      <c r="H939" s="290"/>
      <c r="I939" s="251"/>
      <c r="J939" s="251"/>
      <c r="K939" s="251"/>
      <c r="L939" s="251"/>
      <c r="M939" s="278"/>
    </row>
    <row r="940" spans="1:13" x14ac:dyDescent="0.25">
      <c r="A940" s="288"/>
      <c r="B940" s="264"/>
      <c r="C940" s="290"/>
      <c r="D940" s="290"/>
      <c r="E940" s="264"/>
      <c r="F940" s="290"/>
      <c r="G940" s="290"/>
      <c r="H940" s="290"/>
      <c r="I940" s="251"/>
      <c r="J940" s="251"/>
      <c r="K940" s="251"/>
      <c r="L940" s="251"/>
      <c r="M940" s="278"/>
    </row>
    <row r="941" spans="1:13" x14ac:dyDescent="0.25">
      <c r="A941" s="288"/>
      <c r="B941" s="264"/>
      <c r="C941" s="290"/>
      <c r="D941" s="290"/>
      <c r="E941" s="264"/>
      <c r="F941" s="290"/>
      <c r="G941" s="290"/>
      <c r="H941" s="290"/>
      <c r="I941" s="251"/>
      <c r="J941" s="251"/>
      <c r="K941" s="251"/>
      <c r="L941" s="251"/>
      <c r="M941" s="278"/>
    </row>
    <row r="942" spans="1:13" x14ac:dyDescent="0.25">
      <c r="A942" s="288"/>
      <c r="B942" s="264"/>
      <c r="C942" s="290"/>
      <c r="D942" s="290"/>
      <c r="E942" s="264"/>
      <c r="F942" s="290"/>
      <c r="G942" s="290"/>
      <c r="H942" s="290"/>
      <c r="I942" s="251"/>
      <c r="J942" s="251"/>
      <c r="K942" s="251"/>
      <c r="L942" s="251"/>
      <c r="M942" s="278"/>
    </row>
    <row r="943" spans="1:13" ht="16.2" x14ac:dyDescent="0.3">
      <c r="A943" s="387" t="s">
        <v>203</v>
      </c>
      <c r="B943" s="388"/>
      <c r="C943" s="388"/>
      <c r="D943" s="388"/>
      <c r="E943" s="388"/>
      <c r="F943" s="388"/>
      <c r="G943" s="388"/>
      <c r="H943" s="291">
        <f ca="1">SUM(H924:H942)</f>
        <v>0.81167200571428577</v>
      </c>
      <c r="I943" s="293"/>
      <c r="J943" s="293"/>
      <c r="K943" s="293"/>
      <c r="L943" s="293"/>
      <c r="M943" s="294"/>
    </row>
    <row r="946" spans="1:13" ht="14.4" x14ac:dyDescent="0.25">
      <c r="A946" s="244" t="s">
        <v>236</v>
      </c>
      <c r="C946" s="240"/>
    </row>
    <row r="947" spans="1:13" x14ac:dyDescent="0.25">
      <c r="A947" s="245" t="s">
        <v>138</v>
      </c>
      <c r="B947" s="246"/>
      <c r="C947" s="246"/>
      <c r="D947" s="246"/>
      <c r="E947" s="246"/>
      <c r="F947" s="246"/>
      <c r="G947" s="246"/>
      <c r="H947" s="246"/>
      <c r="I947" s="246"/>
      <c r="J947" s="246"/>
      <c r="K947" s="246"/>
      <c r="L947" s="246"/>
      <c r="M947" s="277"/>
    </row>
    <row r="948" spans="1:13" ht="14.4" x14ac:dyDescent="0.25">
      <c r="A948" s="247" t="s">
        <v>139</v>
      </c>
      <c r="B948" s="248"/>
      <c r="C948" s="249" t="s">
        <v>140</v>
      </c>
      <c r="D948" s="250" t="s">
        <v>141</v>
      </c>
      <c r="E948" s="249" t="s">
        <v>142</v>
      </c>
      <c r="F948" s="251"/>
      <c r="G948" s="251"/>
      <c r="H948" s="251"/>
      <c r="I948" s="251"/>
      <c r="J948" s="251"/>
      <c r="K948" s="251"/>
      <c r="L948" s="251"/>
      <c r="M948" s="278"/>
    </row>
    <row r="949" spans="1:13" ht="14.4" x14ac:dyDescent="0.25">
      <c r="A949" s="247"/>
      <c r="B949" s="248" t="s">
        <v>143</v>
      </c>
      <c r="C949" s="229">
        <v>0.36</v>
      </c>
      <c r="D949" s="252">
        <f>C949*1.35</f>
        <v>0.48599999999999999</v>
      </c>
      <c r="E949" s="231">
        <f>C949*0.4</f>
        <v>0.14399999999999999</v>
      </c>
      <c r="F949" s="251"/>
      <c r="G949" s="251"/>
      <c r="H949" s="251"/>
      <c r="I949" s="251"/>
      <c r="J949" s="251"/>
      <c r="K949" s="251"/>
      <c r="L949" s="251"/>
      <c r="M949" s="278"/>
    </row>
    <row r="950" spans="1:13" ht="14.4" x14ac:dyDescent="0.25">
      <c r="A950" s="247"/>
      <c r="B950" s="248" t="s">
        <v>144</v>
      </c>
      <c r="C950" s="253">
        <v>1</v>
      </c>
      <c r="D950" s="254">
        <f>C950</f>
        <v>1</v>
      </c>
      <c r="E950" s="255">
        <f>D950</f>
        <v>1</v>
      </c>
      <c r="F950" s="251"/>
      <c r="G950" s="251"/>
      <c r="H950" s="251"/>
      <c r="I950" s="251"/>
      <c r="J950" s="251"/>
      <c r="K950" s="251"/>
      <c r="L950" s="251"/>
      <c r="M950" s="278"/>
    </row>
    <row r="951" spans="1:13" ht="14.4" x14ac:dyDescent="0.25">
      <c r="A951" s="247"/>
      <c r="B951" s="248" t="s">
        <v>145</v>
      </c>
      <c r="C951" s="231">
        <f>C949/C950</f>
        <v>0.36</v>
      </c>
      <c r="D951" s="252">
        <f>D949/D950</f>
        <v>0.48599999999999999</v>
      </c>
      <c r="E951" s="231">
        <f>E949/E950</f>
        <v>0.14399999999999999</v>
      </c>
      <c r="F951" s="251"/>
      <c r="G951" s="251"/>
      <c r="H951" s="251"/>
      <c r="I951" s="251"/>
      <c r="J951" s="251"/>
      <c r="K951" s="251"/>
      <c r="L951" s="251"/>
      <c r="M951" s="278"/>
    </row>
    <row r="952" spans="1:13" ht="14.4" x14ac:dyDescent="0.25">
      <c r="A952" s="247"/>
      <c r="B952" s="248" t="s">
        <v>146</v>
      </c>
      <c r="C952" s="256">
        <v>677</v>
      </c>
      <c r="D952" s="252">
        <f t="shared" ref="D952:E954" si="117">C952</f>
        <v>677</v>
      </c>
      <c r="E952" s="231">
        <f t="shared" si="117"/>
        <v>677</v>
      </c>
      <c r="F952" s="251"/>
      <c r="G952" s="251"/>
      <c r="H952" s="251"/>
      <c r="I952" s="251"/>
      <c r="J952" s="251"/>
      <c r="K952" s="251"/>
      <c r="L952" s="251"/>
      <c r="M952" s="278"/>
    </row>
    <row r="953" spans="1:13" ht="14.4" x14ac:dyDescent="0.25">
      <c r="A953" s="247"/>
      <c r="B953" s="248" t="s">
        <v>134</v>
      </c>
      <c r="C953" s="295">
        <f>$G$32</f>
        <v>1.0999999999999999E-2</v>
      </c>
      <c r="D953" s="258">
        <f t="shared" si="117"/>
        <v>1.0999999999999999E-2</v>
      </c>
      <c r="E953" s="258">
        <f t="shared" si="117"/>
        <v>1.0999999999999999E-2</v>
      </c>
      <c r="F953" s="251"/>
      <c r="G953" s="251"/>
      <c r="H953" s="251"/>
      <c r="I953" s="251"/>
      <c r="J953" s="251"/>
      <c r="K953" s="251"/>
      <c r="L953" s="251"/>
      <c r="M953" s="278"/>
    </row>
    <row r="954" spans="1:13" ht="14.4" x14ac:dyDescent="0.25">
      <c r="A954" s="247"/>
      <c r="B954" s="248" t="s">
        <v>147</v>
      </c>
      <c r="C954" s="229">
        <v>1</v>
      </c>
      <c r="D954" s="252">
        <f t="shared" si="117"/>
        <v>1</v>
      </c>
      <c r="E954" s="231">
        <f t="shared" si="117"/>
        <v>1</v>
      </c>
      <c r="F954" s="251"/>
      <c r="G954" s="251"/>
      <c r="H954" s="251"/>
      <c r="I954" s="251"/>
      <c r="J954" s="251"/>
      <c r="K954" s="251"/>
      <c r="L954" s="251"/>
      <c r="M954" s="278"/>
    </row>
    <row r="955" spans="1:13" ht="14.4" x14ac:dyDescent="0.25">
      <c r="A955" s="247"/>
      <c r="B955" s="248" t="s">
        <v>148</v>
      </c>
      <c r="C955" s="252">
        <f>4*C951/(C954^2*PI())</f>
        <v>0.45836623610465854</v>
      </c>
      <c r="D955" s="252">
        <f>4*D951/(D954^2*PI())</f>
        <v>0.61879441874128904</v>
      </c>
      <c r="E955" s="252">
        <f>4*E951/(E954^2*PI())</f>
        <v>0.18334649444186343</v>
      </c>
      <c r="F955" s="251"/>
      <c r="G955" s="251"/>
      <c r="H955" s="251"/>
      <c r="I955" s="251"/>
      <c r="J955" s="251"/>
      <c r="K955" s="251"/>
      <c r="L955" s="251"/>
      <c r="M955" s="278"/>
    </row>
    <row r="956" spans="1:13" ht="14.4" x14ac:dyDescent="0.25">
      <c r="A956" s="247"/>
      <c r="B956" s="248" t="s">
        <v>149</v>
      </c>
      <c r="C956" s="231">
        <f>C951/C955</f>
        <v>0.78539816339744828</v>
      </c>
      <c r="D956" s="252">
        <f>D951/D955</f>
        <v>0.78539816339744828</v>
      </c>
      <c r="E956" s="231">
        <f>E951/E955</f>
        <v>0.78539816339744817</v>
      </c>
      <c r="F956" s="251"/>
      <c r="G956" s="251"/>
      <c r="H956" s="251"/>
      <c r="I956" s="251"/>
      <c r="J956" s="251"/>
      <c r="K956" s="251"/>
      <c r="L956" s="251"/>
      <c r="M956" s="278"/>
    </row>
    <row r="957" spans="1:13" ht="14.4" x14ac:dyDescent="0.25">
      <c r="A957" s="247" t="s">
        <v>150</v>
      </c>
      <c r="B957" s="248"/>
      <c r="C957" s="248"/>
      <c r="D957" s="259"/>
      <c r="E957" s="248"/>
      <c r="F957" s="251"/>
      <c r="G957" s="389" t="s">
        <v>151</v>
      </c>
      <c r="H957" s="390"/>
      <c r="I957" s="390"/>
      <c r="J957" s="390"/>
      <c r="K957" s="391"/>
      <c r="L957" s="251"/>
      <c r="M957" s="278"/>
    </row>
    <row r="958" spans="1:13" ht="14.4" x14ac:dyDescent="0.25">
      <c r="A958" s="247" t="s">
        <v>152</v>
      </c>
      <c r="B958" s="248" t="s">
        <v>153</v>
      </c>
      <c r="C958" s="231">
        <f>C954/4</f>
        <v>0.25</v>
      </c>
      <c r="D958" s="252">
        <f>D954/4</f>
        <v>0.25</v>
      </c>
      <c r="E958" s="231">
        <f>E954/4</f>
        <v>0.25</v>
      </c>
      <c r="F958" s="251"/>
      <c r="G958" s="381" t="s">
        <v>154</v>
      </c>
      <c r="H958" s="260" t="s">
        <v>155</v>
      </c>
      <c r="I958" s="261" t="s">
        <v>156</v>
      </c>
      <c r="J958" s="261" t="s">
        <v>157</v>
      </c>
      <c r="K958" s="279" t="s">
        <v>158</v>
      </c>
      <c r="L958" s="251"/>
      <c r="M958" s="278"/>
    </row>
    <row r="959" spans="1:13" ht="16.8" x14ac:dyDescent="0.25">
      <c r="A959" s="247"/>
      <c r="B959" s="248" t="s">
        <v>159</v>
      </c>
      <c r="C959" s="231">
        <f>C958^(1/6)/C953</f>
        <v>72.154593271281797</v>
      </c>
      <c r="D959" s="252">
        <f>D958^(1/6)/D953</f>
        <v>72.154593271281797</v>
      </c>
      <c r="E959" s="231">
        <f>E958^(1/6)/E953</f>
        <v>72.154593271281797</v>
      </c>
      <c r="F959" s="251"/>
      <c r="G959" s="382"/>
      <c r="H959" s="261" t="s">
        <v>160</v>
      </c>
      <c r="I959" s="261" t="s">
        <v>161</v>
      </c>
      <c r="J959" s="261" t="s">
        <v>162</v>
      </c>
      <c r="K959" s="279" t="s">
        <v>163</v>
      </c>
      <c r="L959" s="251"/>
      <c r="M959" s="278"/>
    </row>
    <row r="960" spans="1:13" ht="16.8" x14ac:dyDescent="0.25">
      <c r="A960" s="247"/>
      <c r="B960" s="248" t="s">
        <v>164</v>
      </c>
      <c r="C960" s="231">
        <f>8*9.81/C959^2</f>
        <v>1.5074087381574178E-2</v>
      </c>
      <c r="D960" s="252">
        <f>8*9.81/D959^2</f>
        <v>1.5074087381574178E-2</v>
      </c>
      <c r="E960" s="231">
        <f>8*9.81/E959^2</f>
        <v>1.5074087381574178E-2</v>
      </c>
      <c r="F960" s="251"/>
      <c r="G960" s="262" t="s">
        <v>237</v>
      </c>
      <c r="H960" s="263">
        <f>C956</f>
        <v>0.78539816339744828</v>
      </c>
      <c r="I960" s="263">
        <f>I966*I967</f>
        <v>6.4379999999999997</v>
      </c>
      <c r="J960" s="263">
        <f>H960/I960</f>
        <v>0.1219941229259783</v>
      </c>
      <c r="K960" s="280">
        <f ca="1">TREND(OFFSET($L$51,MATCH(J960,$K$52:$K$60),0,2,1),OFFSET($K$51,MATCH(J960,$K$52:$K$60),0,2,1),J960)</f>
        <v>0.77260999102583705</v>
      </c>
      <c r="L960" s="251"/>
      <c r="M960" s="278"/>
    </row>
    <row r="961" spans="1:15" ht="16.8" x14ac:dyDescent="0.25">
      <c r="A961" s="247"/>
      <c r="B961" s="248" t="s">
        <v>166</v>
      </c>
      <c r="C961" s="231">
        <f>C960*C952*C955^2/(4*C958*2*9.81)</f>
        <v>0.10928132018409513</v>
      </c>
      <c r="D961" s="252">
        <f>D960*D952*D955^2/(4*D958*2*9.81)</f>
        <v>0.19916520603551338</v>
      </c>
      <c r="E961" s="231">
        <f>E960*E952*E955^2/(4*E958*2*9.81)</f>
        <v>1.748501122945522E-2</v>
      </c>
      <c r="F961" s="251"/>
      <c r="G961" s="251"/>
      <c r="H961" s="251"/>
      <c r="I961" s="251"/>
      <c r="J961" s="251"/>
      <c r="K961" s="251"/>
      <c r="L961" s="251"/>
      <c r="M961" s="278"/>
      <c r="O961" s="281">
        <f>0.81-(0.81-0.64)/0.1*(J960-0.1)</f>
        <v>0.77260999102583694</v>
      </c>
    </row>
    <row r="962" spans="1:15" ht="14.4" x14ac:dyDescent="0.25">
      <c r="A962" s="247" t="s">
        <v>167</v>
      </c>
      <c r="B962" s="248" t="s">
        <v>168</v>
      </c>
      <c r="C962" s="264">
        <v>0.25</v>
      </c>
      <c r="D962" s="252">
        <f t="shared" ref="D962:E967" si="118">C962</f>
        <v>0.25</v>
      </c>
      <c r="E962" s="231">
        <f t="shared" si="118"/>
        <v>0.25</v>
      </c>
      <c r="F962" s="251"/>
      <c r="G962" s="251"/>
      <c r="H962" s="251"/>
      <c r="I962" s="251"/>
      <c r="J962" s="251"/>
      <c r="K962" s="251"/>
      <c r="L962" s="251"/>
      <c r="M962" s="278"/>
    </row>
    <row r="963" spans="1:15" ht="15.6" x14ac:dyDescent="0.25">
      <c r="A963" s="247"/>
      <c r="B963" s="248" t="s">
        <v>169</v>
      </c>
      <c r="C963" s="264">
        <f>0.1*2</f>
        <v>0.2</v>
      </c>
      <c r="D963" s="252">
        <f t="shared" si="118"/>
        <v>0.2</v>
      </c>
      <c r="E963" s="231">
        <f t="shared" si="118"/>
        <v>0.2</v>
      </c>
      <c r="F963" s="251"/>
      <c r="G963" s="383" t="s">
        <v>170</v>
      </c>
      <c r="H963" s="265" t="s">
        <v>171</v>
      </c>
      <c r="I963" s="282"/>
      <c r="J963" s="251"/>
      <c r="K963" s="238" t="s">
        <v>162</v>
      </c>
      <c r="L963" s="238" t="s">
        <v>163</v>
      </c>
      <c r="M963" s="278"/>
    </row>
    <row r="964" spans="1:15" ht="15.6" x14ac:dyDescent="0.25">
      <c r="A964" s="247"/>
      <c r="B964" s="248" t="s">
        <v>172</v>
      </c>
      <c r="C964" s="264">
        <v>0.02</v>
      </c>
      <c r="D964" s="252">
        <f t="shared" si="118"/>
        <v>0.02</v>
      </c>
      <c r="E964" s="231">
        <f t="shared" si="118"/>
        <v>0.02</v>
      </c>
      <c r="F964" s="251"/>
      <c r="G964" s="384"/>
      <c r="H964" s="266" t="s">
        <v>173</v>
      </c>
      <c r="I964" s="283">
        <v>0.64600000000000002</v>
      </c>
      <c r="J964" s="251"/>
      <c r="K964" s="238">
        <v>0.1</v>
      </c>
      <c r="L964" s="238">
        <v>0.81</v>
      </c>
      <c r="M964" s="278"/>
    </row>
    <row r="965" spans="1:15" ht="16.2" x14ac:dyDescent="0.25">
      <c r="A965" s="247"/>
      <c r="B965" s="248" t="s">
        <v>174</v>
      </c>
      <c r="C965" s="264">
        <v>0.1</v>
      </c>
      <c r="D965" s="252">
        <f t="shared" si="118"/>
        <v>0.1</v>
      </c>
      <c r="E965" s="231">
        <f t="shared" si="118"/>
        <v>0.1</v>
      </c>
      <c r="F965" s="251"/>
      <c r="G965" s="384"/>
      <c r="H965" s="266" t="s">
        <v>175</v>
      </c>
      <c r="I965" s="284"/>
      <c r="J965" s="251"/>
      <c r="K965" s="238">
        <v>0.2</v>
      </c>
      <c r="L965" s="238">
        <v>0.64</v>
      </c>
      <c r="M965" s="278"/>
    </row>
    <row r="966" spans="1:15" ht="15.6" x14ac:dyDescent="0.25">
      <c r="A966" s="247"/>
      <c r="B966" s="248" t="s">
        <v>176</v>
      </c>
      <c r="C966" s="264">
        <v>80</v>
      </c>
      <c r="D966" s="252">
        <f t="shared" si="118"/>
        <v>80</v>
      </c>
      <c r="E966" s="231">
        <f t="shared" si="118"/>
        <v>80</v>
      </c>
      <c r="F966" s="251"/>
      <c r="G966" s="384"/>
      <c r="H966" s="266" t="s">
        <v>177</v>
      </c>
      <c r="I966" s="283">
        <f>I964+1.5</f>
        <v>2.1459999999999999</v>
      </c>
      <c r="J966" s="251"/>
      <c r="K966" s="238">
        <v>0.3</v>
      </c>
      <c r="L966" s="238">
        <v>0.4</v>
      </c>
      <c r="M966" s="278"/>
    </row>
    <row r="967" spans="1:15" ht="15.6" x14ac:dyDescent="0.25">
      <c r="A967" s="247"/>
      <c r="B967" s="248" t="s">
        <v>178</v>
      </c>
      <c r="C967" s="264">
        <v>1.83</v>
      </c>
      <c r="D967" s="252">
        <f t="shared" si="118"/>
        <v>1.83</v>
      </c>
      <c r="E967" s="231">
        <f t="shared" si="118"/>
        <v>1.83</v>
      </c>
      <c r="F967" s="251"/>
      <c r="G967" s="384"/>
      <c r="H967" s="266" t="s">
        <v>179</v>
      </c>
      <c r="I967" s="283">
        <v>3</v>
      </c>
      <c r="K967" s="238">
        <v>0.4</v>
      </c>
      <c r="L967" s="238">
        <v>0.36</v>
      </c>
      <c r="M967" s="278"/>
    </row>
    <row r="968" spans="1:15" ht="16.8" x14ac:dyDescent="0.25">
      <c r="A968" s="247"/>
      <c r="B968" s="248" t="s">
        <v>180</v>
      </c>
      <c r="C968" s="231">
        <f>C967*(C964/C965)^(4/3)*SIN(C966/180*PI())</f>
        <v>0.21078637878092679</v>
      </c>
      <c r="D968" s="252">
        <f>D967*(D964/D965)^(4/3)*SIN(D966/180*PI())</f>
        <v>0.21078637878092679</v>
      </c>
      <c r="E968" s="231">
        <f>E967*(E964/E965)^(4/3)*SIN(E966/180*PI())</f>
        <v>0.21078637878092679</v>
      </c>
      <c r="F968" s="251"/>
      <c r="G968" s="384"/>
      <c r="H968" s="266" t="s">
        <v>181</v>
      </c>
      <c r="I968" s="284"/>
      <c r="K968" s="238">
        <v>0.5</v>
      </c>
      <c r="L968" s="238">
        <v>0.25</v>
      </c>
      <c r="M968" s="278"/>
    </row>
    <row r="969" spans="1:15" ht="15.6" x14ac:dyDescent="0.25">
      <c r="A969" s="247"/>
      <c r="B969" s="247" t="s">
        <v>182</v>
      </c>
      <c r="C969" s="231">
        <f ca="1">H998</f>
        <v>0.24801408</v>
      </c>
      <c r="D969" s="252">
        <f t="shared" ref="D969:E971" ca="1" si="119">C969</f>
        <v>0.24801408</v>
      </c>
      <c r="E969" s="231">
        <f t="shared" ca="1" si="119"/>
        <v>0.24801408</v>
      </c>
      <c r="F969" s="251"/>
      <c r="G969" s="384"/>
      <c r="H969" s="266" t="s">
        <v>183</v>
      </c>
      <c r="I969" s="284"/>
      <c r="K969" s="238">
        <v>0.6</v>
      </c>
      <c r="L969" s="238">
        <v>0.16</v>
      </c>
      <c r="M969" s="278"/>
    </row>
    <row r="970" spans="1:15" ht="16.2" x14ac:dyDescent="0.25">
      <c r="A970" s="247"/>
      <c r="B970" s="247" t="s">
        <v>184</v>
      </c>
      <c r="C970" s="264">
        <f ca="1">K960</f>
        <v>0.77260999102583705</v>
      </c>
      <c r="D970" s="252">
        <f t="shared" ca="1" si="119"/>
        <v>0.77260999102583705</v>
      </c>
      <c r="E970" s="231">
        <f t="shared" ca="1" si="119"/>
        <v>0.77260999102583705</v>
      </c>
      <c r="F970" s="251"/>
      <c r="G970" s="385"/>
      <c r="H970" s="266" t="s">
        <v>185</v>
      </c>
      <c r="I970" s="284"/>
      <c r="K970" s="238">
        <v>0.7</v>
      </c>
      <c r="L970" s="238">
        <v>0.09</v>
      </c>
      <c r="M970" s="278"/>
    </row>
    <row r="971" spans="1:15" ht="16.2" x14ac:dyDescent="0.25">
      <c r="A971" s="247"/>
      <c r="B971" s="248" t="s">
        <v>216</v>
      </c>
      <c r="C971" s="264">
        <f>0.1*2</f>
        <v>0.2</v>
      </c>
      <c r="D971" s="252">
        <f t="shared" si="119"/>
        <v>0.2</v>
      </c>
      <c r="E971" s="231">
        <f t="shared" si="119"/>
        <v>0.2</v>
      </c>
      <c r="F971" s="251"/>
      <c r="G971" s="386"/>
      <c r="H971" s="267" t="s">
        <v>187</v>
      </c>
      <c r="I971" s="285"/>
      <c r="J971" s="251"/>
      <c r="K971" s="238">
        <v>0.8</v>
      </c>
      <c r="L971" s="238">
        <v>0.04</v>
      </c>
      <c r="M971" s="278"/>
    </row>
    <row r="972" spans="1:15" ht="14.4" x14ac:dyDescent="0.25">
      <c r="A972" s="247"/>
      <c r="B972" s="248" t="s">
        <v>188</v>
      </c>
      <c r="C972" s="231">
        <f ca="1">C971+C968+C963+C962+C970+C969</f>
        <v>1.8814104498067639</v>
      </c>
      <c r="D972" s="252">
        <f ca="1">D971+D968+D963+D962+D970+D969</f>
        <v>1.8814104498067639</v>
      </c>
      <c r="E972" s="231">
        <f ca="1">E971+E968+E963+E962+E970+E969</f>
        <v>1.8814104498067639</v>
      </c>
      <c r="F972" s="251"/>
      <c r="G972" s="251"/>
      <c r="H972" s="251"/>
      <c r="I972" s="251"/>
      <c r="J972" s="251"/>
      <c r="K972" s="238">
        <v>0.9</v>
      </c>
      <c r="L972" s="238">
        <v>0.01</v>
      </c>
      <c r="M972" s="278"/>
    </row>
    <row r="973" spans="1:15" ht="16.8" x14ac:dyDescent="0.25">
      <c r="A973" s="247"/>
      <c r="B973" s="248" t="s">
        <v>189</v>
      </c>
      <c r="C973" s="231">
        <f ca="1">C972*C955^2/2/9.81</f>
        <v>2.0146972221338533E-2</v>
      </c>
      <c r="D973" s="252">
        <f ca="1">D972*D955^2/2/9.81</f>
        <v>3.6717856873389486E-2</v>
      </c>
      <c r="E973" s="231">
        <f ca="1">E972*E955^2/2/9.81</f>
        <v>3.2235155554141666E-3</v>
      </c>
      <c r="F973" s="251"/>
      <c r="G973" s="251"/>
      <c r="H973" s="251"/>
      <c r="I973" s="251"/>
      <c r="J973" s="251"/>
      <c r="K973" s="251"/>
      <c r="L973" s="251"/>
      <c r="M973" s="278"/>
    </row>
    <row r="974" spans="1:15" ht="14.4" x14ac:dyDescent="0.25">
      <c r="A974" s="268" t="s">
        <v>190</v>
      </c>
      <c r="B974" s="269" t="s">
        <v>191</v>
      </c>
      <c r="C974" s="270">
        <f ca="1">C961+C973</f>
        <v>0.12942829240543366</v>
      </c>
      <c r="D974" s="270">
        <f ca="1">D961+D973</f>
        <v>0.23588306290890287</v>
      </c>
      <c r="E974" s="271">
        <f ca="1">E961+E973</f>
        <v>2.0708526784869386E-2</v>
      </c>
      <c r="F974" s="251"/>
      <c r="G974" s="272" t="s">
        <v>192</v>
      </c>
      <c r="H974" s="241">
        <v>0.36</v>
      </c>
      <c r="I974" s="251"/>
      <c r="J974" s="251"/>
      <c r="K974" s="251"/>
      <c r="L974" s="251"/>
      <c r="M974" s="278"/>
    </row>
    <row r="975" spans="1:15" ht="14.4" x14ac:dyDescent="0.25">
      <c r="A975" s="273" t="s">
        <v>193</v>
      </c>
      <c r="B975" s="274"/>
      <c r="C975" s="231">
        <f ca="1">C974+(C955^2-D930^2)/(2*9.81)</f>
        <v>-2.4602918175265009</v>
      </c>
      <c r="D975" s="252">
        <f ca="1">D974+(D955^2-D929^2)/(2*9.81)</f>
        <v>-2.3450293545528678</v>
      </c>
      <c r="E975" s="231">
        <f ca="1">E974+(E955^2-D931^2)/(2*9.81)</f>
        <v>-2.5780066733293601</v>
      </c>
      <c r="F975" s="251"/>
      <c r="G975" s="251"/>
      <c r="H975" s="251"/>
      <c r="I975" s="251"/>
      <c r="J975" s="251"/>
      <c r="K975" s="251"/>
      <c r="L975" s="251"/>
      <c r="M975" s="278"/>
    </row>
    <row r="976" spans="1:15" ht="14.4" x14ac:dyDescent="0.25">
      <c r="A976" s="273" t="s">
        <v>194</v>
      </c>
      <c r="B976" s="274"/>
      <c r="C976" s="231">
        <f ca="1">C975+C938-D938</f>
        <v>-2.4602918175265009</v>
      </c>
      <c r="D976" s="252">
        <f ca="1">D975+C936-D936</f>
        <v>-2.3450293545528678</v>
      </c>
      <c r="E976" s="231">
        <f ca="1">E975+C940-D940</f>
        <v>-2.5780066733293601</v>
      </c>
      <c r="F976" s="251"/>
      <c r="G976" s="251"/>
      <c r="H976" s="251"/>
      <c r="I976" s="251"/>
      <c r="J976" s="251"/>
      <c r="K976" s="251"/>
      <c r="L976" s="251"/>
      <c r="M976" s="278"/>
    </row>
    <row r="977" spans="1:13" x14ac:dyDescent="0.25">
      <c r="A977" s="286"/>
      <c r="B977" s="287"/>
      <c r="C977" s="251"/>
      <c r="D977" s="251"/>
      <c r="E977" s="251"/>
      <c r="F977" s="251"/>
      <c r="G977" s="251"/>
      <c r="H977" s="251"/>
      <c r="I977" s="251"/>
      <c r="J977" s="251"/>
      <c r="K977" s="251"/>
      <c r="L977" s="251"/>
      <c r="M977" s="278"/>
    </row>
    <row r="978" spans="1:13" ht="18" x14ac:dyDescent="0.4">
      <c r="A978" s="288"/>
      <c r="B978" s="289" t="s">
        <v>26</v>
      </c>
      <c r="C978" s="289" t="s">
        <v>195</v>
      </c>
      <c r="D978" s="289" t="s">
        <v>196</v>
      </c>
      <c r="E978" s="289" t="s">
        <v>197</v>
      </c>
      <c r="F978" s="289" t="s">
        <v>198</v>
      </c>
      <c r="G978" s="289" t="s">
        <v>199</v>
      </c>
      <c r="H978" s="289" t="s">
        <v>200</v>
      </c>
      <c r="I978" s="251"/>
      <c r="J978" s="289" t="s">
        <v>201</v>
      </c>
      <c r="K978" s="289" t="s">
        <v>202</v>
      </c>
      <c r="L978" s="289" t="s">
        <v>197</v>
      </c>
      <c r="M978" s="292" t="s">
        <v>199</v>
      </c>
    </row>
    <row r="979" spans="1:13" x14ac:dyDescent="0.25">
      <c r="A979" s="288">
        <v>1</v>
      </c>
      <c r="B979" s="264">
        <v>10</v>
      </c>
      <c r="C979" s="290">
        <f>C954</f>
        <v>1</v>
      </c>
      <c r="D979" s="290">
        <f t="shared" ref="D979:D988" si="120">B979/C979</f>
        <v>10</v>
      </c>
      <c r="E979" s="264">
        <v>3.8980000000000001</v>
      </c>
      <c r="F979" s="290">
        <f t="shared" ref="F979:F988" ca="1" si="121">TREND(OFFSET($K$66,MATCH(D979,$J$67:$J$79),0,2,1),OFFSET($J$66,MATCH(D979,$J$67:$J$79),0,2,1),D979)</f>
        <v>0.24</v>
      </c>
      <c r="G979" s="290">
        <f ca="1">TREND(OFFSET($M$66,MATCH(E979,$L$67:$L$80),0,2,1),OFFSET($L$66,MATCH(E979,$L$67:$L$80),0,2,1),E979)</f>
        <v>9.7450000000000009E-2</v>
      </c>
      <c r="H979" s="290">
        <f t="shared" ref="H979:H988" ca="1" si="122">F979*G979</f>
        <v>2.3388000000000003E-2</v>
      </c>
      <c r="I979" s="251"/>
      <c r="J979" s="289">
        <v>0.5</v>
      </c>
      <c r="K979" s="289">
        <v>1.2</v>
      </c>
      <c r="L979" s="289">
        <v>0</v>
      </c>
      <c r="M979" s="292">
        <v>0</v>
      </c>
    </row>
    <row r="980" spans="1:13" x14ac:dyDescent="0.25">
      <c r="A980" s="288">
        <v>2</v>
      </c>
      <c r="B980" s="264">
        <v>10</v>
      </c>
      <c r="C980" s="290">
        <f t="shared" ref="C980:C988" si="123">C979</f>
        <v>1</v>
      </c>
      <c r="D980" s="290">
        <f t="shared" si="120"/>
        <v>10</v>
      </c>
      <c r="E980" s="264">
        <v>3.3759999999999999</v>
      </c>
      <c r="F980" s="290">
        <f t="shared" ca="1" si="121"/>
        <v>0.24</v>
      </c>
      <c r="G980" s="290">
        <f t="shared" ref="G980:G988" ca="1" si="124">TREND(OFFSET($M$66,MATCH(E980,$L$67:$L$79),0,2,1),OFFSET($L$66,MATCH(E980,$L$67:$L$79),0,2,1),E980)</f>
        <v>8.4400000000000003E-2</v>
      </c>
      <c r="H980" s="290">
        <f t="shared" ca="1" si="122"/>
        <v>2.0256E-2</v>
      </c>
      <c r="I980" s="251"/>
      <c r="J980" s="289">
        <v>1</v>
      </c>
      <c r="K980" s="289">
        <v>0.8</v>
      </c>
      <c r="L980" s="289">
        <v>5</v>
      </c>
      <c r="M980" s="292">
        <v>0.125</v>
      </c>
    </row>
    <row r="981" spans="1:13" x14ac:dyDescent="0.25">
      <c r="A981" s="288">
        <v>3</v>
      </c>
      <c r="B981" s="264">
        <v>10</v>
      </c>
      <c r="C981" s="290">
        <f t="shared" si="123"/>
        <v>1</v>
      </c>
      <c r="D981" s="290">
        <f t="shared" si="120"/>
        <v>10</v>
      </c>
      <c r="E981" s="264">
        <v>4.4870000000000001</v>
      </c>
      <c r="F981" s="290">
        <f t="shared" ca="1" si="121"/>
        <v>0.24</v>
      </c>
      <c r="G981" s="290">
        <f t="shared" ca="1" si="124"/>
        <v>0.112175</v>
      </c>
      <c r="H981" s="290">
        <f t="shared" ca="1" si="122"/>
        <v>2.6921999999999998E-2</v>
      </c>
      <c r="I981" s="251"/>
      <c r="J981" s="289">
        <v>1.5</v>
      </c>
      <c r="K981" s="289">
        <v>0.6</v>
      </c>
      <c r="L981" s="289">
        <v>10</v>
      </c>
      <c r="M981" s="292">
        <v>0.23</v>
      </c>
    </row>
    <row r="982" spans="1:13" x14ac:dyDescent="0.25">
      <c r="A982" s="288">
        <v>4</v>
      </c>
      <c r="B982" s="264">
        <v>10</v>
      </c>
      <c r="C982" s="290">
        <f t="shared" si="123"/>
        <v>1</v>
      </c>
      <c r="D982" s="290">
        <f t="shared" si="120"/>
        <v>10</v>
      </c>
      <c r="E982" s="264">
        <v>5.1840000000000002</v>
      </c>
      <c r="F982" s="290">
        <f t="shared" ca="1" si="121"/>
        <v>0.24</v>
      </c>
      <c r="G982" s="290">
        <f t="shared" ca="1" si="124"/>
        <v>0.12886400000000003</v>
      </c>
      <c r="H982" s="290">
        <f t="shared" ca="1" si="122"/>
        <v>3.0927360000000008E-2</v>
      </c>
      <c r="I982" s="251"/>
      <c r="J982" s="289">
        <v>2</v>
      </c>
      <c r="K982" s="289">
        <v>0.48</v>
      </c>
      <c r="L982" s="289">
        <v>20</v>
      </c>
      <c r="M982" s="292">
        <v>0.4</v>
      </c>
    </row>
    <row r="983" spans="1:13" x14ac:dyDescent="0.25">
      <c r="A983" s="288">
        <v>5</v>
      </c>
      <c r="B983" s="264">
        <v>10</v>
      </c>
      <c r="C983" s="290">
        <f t="shared" si="123"/>
        <v>1</v>
      </c>
      <c r="D983" s="290">
        <f t="shared" si="120"/>
        <v>10</v>
      </c>
      <c r="E983" s="264">
        <v>1.4830000000000001</v>
      </c>
      <c r="F983" s="290">
        <f t="shared" ca="1" si="121"/>
        <v>0.24</v>
      </c>
      <c r="G983" s="290">
        <f t="shared" ca="1" si="124"/>
        <v>3.7075000000000004E-2</v>
      </c>
      <c r="H983" s="290">
        <f t="shared" ca="1" si="122"/>
        <v>8.8980000000000014E-3</v>
      </c>
      <c r="I983" s="251"/>
      <c r="J983" s="289">
        <v>3</v>
      </c>
      <c r="K983" s="289">
        <v>0.36</v>
      </c>
      <c r="L983" s="289">
        <v>30</v>
      </c>
      <c r="M983" s="292">
        <v>0.55000000000000004</v>
      </c>
    </row>
    <row r="984" spans="1:13" x14ac:dyDescent="0.25">
      <c r="A984" s="288">
        <v>6</v>
      </c>
      <c r="B984" s="264">
        <v>10</v>
      </c>
      <c r="C984" s="290">
        <f t="shared" si="123"/>
        <v>1</v>
      </c>
      <c r="D984" s="290">
        <f t="shared" si="120"/>
        <v>10</v>
      </c>
      <c r="E984" s="264">
        <v>1.444</v>
      </c>
      <c r="F984" s="290">
        <f t="shared" ca="1" si="121"/>
        <v>0.24</v>
      </c>
      <c r="G984" s="290">
        <f t="shared" ca="1" si="124"/>
        <v>3.61E-2</v>
      </c>
      <c r="H984" s="290">
        <f t="shared" ca="1" si="122"/>
        <v>8.6639999999999998E-3</v>
      </c>
      <c r="I984" s="251"/>
      <c r="J984" s="289">
        <v>4</v>
      </c>
      <c r="K984" s="289">
        <v>0.3</v>
      </c>
      <c r="L984" s="289">
        <v>40</v>
      </c>
      <c r="M984" s="292">
        <v>0.65</v>
      </c>
    </row>
    <row r="985" spans="1:13" x14ac:dyDescent="0.25">
      <c r="A985" s="288">
        <v>7</v>
      </c>
      <c r="B985" s="264">
        <v>10</v>
      </c>
      <c r="C985" s="290">
        <f t="shared" si="123"/>
        <v>1</v>
      </c>
      <c r="D985" s="290">
        <f t="shared" si="120"/>
        <v>10</v>
      </c>
      <c r="E985" s="264">
        <v>2.992</v>
      </c>
      <c r="F985" s="290">
        <f t="shared" ca="1" si="121"/>
        <v>0.24</v>
      </c>
      <c r="G985" s="290">
        <f t="shared" ca="1" si="124"/>
        <v>7.4800000000000005E-2</v>
      </c>
      <c r="H985" s="290">
        <f t="shared" ca="1" si="122"/>
        <v>1.7951999999999999E-2</v>
      </c>
      <c r="I985" s="251"/>
      <c r="J985" s="289">
        <v>5</v>
      </c>
      <c r="K985" s="289">
        <v>0.28999999999999998</v>
      </c>
      <c r="L985" s="289">
        <v>50</v>
      </c>
      <c r="M985" s="292">
        <v>0.75</v>
      </c>
    </row>
    <row r="986" spans="1:13" x14ac:dyDescent="0.25">
      <c r="A986" s="288">
        <v>8</v>
      </c>
      <c r="B986" s="264">
        <v>10</v>
      </c>
      <c r="C986" s="290">
        <f t="shared" si="123"/>
        <v>1</v>
      </c>
      <c r="D986" s="290">
        <f t="shared" si="120"/>
        <v>10</v>
      </c>
      <c r="E986" s="264">
        <v>6.87</v>
      </c>
      <c r="F986" s="290">
        <f t="shared" ca="1" si="121"/>
        <v>0.24</v>
      </c>
      <c r="G986" s="290">
        <f t="shared" ca="1" si="124"/>
        <v>0.16427</v>
      </c>
      <c r="H986" s="290">
        <f t="shared" ca="1" si="122"/>
        <v>3.9424799999999996E-2</v>
      </c>
      <c r="I986" s="251"/>
      <c r="J986" s="289">
        <v>6</v>
      </c>
      <c r="K986" s="289">
        <v>0.28000000000000003</v>
      </c>
      <c r="L986" s="289">
        <v>60</v>
      </c>
      <c r="M986" s="292">
        <v>0.83</v>
      </c>
    </row>
    <row r="987" spans="1:13" x14ac:dyDescent="0.25">
      <c r="A987" s="288">
        <v>9</v>
      </c>
      <c r="B987" s="264">
        <v>10</v>
      </c>
      <c r="C987" s="290">
        <f t="shared" si="123"/>
        <v>1</v>
      </c>
      <c r="D987" s="290">
        <f t="shared" si="120"/>
        <v>10</v>
      </c>
      <c r="E987" s="264">
        <v>6.4989999999999997</v>
      </c>
      <c r="F987" s="290">
        <f t="shared" ca="1" si="121"/>
        <v>0.24</v>
      </c>
      <c r="G987" s="290">
        <f t="shared" ca="1" si="124"/>
        <v>0.15647900000000001</v>
      </c>
      <c r="H987" s="290">
        <f t="shared" ca="1" si="122"/>
        <v>3.7554959999999998E-2</v>
      </c>
      <c r="I987" s="251"/>
      <c r="J987" s="289">
        <v>7</v>
      </c>
      <c r="K987" s="289">
        <v>0.27</v>
      </c>
      <c r="L987" s="289">
        <v>70</v>
      </c>
      <c r="M987" s="292">
        <v>0.88</v>
      </c>
    </row>
    <row r="988" spans="1:13" x14ac:dyDescent="0.25">
      <c r="A988" s="288">
        <v>10</v>
      </c>
      <c r="B988" s="264">
        <v>10</v>
      </c>
      <c r="C988" s="290">
        <f t="shared" si="123"/>
        <v>1</v>
      </c>
      <c r="D988" s="290">
        <f t="shared" si="120"/>
        <v>10</v>
      </c>
      <c r="E988" s="264">
        <v>5.7990000000000004</v>
      </c>
      <c r="F988" s="290">
        <f t="shared" ca="1" si="121"/>
        <v>0.24</v>
      </c>
      <c r="G988" s="290">
        <f t="shared" ca="1" si="124"/>
        <v>0.14177900000000002</v>
      </c>
      <c r="H988" s="290">
        <f t="shared" ca="1" si="122"/>
        <v>3.4026960000000002E-2</v>
      </c>
      <c r="I988" s="251"/>
      <c r="J988" s="289">
        <v>8</v>
      </c>
      <c r="K988" s="289">
        <v>0.26</v>
      </c>
      <c r="L988" s="289">
        <v>80</v>
      </c>
      <c r="M988" s="292">
        <v>0.95</v>
      </c>
    </row>
    <row r="989" spans="1:13" x14ac:dyDescent="0.25">
      <c r="A989" s="288"/>
      <c r="B989" s="264"/>
      <c r="C989" s="290"/>
      <c r="D989" s="290"/>
      <c r="E989" s="264"/>
      <c r="F989" s="290"/>
      <c r="G989" s="290"/>
      <c r="H989" s="290"/>
      <c r="I989" s="251"/>
      <c r="J989" s="289">
        <v>9</v>
      </c>
      <c r="K989" s="289">
        <v>0.25</v>
      </c>
      <c r="L989" s="289">
        <v>90</v>
      </c>
      <c r="M989" s="292">
        <v>1</v>
      </c>
    </row>
    <row r="990" spans="1:13" x14ac:dyDescent="0.25">
      <c r="A990" s="288"/>
      <c r="B990" s="264"/>
      <c r="C990" s="290"/>
      <c r="D990" s="290"/>
      <c r="E990" s="264"/>
      <c r="F990" s="290"/>
      <c r="G990" s="290"/>
      <c r="H990" s="290"/>
      <c r="I990" s="251"/>
      <c r="J990" s="289">
        <v>10</v>
      </c>
      <c r="K990" s="289">
        <v>0.24</v>
      </c>
      <c r="L990" s="289">
        <v>100</v>
      </c>
      <c r="M990" s="292">
        <v>1.05</v>
      </c>
    </row>
    <row r="991" spans="1:13" x14ac:dyDescent="0.25">
      <c r="A991" s="288"/>
      <c r="B991" s="264"/>
      <c r="C991" s="290"/>
      <c r="D991" s="290"/>
      <c r="E991" s="264"/>
      <c r="F991" s="290"/>
      <c r="G991" s="290"/>
      <c r="H991" s="290"/>
      <c r="I991" s="251"/>
      <c r="J991" s="289">
        <v>11</v>
      </c>
      <c r="K991" s="289">
        <v>0.23</v>
      </c>
      <c r="L991" s="289">
        <v>120</v>
      </c>
      <c r="M991" s="292">
        <v>1.1299999999999999</v>
      </c>
    </row>
    <row r="992" spans="1:13" x14ac:dyDescent="0.25">
      <c r="A992" s="288"/>
      <c r="B992" s="264"/>
      <c r="C992" s="290"/>
      <c r="D992" s="290"/>
      <c r="E992" s="264"/>
      <c r="F992" s="290"/>
      <c r="G992" s="290"/>
      <c r="H992" s="290"/>
      <c r="I992" s="251"/>
      <c r="J992" s="289"/>
      <c r="K992" s="289"/>
      <c r="L992" s="289">
        <v>140</v>
      </c>
      <c r="M992" s="292">
        <v>1.2</v>
      </c>
    </row>
    <row r="993" spans="1:13" x14ac:dyDescent="0.25">
      <c r="A993" s="288"/>
      <c r="B993" s="264"/>
      <c r="C993" s="290"/>
      <c r="D993" s="290"/>
      <c r="E993" s="264"/>
      <c r="F993" s="290"/>
      <c r="G993" s="290"/>
      <c r="H993" s="290"/>
      <c r="I993" s="251"/>
      <c r="J993" s="251"/>
      <c r="K993" s="251"/>
      <c r="L993" s="251"/>
      <c r="M993" s="278"/>
    </row>
    <row r="994" spans="1:13" x14ac:dyDescent="0.25">
      <c r="A994" s="288"/>
      <c r="B994" s="264"/>
      <c r="C994" s="290"/>
      <c r="D994" s="290"/>
      <c r="E994" s="264"/>
      <c r="F994" s="290"/>
      <c r="G994" s="290"/>
      <c r="H994" s="290"/>
      <c r="I994" s="251"/>
      <c r="J994" s="251"/>
      <c r="K994" s="251"/>
      <c r="L994" s="251"/>
      <c r="M994" s="278"/>
    </row>
    <row r="995" spans="1:13" x14ac:dyDescent="0.25">
      <c r="A995" s="288"/>
      <c r="B995" s="264"/>
      <c r="C995" s="290"/>
      <c r="D995" s="290"/>
      <c r="E995" s="264"/>
      <c r="F995" s="290"/>
      <c r="G995" s="290"/>
      <c r="H995" s="290"/>
      <c r="I995" s="251"/>
      <c r="J995" s="251"/>
      <c r="K995" s="251"/>
      <c r="L995" s="251"/>
      <c r="M995" s="278"/>
    </row>
    <row r="996" spans="1:13" x14ac:dyDescent="0.25">
      <c r="A996" s="288"/>
      <c r="B996" s="264"/>
      <c r="C996" s="290"/>
      <c r="D996" s="290"/>
      <c r="E996" s="264"/>
      <c r="F996" s="290"/>
      <c r="G996" s="290"/>
      <c r="H996" s="290"/>
      <c r="I996" s="251"/>
      <c r="J996" s="251"/>
      <c r="K996" s="251"/>
      <c r="L996" s="251"/>
      <c r="M996" s="278"/>
    </row>
    <row r="997" spans="1:13" x14ac:dyDescent="0.25">
      <c r="A997" s="288"/>
      <c r="B997" s="264"/>
      <c r="C997" s="290"/>
      <c r="D997" s="290"/>
      <c r="E997" s="264"/>
      <c r="F997" s="290"/>
      <c r="G997" s="290"/>
      <c r="H997" s="290"/>
      <c r="I997" s="251"/>
      <c r="J997" s="251"/>
      <c r="K997" s="251"/>
      <c r="L997" s="251"/>
      <c r="M997" s="278"/>
    </row>
    <row r="998" spans="1:13" ht="16.2" x14ac:dyDescent="0.3">
      <c r="A998" s="387" t="s">
        <v>203</v>
      </c>
      <c r="B998" s="388"/>
      <c r="C998" s="388"/>
      <c r="D998" s="388"/>
      <c r="E998" s="388"/>
      <c r="F998" s="388"/>
      <c r="G998" s="388"/>
      <c r="H998" s="291">
        <f ca="1">SUM(H979:H997)</f>
        <v>0.24801408</v>
      </c>
      <c r="I998" s="293"/>
      <c r="J998" s="293"/>
      <c r="K998" s="293"/>
      <c r="L998" s="293"/>
      <c r="M998" s="294"/>
    </row>
  </sheetData>
  <mergeCells count="75">
    <mergeCell ref="A10:B10"/>
    <mergeCell ref="A11:B11"/>
    <mergeCell ref="A12:B12"/>
    <mergeCell ref="A13:B13"/>
    <mergeCell ref="G45:K45"/>
    <mergeCell ref="G393:K393"/>
    <mergeCell ref="A89:G89"/>
    <mergeCell ref="G103:K103"/>
    <mergeCell ref="A147:G147"/>
    <mergeCell ref="G161:K161"/>
    <mergeCell ref="A205:G205"/>
    <mergeCell ref="G573:G581"/>
    <mergeCell ref="A495:G495"/>
    <mergeCell ref="G457:G465"/>
    <mergeCell ref="G219:K219"/>
    <mergeCell ref="A263:G263"/>
    <mergeCell ref="G277:K277"/>
    <mergeCell ref="A321:G321"/>
    <mergeCell ref="G335:K335"/>
    <mergeCell ref="G278:G279"/>
    <mergeCell ref="G283:G291"/>
    <mergeCell ref="G336:G337"/>
    <mergeCell ref="G341:G349"/>
    <mergeCell ref="G394:G395"/>
    <mergeCell ref="G399:G407"/>
    <mergeCell ref="G452:G453"/>
    <mergeCell ref="A379:G379"/>
    <mergeCell ref="A998:G998"/>
    <mergeCell ref="A14:A16"/>
    <mergeCell ref="A17:A19"/>
    <mergeCell ref="A21:A22"/>
    <mergeCell ref="A23:A24"/>
    <mergeCell ref="A25:A26"/>
    <mergeCell ref="A27:A28"/>
    <mergeCell ref="A29:A31"/>
    <mergeCell ref="G46:G47"/>
    <mergeCell ref="G51:G59"/>
    <mergeCell ref="G104:G105"/>
    <mergeCell ref="G109:G117"/>
    <mergeCell ref="G162:G163"/>
    <mergeCell ref="G167:G175"/>
    <mergeCell ref="G220:G221"/>
    <mergeCell ref="G225:G233"/>
    <mergeCell ref="G963:G971"/>
    <mergeCell ref="G644:G645"/>
    <mergeCell ref="G649:G657"/>
    <mergeCell ref="G701:G702"/>
    <mergeCell ref="G706:G714"/>
    <mergeCell ref="G793:G794"/>
    <mergeCell ref="G847:K847"/>
    <mergeCell ref="A888:G888"/>
    <mergeCell ref="G902:K902"/>
    <mergeCell ref="A943:G943"/>
    <mergeCell ref="G957:K957"/>
    <mergeCell ref="G848:G849"/>
    <mergeCell ref="G853:G861"/>
    <mergeCell ref="A686:G686"/>
    <mergeCell ref="G700:K700"/>
    <mergeCell ref="A778:G778"/>
    <mergeCell ref="G903:G904"/>
    <mergeCell ref="G908:G916"/>
    <mergeCell ref="A437:G437"/>
    <mergeCell ref="G451:K451"/>
    <mergeCell ref="G958:G959"/>
    <mergeCell ref="G792:K792"/>
    <mergeCell ref="A833:G833"/>
    <mergeCell ref="G798:G806"/>
    <mergeCell ref="G509:K509"/>
    <mergeCell ref="A553:G553"/>
    <mergeCell ref="G567:K567"/>
    <mergeCell ref="A629:G629"/>
    <mergeCell ref="G643:K643"/>
    <mergeCell ref="G510:G511"/>
    <mergeCell ref="G515:G523"/>
    <mergeCell ref="G568:G569"/>
  </mergeCells>
  <phoneticPr fontId="31" type="noConversion"/>
  <pageMargins left="0.75" right="0.75" top="1" bottom="1" header="0.51180555555555596" footer="0.51180555555555596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Pict="0" macro="[0]!单变量求解">
                <anchor moveWithCells="1" sizeWithCells="1">
                  <from>
                    <xdr:col>5</xdr:col>
                    <xdr:colOff>0</xdr:colOff>
                    <xdr:row>20</xdr:row>
                    <xdr:rowOff>7620</xdr:rowOff>
                  </from>
                  <to>
                    <xdr:col>5</xdr:col>
                    <xdr:colOff>1013460</xdr:colOff>
                    <xdr:row>21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1:G197"/>
  <sheetViews>
    <sheetView workbookViewId="0">
      <selection activeCell="E145" sqref="E145"/>
    </sheetView>
  </sheetViews>
  <sheetFormatPr defaultColWidth="9" defaultRowHeight="14.4" x14ac:dyDescent="0.25"/>
  <cols>
    <col min="2" max="2" width="4.5546875" customWidth="1"/>
    <col min="3" max="3" width="18.33203125" customWidth="1"/>
    <col min="4" max="4" width="14.109375" style="218" customWidth="1"/>
    <col min="5" max="5" width="18.21875" style="218" customWidth="1"/>
    <col min="6" max="6" width="7.5546875" customWidth="1"/>
    <col min="7" max="7" width="14.5546875" customWidth="1"/>
    <col min="10" max="10" width="4.5546875" customWidth="1"/>
    <col min="11" max="11" width="18.33203125" customWidth="1"/>
    <col min="12" max="12" width="12.77734375" customWidth="1"/>
    <col min="13" max="13" width="17.21875" customWidth="1"/>
    <col min="14" max="14" width="2.5546875" customWidth="1"/>
    <col min="15" max="16" width="12.77734375" customWidth="1"/>
  </cols>
  <sheetData>
    <row r="1" spans="2:7" ht="15.6" x14ac:dyDescent="0.25">
      <c r="B1" s="219"/>
      <c r="C1" s="219"/>
      <c r="D1" s="220"/>
      <c r="E1" s="221" t="s">
        <v>238</v>
      </c>
      <c r="F1" s="219"/>
      <c r="G1" s="219"/>
    </row>
    <row r="2" spans="2:7" ht="15.6" x14ac:dyDescent="0.25">
      <c r="B2" s="222" t="s">
        <v>239</v>
      </c>
      <c r="C2" s="222" t="s">
        <v>240</v>
      </c>
      <c r="D2" s="220"/>
      <c r="E2" s="220"/>
      <c r="F2" s="219"/>
      <c r="G2" s="219" t="s">
        <v>241</v>
      </c>
    </row>
    <row r="3" spans="2:7" ht="15.6" x14ac:dyDescent="0.25">
      <c r="B3" s="219" t="s">
        <v>242</v>
      </c>
      <c r="C3" s="219" t="s">
        <v>242</v>
      </c>
      <c r="D3" s="221" t="s">
        <v>25</v>
      </c>
      <c r="E3" s="221" t="s">
        <v>243</v>
      </c>
      <c r="F3" s="219" t="s">
        <v>244</v>
      </c>
      <c r="G3" s="219"/>
    </row>
    <row r="4" spans="2:7" x14ac:dyDescent="0.25">
      <c r="B4" s="13">
        <v>1</v>
      </c>
      <c r="C4" s="13" t="s">
        <v>245</v>
      </c>
      <c r="D4" s="223">
        <v>451504.85830000002</v>
      </c>
      <c r="E4" s="223">
        <v>3048142.1269</v>
      </c>
      <c r="F4" s="13">
        <v>0</v>
      </c>
      <c r="G4" s="13" t="s">
        <v>246</v>
      </c>
    </row>
    <row r="5" spans="2:7" x14ac:dyDescent="0.25">
      <c r="B5" s="13">
        <v>2</v>
      </c>
      <c r="C5" s="13" t="s">
        <v>247</v>
      </c>
      <c r="D5" s="223">
        <v>451485.89730000001</v>
      </c>
      <c r="E5" s="223">
        <v>3048138.6324</v>
      </c>
      <c r="F5" s="13">
        <v>0</v>
      </c>
      <c r="G5" s="13" t="s">
        <v>248</v>
      </c>
    </row>
    <row r="6" spans="2:7" x14ac:dyDescent="0.25">
      <c r="B6" s="13">
        <v>3</v>
      </c>
      <c r="C6" s="13" t="s">
        <v>249</v>
      </c>
      <c r="D6" s="223">
        <v>451464.65629999997</v>
      </c>
      <c r="E6" s="223">
        <v>3048049.2302999999</v>
      </c>
      <c r="F6" s="13">
        <v>0</v>
      </c>
      <c r="G6" s="13" t="s">
        <v>250</v>
      </c>
    </row>
    <row r="7" spans="2:7" x14ac:dyDescent="0.25">
      <c r="B7" s="13">
        <v>4</v>
      </c>
      <c r="C7" s="13" t="s">
        <v>251</v>
      </c>
      <c r="D7" s="223">
        <v>451431.47340000002</v>
      </c>
      <c r="E7" s="223">
        <v>3048038.4252999998</v>
      </c>
      <c r="F7" s="13">
        <v>0</v>
      </c>
      <c r="G7" s="13" t="s">
        <v>252</v>
      </c>
    </row>
    <row r="8" spans="2:7" x14ac:dyDescent="0.25">
      <c r="B8" s="13">
        <v>5</v>
      </c>
      <c r="C8" s="13" t="s">
        <v>253</v>
      </c>
      <c r="D8" s="223">
        <v>451427.04879999999</v>
      </c>
      <c r="E8" s="223">
        <v>3048032.8645000001</v>
      </c>
      <c r="F8" s="13">
        <v>0</v>
      </c>
      <c r="G8" s="13" t="s">
        <v>254</v>
      </c>
    </row>
    <row r="9" spans="2:7" x14ac:dyDescent="0.25">
      <c r="B9" s="13">
        <v>6</v>
      </c>
      <c r="C9" s="13" t="s">
        <v>255</v>
      </c>
      <c r="D9" s="223">
        <v>451364.00469999999</v>
      </c>
      <c r="E9" s="223">
        <v>3047953.6310999999</v>
      </c>
      <c r="F9" s="13">
        <v>0</v>
      </c>
      <c r="G9" s="13" t="s">
        <v>256</v>
      </c>
    </row>
    <row r="10" spans="2:7" x14ac:dyDescent="0.25">
      <c r="B10" s="13">
        <v>7</v>
      </c>
      <c r="C10" s="13" t="s">
        <v>257</v>
      </c>
      <c r="D10" s="223">
        <v>451333.91159999999</v>
      </c>
      <c r="E10" s="223">
        <v>3047880.2790999999</v>
      </c>
      <c r="F10" s="13">
        <v>0</v>
      </c>
      <c r="G10" s="13" t="s">
        <v>258</v>
      </c>
    </row>
    <row r="11" spans="2:7" x14ac:dyDescent="0.25">
      <c r="B11" s="13">
        <v>8</v>
      </c>
      <c r="C11" s="13" t="s">
        <v>259</v>
      </c>
      <c r="D11" s="223">
        <v>451286.96840000001</v>
      </c>
      <c r="E11" s="223">
        <v>3047877.5153000001</v>
      </c>
      <c r="F11" s="13">
        <v>0</v>
      </c>
      <c r="G11" s="13" t="s">
        <v>260</v>
      </c>
    </row>
    <row r="12" spans="2:7" x14ac:dyDescent="0.25">
      <c r="B12" s="13">
        <v>9</v>
      </c>
      <c r="C12" s="13" t="s">
        <v>261</v>
      </c>
      <c r="D12" s="223">
        <v>451185.67940000002</v>
      </c>
      <c r="E12" s="223">
        <v>3047764.0562999998</v>
      </c>
      <c r="F12" s="13">
        <v>0</v>
      </c>
      <c r="G12" s="13" t="s">
        <v>262</v>
      </c>
    </row>
    <row r="13" spans="2:7" x14ac:dyDescent="0.25">
      <c r="B13" s="13">
        <v>10</v>
      </c>
      <c r="C13" s="13" t="s">
        <v>263</v>
      </c>
      <c r="D13" s="223">
        <v>451212.93290000001</v>
      </c>
      <c r="E13" s="223">
        <v>3047636.6433999999</v>
      </c>
      <c r="F13" s="13">
        <v>0</v>
      </c>
      <c r="G13" s="13" t="s">
        <v>254</v>
      </c>
    </row>
    <row r="14" spans="2:7" x14ac:dyDescent="0.25">
      <c r="B14" s="13">
        <v>11</v>
      </c>
      <c r="C14" s="13" t="s">
        <v>264</v>
      </c>
      <c r="D14" s="223">
        <v>451245.36609999998</v>
      </c>
      <c r="E14" s="223">
        <v>3047485.0145999999</v>
      </c>
      <c r="F14" s="13">
        <v>0</v>
      </c>
      <c r="G14" s="13" t="s">
        <v>265</v>
      </c>
    </row>
    <row r="15" spans="2:7" x14ac:dyDescent="0.25">
      <c r="B15" s="13">
        <v>12</v>
      </c>
      <c r="C15" s="13" t="s">
        <v>266</v>
      </c>
      <c r="D15" s="223">
        <v>451279.00719999999</v>
      </c>
      <c r="E15" s="223">
        <v>3047478.1165</v>
      </c>
      <c r="F15" s="13">
        <v>0</v>
      </c>
      <c r="G15" s="13" t="s">
        <v>254</v>
      </c>
    </row>
    <row r="16" spans="2:7" x14ac:dyDescent="0.25">
      <c r="B16" s="13">
        <v>13</v>
      </c>
      <c r="C16" s="13" t="s">
        <v>267</v>
      </c>
      <c r="D16" s="223">
        <v>451315.81439999997</v>
      </c>
      <c r="E16" s="223">
        <v>3047470.5693000001</v>
      </c>
      <c r="F16" s="13">
        <v>0</v>
      </c>
      <c r="G16" s="13" t="s">
        <v>268</v>
      </c>
    </row>
    <row r="17" spans="2:7" x14ac:dyDescent="0.25">
      <c r="B17" s="13">
        <v>14</v>
      </c>
      <c r="C17" s="13" t="s">
        <v>269</v>
      </c>
      <c r="D17" s="223">
        <v>451337.09340000001</v>
      </c>
      <c r="E17" s="223">
        <v>3047403.1253</v>
      </c>
      <c r="F17" s="13">
        <v>0</v>
      </c>
      <c r="G17" s="13" t="s">
        <v>270</v>
      </c>
    </row>
    <row r="18" spans="2:7" x14ac:dyDescent="0.25">
      <c r="B18" s="13">
        <v>15</v>
      </c>
      <c r="C18" s="13" t="s">
        <v>271</v>
      </c>
      <c r="D18" s="223">
        <v>451309.92340000003</v>
      </c>
      <c r="E18" s="223">
        <v>3047352.6523000002</v>
      </c>
      <c r="F18" s="13">
        <v>0</v>
      </c>
      <c r="G18" s="13" t="s">
        <v>272</v>
      </c>
    </row>
    <row r="19" spans="2:7" x14ac:dyDescent="0.25">
      <c r="B19" s="13">
        <v>16</v>
      </c>
      <c r="C19" s="13" t="s">
        <v>273</v>
      </c>
      <c r="D19" s="223">
        <v>451332.33880000003</v>
      </c>
      <c r="E19" s="223">
        <v>3047314.4580000001</v>
      </c>
      <c r="F19" s="13">
        <v>0</v>
      </c>
      <c r="G19" s="13" t="s">
        <v>274</v>
      </c>
    </row>
    <row r="20" spans="2:7" x14ac:dyDescent="0.25">
      <c r="B20" s="13">
        <v>17</v>
      </c>
      <c r="C20" s="13" t="s">
        <v>275</v>
      </c>
      <c r="D20" s="223">
        <v>451385.00439999998</v>
      </c>
      <c r="E20" s="223">
        <v>3047285.1213000002</v>
      </c>
      <c r="F20" s="13">
        <v>0</v>
      </c>
      <c r="G20" s="13" t="s">
        <v>276</v>
      </c>
    </row>
    <row r="21" spans="2:7" x14ac:dyDescent="0.25">
      <c r="B21" s="13">
        <v>18</v>
      </c>
      <c r="C21" s="13" t="s">
        <v>277</v>
      </c>
      <c r="D21" s="223">
        <v>451372.18939999997</v>
      </c>
      <c r="E21" s="223">
        <v>3047238.4202999999</v>
      </c>
      <c r="F21" s="13">
        <v>0</v>
      </c>
      <c r="G21" s="13" t="s">
        <v>278</v>
      </c>
    </row>
    <row r="22" spans="2:7" x14ac:dyDescent="0.25">
      <c r="B22" s="13">
        <v>19</v>
      </c>
      <c r="C22" s="13" t="s">
        <v>279</v>
      </c>
      <c r="D22" s="223">
        <v>451370.42080000002</v>
      </c>
      <c r="E22" s="223">
        <v>3047212.4931000001</v>
      </c>
      <c r="F22" s="13">
        <v>0</v>
      </c>
      <c r="G22" s="13" t="s">
        <v>280</v>
      </c>
    </row>
    <row r="23" spans="2:7" x14ac:dyDescent="0.25">
      <c r="B23" s="13">
        <v>20</v>
      </c>
      <c r="C23" s="13" t="s">
        <v>281</v>
      </c>
      <c r="D23" s="223">
        <v>451352.3971</v>
      </c>
      <c r="E23" s="223">
        <v>3047166.2922</v>
      </c>
      <c r="F23" s="13">
        <v>0</v>
      </c>
      <c r="G23" s="13" t="s">
        <v>282</v>
      </c>
    </row>
    <row r="24" spans="2:7" x14ac:dyDescent="0.25">
      <c r="B24" s="13">
        <v>21</v>
      </c>
      <c r="C24" s="13" t="s">
        <v>283</v>
      </c>
      <c r="D24" s="223">
        <v>451352.6298</v>
      </c>
      <c r="E24" s="223">
        <v>3047097.8539999998</v>
      </c>
      <c r="F24" s="13">
        <v>0</v>
      </c>
      <c r="G24" s="13" t="s">
        <v>284</v>
      </c>
    </row>
    <row r="25" spans="2:7" x14ac:dyDescent="0.25">
      <c r="B25" s="13">
        <v>22</v>
      </c>
      <c r="C25" s="13" t="s">
        <v>285</v>
      </c>
      <c r="D25" s="223">
        <v>451383.0098</v>
      </c>
      <c r="E25" s="223">
        <v>3047059.4470000002</v>
      </c>
      <c r="F25" s="13">
        <v>0</v>
      </c>
      <c r="G25" s="13" t="s">
        <v>286</v>
      </c>
    </row>
    <row r="26" spans="2:7" x14ac:dyDescent="0.25">
      <c r="B26" s="13">
        <v>23</v>
      </c>
      <c r="C26" s="13" t="s">
        <v>287</v>
      </c>
      <c r="D26" s="223">
        <v>451367.01140000002</v>
      </c>
      <c r="E26" s="223">
        <v>3046998.7563</v>
      </c>
      <c r="F26" s="13">
        <v>0</v>
      </c>
      <c r="G26" s="13" t="s">
        <v>288</v>
      </c>
    </row>
    <row r="27" spans="2:7" x14ac:dyDescent="0.25">
      <c r="B27" s="13">
        <v>24</v>
      </c>
      <c r="C27" s="13" t="s">
        <v>289</v>
      </c>
      <c r="D27" s="223">
        <v>451334.29840000003</v>
      </c>
      <c r="E27" s="223">
        <v>3046993.0162999998</v>
      </c>
      <c r="F27" s="13">
        <v>0</v>
      </c>
      <c r="G27" s="13" t="s">
        <v>290</v>
      </c>
    </row>
    <row r="28" spans="2:7" x14ac:dyDescent="0.25">
      <c r="B28" s="13">
        <v>25</v>
      </c>
      <c r="C28" s="13" t="s">
        <v>291</v>
      </c>
      <c r="D28" s="223">
        <v>451329.61839999998</v>
      </c>
      <c r="E28" s="223">
        <v>3046933.1272999998</v>
      </c>
      <c r="F28" s="13">
        <v>0</v>
      </c>
      <c r="G28" s="13" t="s">
        <v>292</v>
      </c>
    </row>
    <row r="29" spans="2:7" x14ac:dyDescent="0.25">
      <c r="B29" s="13">
        <v>26</v>
      </c>
      <c r="C29" s="13" t="s">
        <v>293</v>
      </c>
      <c r="D29" s="223">
        <v>451299.27340000001</v>
      </c>
      <c r="E29" s="223">
        <v>3046873.3503</v>
      </c>
      <c r="F29" s="13">
        <v>0</v>
      </c>
      <c r="G29" s="13" t="s">
        <v>294</v>
      </c>
    </row>
    <row r="30" spans="2:7" x14ac:dyDescent="0.25">
      <c r="B30" s="13">
        <v>27</v>
      </c>
      <c r="C30" s="13" t="s">
        <v>295</v>
      </c>
      <c r="D30" s="223">
        <v>451252.5724</v>
      </c>
      <c r="E30" s="223">
        <v>3046718.3173000002</v>
      </c>
      <c r="F30" s="13">
        <v>0</v>
      </c>
      <c r="G30" s="13" t="s">
        <v>296</v>
      </c>
    </row>
    <row r="31" spans="2:7" x14ac:dyDescent="0.25">
      <c r="B31" s="13">
        <v>28</v>
      </c>
      <c r="C31" s="13" t="s">
        <v>297</v>
      </c>
      <c r="D31" s="223">
        <v>451219.3444</v>
      </c>
      <c r="E31" s="223">
        <v>3046643.2012999998</v>
      </c>
      <c r="F31" s="13">
        <v>0</v>
      </c>
      <c r="G31" s="13" t="s">
        <v>298</v>
      </c>
    </row>
    <row r="32" spans="2:7" x14ac:dyDescent="0.25">
      <c r="B32" s="13">
        <v>29</v>
      </c>
      <c r="C32" s="13" t="s">
        <v>299</v>
      </c>
      <c r="D32" s="223">
        <v>451248.4314</v>
      </c>
      <c r="E32" s="223">
        <v>3046597.5243000002</v>
      </c>
      <c r="F32" s="13">
        <v>0</v>
      </c>
      <c r="G32" s="13" t="s">
        <v>300</v>
      </c>
    </row>
    <row r="33" spans="2:7" x14ac:dyDescent="0.25">
      <c r="B33" s="13">
        <v>30</v>
      </c>
      <c r="C33" s="13" t="s">
        <v>301</v>
      </c>
      <c r="D33" s="223">
        <v>451250.79060000001</v>
      </c>
      <c r="E33" s="223">
        <v>3046589.6992000001</v>
      </c>
      <c r="F33" s="13">
        <v>0</v>
      </c>
      <c r="G33" s="13" t="s">
        <v>254</v>
      </c>
    </row>
    <row r="34" spans="2:7" x14ac:dyDescent="0.25">
      <c r="B34" s="13">
        <v>31</v>
      </c>
      <c r="C34" s="13" t="s">
        <v>302</v>
      </c>
      <c r="D34" s="223">
        <v>451281.57150000002</v>
      </c>
      <c r="E34" s="223">
        <v>3046487.6060000001</v>
      </c>
      <c r="F34" s="13">
        <v>0</v>
      </c>
      <c r="G34" s="13" t="s">
        <v>303</v>
      </c>
    </row>
    <row r="35" spans="2:7" x14ac:dyDescent="0.25">
      <c r="B35" s="13">
        <v>32</v>
      </c>
      <c r="C35" s="13" t="s">
        <v>304</v>
      </c>
      <c r="D35" s="223">
        <v>451236.16379999998</v>
      </c>
      <c r="E35" s="223">
        <v>3046283.85</v>
      </c>
      <c r="F35" s="13">
        <v>0</v>
      </c>
      <c r="G35" s="13" t="s">
        <v>305</v>
      </c>
    </row>
    <row r="36" spans="2:7" x14ac:dyDescent="0.25">
      <c r="B36" s="13">
        <v>33</v>
      </c>
      <c r="C36" s="13" t="s">
        <v>306</v>
      </c>
      <c r="D36" s="223">
        <v>451202.11829999997</v>
      </c>
      <c r="E36" s="223">
        <v>3046239.6652000002</v>
      </c>
      <c r="F36" s="13">
        <v>0</v>
      </c>
      <c r="G36" s="13" t="s">
        <v>307</v>
      </c>
    </row>
    <row r="37" spans="2:7" x14ac:dyDescent="0.25">
      <c r="B37" s="13">
        <v>34</v>
      </c>
      <c r="C37" s="13" t="s">
        <v>308</v>
      </c>
      <c r="D37" s="223">
        <v>451135.89640000003</v>
      </c>
      <c r="E37" s="223">
        <v>3046153.7203000002</v>
      </c>
      <c r="F37" s="13">
        <v>0</v>
      </c>
      <c r="G37" s="13" t="s">
        <v>309</v>
      </c>
    </row>
    <row r="38" spans="2:7" x14ac:dyDescent="0.25">
      <c r="B38" s="13">
        <v>35</v>
      </c>
      <c r="C38" s="13" t="s">
        <v>310</v>
      </c>
      <c r="D38" s="223">
        <v>451135.64500000002</v>
      </c>
      <c r="E38" s="223">
        <v>3046146.5765</v>
      </c>
      <c r="F38" s="13">
        <v>0</v>
      </c>
      <c r="G38" s="13" t="s">
        <v>254</v>
      </c>
    </row>
    <row r="39" spans="2:7" x14ac:dyDescent="0.25">
      <c r="B39" s="13">
        <v>36</v>
      </c>
      <c r="C39" s="13" t="s">
        <v>311</v>
      </c>
      <c r="D39" s="223">
        <v>451131.68079999997</v>
      </c>
      <c r="E39" s="223">
        <v>3046033.906</v>
      </c>
      <c r="F39" s="13">
        <v>0</v>
      </c>
      <c r="G39" s="13" t="s">
        <v>312</v>
      </c>
    </row>
    <row r="40" spans="2:7" x14ac:dyDescent="0.25">
      <c r="B40" s="13">
        <v>37</v>
      </c>
      <c r="C40" s="13" t="s">
        <v>313</v>
      </c>
      <c r="D40" s="223">
        <v>451113.66350000002</v>
      </c>
      <c r="E40" s="223">
        <v>3046017.5114000002</v>
      </c>
      <c r="F40" s="13">
        <v>0</v>
      </c>
      <c r="G40" s="13" t="s">
        <v>254</v>
      </c>
    </row>
    <row r="41" spans="2:7" x14ac:dyDescent="0.25">
      <c r="B41" s="13">
        <v>38</v>
      </c>
      <c r="C41" s="13" t="s">
        <v>314</v>
      </c>
      <c r="D41" s="223">
        <v>451093.21659999999</v>
      </c>
      <c r="E41" s="223">
        <v>3045998.9059000001</v>
      </c>
      <c r="F41" s="13">
        <v>0</v>
      </c>
      <c r="G41" s="13" t="s">
        <v>315</v>
      </c>
    </row>
    <row r="42" spans="2:7" x14ac:dyDescent="0.25">
      <c r="B42" s="13">
        <v>39</v>
      </c>
      <c r="C42" s="13" t="s">
        <v>316</v>
      </c>
      <c r="D42" s="223">
        <v>451085.4987</v>
      </c>
      <c r="E42" s="223">
        <v>3045969.1453</v>
      </c>
      <c r="F42" s="13">
        <v>0</v>
      </c>
      <c r="G42" s="13" t="s">
        <v>317</v>
      </c>
    </row>
    <row r="43" spans="2:7" x14ac:dyDescent="0.25">
      <c r="B43" s="13">
        <v>40</v>
      </c>
      <c r="C43" s="13" t="s">
        <v>318</v>
      </c>
      <c r="D43" s="223">
        <v>451052.85249999998</v>
      </c>
      <c r="E43" s="223">
        <v>3045843.2656</v>
      </c>
      <c r="F43" s="13">
        <v>0</v>
      </c>
      <c r="G43" s="13" t="s">
        <v>319</v>
      </c>
    </row>
    <row r="44" spans="2:7" x14ac:dyDescent="0.25">
      <c r="B44" s="13">
        <v>41</v>
      </c>
      <c r="C44" s="13" t="s">
        <v>320</v>
      </c>
      <c r="D44" s="223">
        <v>451048.72590000002</v>
      </c>
      <c r="E44" s="223">
        <v>3045796.9257999999</v>
      </c>
      <c r="F44" s="13">
        <v>0</v>
      </c>
      <c r="G44" s="13" t="s">
        <v>254</v>
      </c>
    </row>
    <row r="45" spans="2:7" x14ac:dyDescent="0.25">
      <c r="B45" s="13">
        <v>42</v>
      </c>
      <c r="C45" s="13" t="s">
        <v>321</v>
      </c>
      <c r="D45" s="223">
        <v>451045.62030000001</v>
      </c>
      <c r="E45" s="223">
        <v>3045762.0514000002</v>
      </c>
      <c r="F45" s="13">
        <v>0</v>
      </c>
      <c r="G45" s="13" t="s">
        <v>322</v>
      </c>
    </row>
    <row r="46" spans="2:7" x14ac:dyDescent="0.25">
      <c r="B46" s="13">
        <v>43</v>
      </c>
      <c r="C46" s="13" t="s">
        <v>323</v>
      </c>
      <c r="D46" s="223">
        <v>451115.75150000001</v>
      </c>
      <c r="E46" s="223">
        <v>3045738.1691000001</v>
      </c>
      <c r="F46" s="13">
        <v>0</v>
      </c>
      <c r="G46" s="13" t="s">
        <v>324</v>
      </c>
    </row>
    <row r="47" spans="2:7" x14ac:dyDescent="0.25">
      <c r="B47" s="13">
        <v>44</v>
      </c>
      <c r="C47" s="13" t="s">
        <v>325</v>
      </c>
      <c r="D47" s="223">
        <v>451116.28019999998</v>
      </c>
      <c r="E47" s="223">
        <v>3045713.1631999998</v>
      </c>
      <c r="F47" s="13">
        <v>0</v>
      </c>
      <c r="G47" s="13" t="s">
        <v>254</v>
      </c>
    </row>
    <row r="48" spans="2:7" x14ac:dyDescent="0.25">
      <c r="B48" s="13">
        <v>45</v>
      </c>
      <c r="C48" s="13" t="s">
        <v>326</v>
      </c>
      <c r="D48" s="223">
        <v>451118.05550000002</v>
      </c>
      <c r="E48" s="223">
        <v>3045629.1825999999</v>
      </c>
      <c r="F48" s="13">
        <v>0</v>
      </c>
      <c r="G48" s="13" t="s">
        <v>254</v>
      </c>
    </row>
    <row r="49" spans="2:7" x14ac:dyDescent="0.25">
      <c r="B49" s="13">
        <v>46</v>
      </c>
      <c r="C49" s="13" t="s">
        <v>327</v>
      </c>
      <c r="D49" s="223">
        <v>451118.41769999999</v>
      </c>
      <c r="E49" s="223">
        <v>3045612.0479000001</v>
      </c>
      <c r="F49" s="13">
        <v>0</v>
      </c>
      <c r="G49" s="13" t="s">
        <v>328</v>
      </c>
    </row>
    <row r="50" spans="2:7" x14ac:dyDescent="0.25">
      <c r="B50" s="13">
        <v>47</v>
      </c>
      <c r="C50" s="13" t="s">
        <v>329</v>
      </c>
      <c r="D50" s="223">
        <v>451099.57040000003</v>
      </c>
      <c r="E50" s="223">
        <v>3045593.1693000002</v>
      </c>
      <c r="F50" s="13">
        <v>0</v>
      </c>
      <c r="G50" s="13" t="s">
        <v>330</v>
      </c>
    </row>
    <row r="51" spans="2:7" x14ac:dyDescent="0.25">
      <c r="B51" s="13">
        <v>48</v>
      </c>
      <c r="C51" s="13" t="s">
        <v>331</v>
      </c>
      <c r="D51" s="223">
        <v>451096.16590000002</v>
      </c>
      <c r="E51" s="223">
        <v>3045577.9482999998</v>
      </c>
      <c r="F51" s="13">
        <v>0</v>
      </c>
      <c r="G51" s="13" t="s">
        <v>254</v>
      </c>
    </row>
    <row r="52" spans="2:7" x14ac:dyDescent="0.25">
      <c r="B52" s="13">
        <v>49</v>
      </c>
      <c r="C52" s="13" t="s">
        <v>332</v>
      </c>
      <c r="D52" s="223">
        <v>451049.23540000001</v>
      </c>
      <c r="E52" s="223">
        <v>3045368.1313</v>
      </c>
      <c r="F52" s="13">
        <v>0</v>
      </c>
      <c r="G52" s="13" t="s">
        <v>333</v>
      </c>
    </row>
    <row r="53" spans="2:7" x14ac:dyDescent="0.25">
      <c r="B53" s="13">
        <v>50</v>
      </c>
      <c r="C53" s="13" t="s">
        <v>334</v>
      </c>
      <c r="D53" s="223">
        <v>451043.1384</v>
      </c>
      <c r="E53" s="223">
        <v>3045320.4402999999</v>
      </c>
      <c r="F53" s="13">
        <v>0</v>
      </c>
      <c r="G53" s="13" t="s">
        <v>335</v>
      </c>
    </row>
    <row r="54" spans="2:7" x14ac:dyDescent="0.25">
      <c r="B54" s="13">
        <v>51</v>
      </c>
      <c r="C54" s="13" t="s">
        <v>336</v>
      </c>
      <c r="D54" s="223">
        <v>451074.39549999998</v>
      </c>
      <c r="E54" s="223">
        <v>3045264.8790000002</v>
      </c>
      <c r="F54" s="13">
        <v>0</v>
      </c>
      <c r="G54" s="13" t="s">
        <v>254</v>
      </c>
    </row>
    <row r="55" spans="2:7" x14ac:dyDescent="0.25">
      <c r="B55" s="13">
        <v>52</v>
      </c>
      <c r="C55" s="13" t="s">
        <v>337</v>
      </c>
      <c r="D55" s="223">
        <v>451133.23229999997</v>
      </c>
      <c r="E55" s="223">
        <v>3045160.2930000001</v>
      </c>
      <c r="F55" s="13">
        <v>0</v>
      </c>
      <c r="G55" s="13" t="s">
        <v>254</v>
      </c>
    </row>
    <row r="56" spans="2:7" x14ac:dyDescent="0.25">
      <c r="B56" s="13">
        <v>53</v>
      </c>
      <c r="C56" s="13" t="s">
        <v>338</v>
      </c>
      <c r="D56" s="223">
        <v>451143.08529999998</v>
      </c>
      <c r="E56" s="223">
        <v>3045142.7788</v>
      </c>
      <c r="F56" s="13">
        <v>0</v>
      </c>
      <c r="G56" s="13" t="s">
        <v>339</v>
      </c>
    </row>
    <row r="57" spans="2:7" x14ac:dyDescent="0.25">
      <c r="B57" s="13">
        <v>54</v>
      </c>
      <c r="C57" s="13" t="s">
        <v>340</v>
      </c>
      <c r="D57" s="223">
        <v>451098.06550000003</v>
      </c>
      <c r="E57" s="223">
        <v>3045115.9411999998</v>
      </c>
      <c r="F57" s="13">
        <v>0</v>
      </c>
      <c r="G57" s="13" t="s">
        <v>341</v>
      </c>
    </row>
    <row r="58" spans="2:7" x14ac:dyDescent="0.25">
      <c r="B58" s="13">
        <v>55</v>
      </c>
      <c r="C58" s="13" t="s">
        <v>342</v>
      </c>
      <c r="D58" s="223">
        <v>451017.22039999999</v>
      </c>
      <c r="E58" s="223">
        <v>3045041.0813000002</v>
      </c>
      <c r="F58" s="13">
        <v>0</v>
      </c>
      <c r="G58" s="13" t="s">
        <v>343</v>
      </c>
    </row>
    <row r="59" spans="2:7" x14ac:dyDescent="0.25">
      <c r="B59" s="13">
        <v>56</v>
      </c>
      <c r="C59" s="13" t="s">
        <v>344</v>
      </c>
      <c r="D59" s="223">
        <v>451047.75469999999</v>
      </c>
      <c r="E59" s="223">
        <v>3044963.1129000001</v>
      </c>
      <c r="F59" s="13">
        <v>0</v>
      </c>
      <c r="G59" s="13" t="s">
        <v>254</v>
      </c>
    </row>
    <row r="60" spans="2:7" x14ac:dyDescent="0.25">
      <c r="B60" s="13">
        <v>57</v>
      </c>
      <c r="C60" s="13" t="s">
        <v>345</v>
      </c>
      <c r="D60" s="223">
        <v>451091.51370000001</v>
      </c>
      <c r="E60" s="223">
        <v>3044851.3760000002</v>
      </c>
      <c r="F60" s="13">
        <v>0</v>
      </c>
      <c r="G60" s="13" t="s">
        <v>254</v>
      </c>
    </row>
    <row r="61" spans="2:7" x14ac:dyDescent="0.25">
      <c r="B61" s="13">
        <v>58</v>
      </c>
      <c r="C61" s="13" t="s">
        <v>346</v>
      </c>
      <c r="D61" s="223">
        <v>451098.16830000002</v>
      </c>
      <c r="E61" s="223">
        <v>3044834.3838</v>
      </c>
      <c r="F61" s="13">
        <v>0</v>
      </c>
      <c r="G61" s="13" t="s">
        <v>347</v>
      </c>
    </row>
    <row r="62" spans="2:7" x14ac:dyDescent="0.25">
      <c r="B62" s="13">
        <v>59</v>
      </c>
      <c r="C62" s="13" t="s">
        <v>348</v>
      </c>
      <c r="D62" s="223">
        <v>451076.62339999998</v>
      </c>
      <c r="E62" s="223">
        <v>3044816.3333000001</v>
      </c>
      <c r="F62" s="13">
        <v>0</v>
      </c>
      <c r="G62" s="13" t="s">
        <v>349</v>
      </c>
    </row>
    <row r="63" spans="2:7" x14ac:dyDescent="0.25">
      <c r="B63" s="13">
        <v>60</v>
      </c>
      <c r="C63" s="13" t="s">
        <v>350</v>
      </c>
      <c r="D63" s="223">
        <v>451083.745</v>
      </c>
      <c r="E63" s="223">
        <v>3044763.4071</v>
      </c>
      <c r="F63" s="13">
        <v>0</v>
      </c>
      <c r="G63" s="13" t="s">
        <v>351</v>
      </c>
    </row>
    <row r="64" spans="2:7" x14ac:dyDescent="0.25">
      <c r="B64" s="13">
        <v>61</v>
      </c>
      <c r="C64" s="13" t="s">
        <v>352</v>
      </c>
      <c r="D64" s="223">
        <v>451086.18650000001</v>
      </c>
      <c r="E64" s="223">
        <v>3044759.0638000001</v>
      </c>
      <c r="F64" s="13">
        <v>0</v>
      </c>
      <c r="G64" s="13" t="s">
        <v>254</v>
      </c>
    </row>
    <row r="65" spans="2:7" x14ac:dyDescent="0.25">
      <c r="B65" s="13">
        <v>62</v>
      </c>
      <c r="C65" s="13" t="s">
        <v>353</v>
      </c>
      <c r="D65" s="223">
        <v>451124.59450000001</v>
      </c>
      <c r="E65" s="223">
        <v>3044690.7395000001</v>
      </c>
      <c r="F65" s="13">
        <v>0</v>
      </c>
      <c r="G65" s="13" t="s">
        <v>354</v>
      </c>
    </row>
    <row r="66" spans="2:7" x14ac:dyDescent="0.25">
      <c r="B66" s="13">
        <v>63</v>
      </c>
      <c r="C66" s="13" t="s">
        <v>355</v>
      </c>
      <c r="D66" s="223">
        <v>451125.25089999998</v>
      </c>
      <c r="E66" s="223">
        <v>3044634.6288000001</v>
      </c>
      <c r="F66" s="13">
        <v>0</v>
      </c>
      <c r="G66" s="13" t="s">
        <v>254</v>
      </c>
    </row>
    <row r="67" spans="2:7" x14ac:dyDescent="0.25">
      <c r="B67" s="13">
        <v>64</v>
      </c>
      <c r="C67" s="13" t="s">
        <v>356</v>
      </c>
      <c r="D67" s="223">
        <v>451125.89750000002</v>
      </c>
      <c r="E67" s="223">
        <v>3044579.3541999999</v>
      </c>
      <c r="F67" s="13">
        <v>0</v>
      </c>
      <c r="G67" s="13" t="s">
        <v>357</v>
      </c>
    </row>
    <row r="68" spans="2:7" x14ac:dyDescent="0.25">
      <c r="B68" s="13">
        <v>65</v>
      </c>
      <c r="C68" s="13" t="s">
        <v>358</v>
      </c>
      <c r="D68" s="223">
        <v>451083.85800000001</v>
      </c>
      <c r="E68" s="223">
        <v>3044576.6244000001</v>
      </c>
      <c r="F68" s="13">
        <v>0</v>
      </c>
      <c r="G68" s="13" t="s">
        <v>359</v>
      </c>
    </row>
    <row r="69" spans="2:7" x14ac:dyDescent="0.25">
      <c r="B69" s="13">
        <v>66</v>
      </c>
      <c r="C69" s="13" t="s">
        <v>360</v>
      </c>
      <c r="D69" s="223">
        <v>451077.6324</v>
      </c>
      <c r="E69" s="223">
        <v>3044560.8613</v>
      </c>
      <c r="F69" s="13">
        <v>0</v>
      </c>
      <c r="G69" s="13" t="s">
        <v>361</v>
      </c>
    </row>
    <row r="70" spans="2:7" x14ac:dyDescent="0.25">
      <c r="B70" s="13">
        <v>67</v>
      </c>
      <c r="C70" s="13" t="s">
        <v>362</v>
      </c>
      <c r="D70" s="223">
        <v>451062.83899999998</v>
      </c>
      <c r="E70" s="223">
        <v>3044385.1781000001</v>
      </c>
      <c r="F70" s="13">
        <v>0</v>
      </c>
      <c r="G70" s="13" t="s">
        <v>363</v>
      </c>
    </row>
    <row r="71" spans="2:7" x14ac:dyDescent="0.25">
      <c r="B71" s="13">
        <v>68</v>
      </c>
      <c r="C71" s="13" t="s">
        <v>364</v>
      </c>
      <c r="D71" s="223">
        <v>451026.54820000002</v>
      </c>
      <c r="E71" s="223">
        <v>3044337.6340000001</v>
      </c>
      <c r="F71" s="13">
        <v>0</v>
      </c>
      <c r="G71" s="13" t="s">
        <v>365</v>
      </c>
    </row>
    <row r="72" spans="2:7" x14ac:dyDescent="0.25">
      <c r="B72" s="13">
        <v>69</v>
      </c>
      <c r="C72" s="13" t="s">
        <v>366</v>
      </c>
      <c r="D72" s="223">
        <v>451056.29060000001</v>
      </c>
      <c r="E72" s="223">
        <v>3044269.5983000002</v>
      </c>
      <c r="F72" s="13">
        <v>0</v>
      </c>
      <c r="G72" s="13" t="s">
        <v>367</v>
      </c>
    </row>
    <row r="73" spans="2:7" x14ac:dyDescent="0.25">
      <c r="B73" s="13">
        <v>70</v>
      </c>
      <c r="C73" s="13" t="s">
        <v>368</v>
      </c>
      <c r="D73" s="223">
        <v>451051.7818</v>
      </c>
      <c r="E73" s="223">
        <v>3044180.8851999999</v>
      </c>
      <c r="F73" s="13">
        <v>0</v>
      </c>
      <c r="G73" s="13" t="s">
        <v>254</v>
      </c>
    </row>
    <row r="74" spans="2:7" x14ac:dyDescent="0.25">
      <c r="B74" s="13">
        <v>71</v>
      </c>
      <c r="C74" s="13" t="s">
        <v>369</v>
      </c>
      <c r="D74" s="223">
        <v>451050.05479999998</v>
      </c>
      <c r="E74" s="223">
        <v>3044146.9071</v>
      </c>
      <c r="F74" s="13">
        <v>0</v>
      </c>
      <c r="G74" s="13" t="s">
        <v>370</v>
      </c>
    </row>
    <row r="75" spans="2:7" x14ac:dyDescent="0.25">
      <c r="B75" s="13">
        <v>72</v>
      </c>
      <c r="C75" s="13" t="s">
        <v>371</v>
      </c>
      <c r="D75" s="223">
        <v>451023.33409999998</v>
      </c>
      <c r="E75" s="223">
        <v>3044113.03</v>
      </c>
      <c r="F75" s="13">
        <v>0</v>
      </c>
      <c r="G75" s="13" t="s">
        <v>372</v>
      </c>
    </row>
    <row r="76" spans="2:7" x14ac:dyDescent="0.25">
      <c r="B76" s="13">
        <v>73</v>
      </c>
      <c r="C76" s="13" t="s">
        <v>373</v>
      </c>
      <c r="D76" s="223">
        <v>451044.4999</v>
      </c>
      <c r="E76" s="223">
        <v>3044065.7387000001</v>
      </c>
      <c r="F76" s="13">
        <v>0</v>
      </c>
      <c r="G76" s="13" t="s">
        <v>374</v>
      </c>
    </row>
    <row r="77" spans="2:7" x14ac:dyDescent="0.25">
      <c r="B77" s="13">
        <v>74</v>
      </c>
      <c r="C77" s="13" t="s">
        <v>375</v>
      </c>
      <c r="D77" s="223">
        <v>451036.0428</v>
      </c>
      <c r="E77" s="223">
        <v>3043985.8155999999</v>
      </c>
      <c r="F77" s="13">
        <v>0</v>
      </c>
      <c r="G77" s="13" t="s">
        <v>254</v>
      </c>
    </row>
    <row r="78" spans="2:7" x14ac:dyDescent="0.25">
      <c r="B78" s="13">
        <v>75</v>
      </c>
      <c r="C78" s="13" t="s">
        <v>376</v>
      </c>
      <c r="D78" s="223">
        <v>450983.3786</v>
      </c>
      <c r="E78" s="223">
        <v>3043488.1167000001</v>
      </c>
      <c r="F78" s="13">
        <v>0</v>
      </c>
      <c r="G78" s="13" t="s">
        <v>254</v>
      </c>
    </row>
    <row r="79" spans="2:7" x14ac:dyDescent="0.25">
      <c r="B79" s="13">
        <v>76</v>
      </c>
      <c r="C79" s="13" t="s">
        <v>377</v>
      </c>
      <c r="D79" s="223">
        <v>450982.10879999999</v>
      </c>
      <c r="E79" s="223">
        <v>3043476.1159999999</v>
      </c>
      <c r="F79" s="13">
        <v>0</v>
      </c>
      <c r="G79" s="13" t="s">
        <v>378</v>
      </c>
    </row>
    <row r="80" spans="2:7" x14ac:dyDescent="0.25">
      <c r="B80" s="13">
        <v>77</v>
      </c>
      <c r="C80" s="13" t="s">
        <v>379</v>
      </c>
      <c r="D80" s="223">
        <v>450897.06540000002</v>
      </c>
      <c r="E80" s="223">
        <v>3043457.4953000001</v>
      </c>
      <c r="F80" s="13">
        <v>0</v>
      </c>
      <c r="G80" s="13" t="s">
        <v>380</v>
      </c>
    </row>
    <row r="81" spans="2:7" x14ac:dyDescent="0.25">
      <c r="B81" s="13">
        <v>78</v>
      </c>
      <c r="C81" s="13" t="s">
        <v>381</v>
      </c>
      <c r="D81" s="223">
        <v>450892.11709999997</v>
      </c>
      <c r="E81" s="223">
        <v>3043408.1017</v>
      </c>
      <c r="F81" s="13">
        <v>0</v>
      </c>
      <c r="G81" s="13" t="s">
        <v>382</v>
      </c>
    </row>
    <row r="82" spans="2:7" x14ac:dyDescent="0.25">
      <c r="B82" s="13">
        <v>79</v>
      </c>
      <c r="C82" s="13" t="s">
        <v>383</v>
      </c>
      <c r="D82" s="223">
        <v>450931.35820000002</v>
      </c>
      <c r="E82" s="223">
        <v>3043370.3476</v>
      </c>
      <c r="F82" s="13">
        <v>0</v>
      </c>
      <c r="G82" s="13" t="s">
        <v>384</v>
      </c>
    </row>
    <row r="83" spans="2:7" x14ac:dyDescent="0.25">
      <c r="B83" s="13">
        <v>80</v>
      </c>
      <c r="C83" s="13" t="s">
        <v>385</v>
      </c>
      <c r="D83" s="223">
        <v>450919.56420000002</v>
      </c>
      <c r="E83" s="223">
        <v>3043312.4408999998</v>
      </c>
      <c r="F83" s="13">
        <v>0</v>
      </c>
      <c r="G83" s="13" t="s">
        <v>386</v>
      </c>
    </row>
    <row r="84" spans="2:7" x14ac:dyDescent="0.25">
      <c r="B84" s="13">
        <v>81</v>
      </c>
      <c r="C84" s="13" t="s">
        <v>387</v>
      </c>
      <c r="D84" s="223">
        <v>450864.5404</v>
      </c>
      <c r="E84" s="223">
        <v>3043274.4396000002</v>
      </c>
      <c r="F84" s="13">
        <v>0</v>
      </c>
      <c r="G84" s="13" t="s">
        <v>388</v>
      </c>
    </row>
    <row r="85" spans="2:7" x14ac:dyDescent="0.25">
      <c r="B85" s="13">
        <v>82</v>
      </c>
      <c r="C85" s="13" t="s">
        <v>389</v>
      </c>
      <c r="D85" s="223">
        <v>450826.34240000002</v>
      </c>
      <c r="E85" s="223">
        <v>3043177.1752999998</v>
      </c>
      <c r="F85" s="13">
        <v>0</v>
      </c>
      <c r="G85" s="13" t="s">
        <v>390</v>
      </c>
    </row>
    <row r="86" spans="2:7" x14ac:dyDescent="0.25">
      <c r="B86" s="13">
        <v>83</v>
      </c>
      <c r="C86" s="13" t="s">
        <v>391</v>
      </c>
      <c r="D86" s="223">
        <v>450835.5624</v>
      </c>
      <c r="E86" s="223">
        <v>3043150.8662999999</v>
      </c>
      <c r="F86" s="13">
        <v>0</v>
      </c>
      <c r="G86" s="13" t="s">
        <v>392</v>
      </c>
    </row>
    <row r="87" spans="2:7" x14ac:dyDescent="0.25">
      <c r="B87" s="13">
        <v>84</v>
      </c>
      <c r="C87" s="13" t="s">
        <v>393</v>
      </c>
      <c r="D87" s="223">
        <v>450821.07370000001</v>
      </c>
      <c r="E87" s="223">
        <v>3043085.9216999998</v>
      </c>
      <c r="F87" s="13">
        <v>0</v>
      </c>
      <c r="G87" s="13" t="s">
        <v>254</v>
      </c>
    </row>
    <row r="88" spans="2:7" x14ac:dyDescent="0.25">
      <c r="B88" s="13">
        <v>85</v>
      </c>
      <c r="C88" s="13" t="s">
        <v>394</v>
      </c>
      <c r="D88" s="223">
        <v>450684.5723</v>
      </c>
      <c r="E88" s="223">
        <v>3042474.0627000001</v>
      </c>
      <c r="F88" s="13">
        <v>0</v>
      </c>
      <c r="G88" s="13" t="s">
        <v>254</v>
      </c>
    </row>
    <row r="89" spans="2:7" x14ac:dyDescent="0.25">
      <c r="B89" s="13">
        <v>86</v>
      </c>
      <c r="C89" s="13" t="s">
        <v>395</v>
      </c>
      <c r="D89" s="223">
        <v>450638.90759999998</v>
      </c>
      <c r="E89" s="224">
        <v>3042269.3739999998</v>
      </c>
      <c r="F89" s="13">
        <v>0</v>
      </c>
      <c r="G89" s="13" t="s">
        <v>254</v>
      </c>
    </row>
    <row r="90" spans="2:7" x14ac:dyDescent="0.25">
      <c r="B90" s="13">
        <v>87</v>
      </c>
      <c r="C90" s="13" t="s">
        <v>396</v>
      </c>
      <c r="D90" s="223">
        <v>450634.0184</v>
      </c>
      <c r="E90" s="224">
        <v>3042247.4582000002</v>
      </c>
      <c r="F90" s="13">
        <v>0</v>
      </c>
      <c r="G90" s="13" t="s">
        <v>397</v>
      </c>
    </row>
    <row r="91" spans="2:7" x14ac:dyDescent="0.25">
      <c r="B91" s="13">
        <v>88</v>
      </c>
      <c r="C91" s="13" t="s">
        <v>398</v>
      </c>
      <c r="D91" s="223">
        <v>450619.27679999999</v>
      </c>
      <c r="E91" s="223">
        <v>3042230.7744</v>
      </c>
      <c r="F91" s="13">
        <v>0</v>
      </c>
      <c r="G91" s="13" t="s">
        <v>399</v>
      </c>
    </row>
    <row r="92" spans="2:7" x14ac:dyDescent="0.25">
      <c r="B92" s="13">
        <v>89</v>
      </c>
      <c r="C92" s="13" t="s">
        <v>400</v>
      </c>
      <c r="D92" s="223">
        <v>450240.08590000001</v>
      </c>
      <c r="E92" s="223">
        <v>3041801.6181999999</v>
      </c>
      <c r="F92" s="13">
        <v>0</v>
      </c>
      <c r="G92" s="13" t="s">
        <v>401</v>
      </c>
    </row>
    <row r="93" spans="2:7" x14ac:dyDescent="0.25">
      <c r="B93" s="13">
        <v>90</v>
      </c>
      <c r="C93" s="13" t="s">
        <v>402</v>
      </c>
      <c r="D93" s="223">
        <v>450045.6741</v>
      </c>
      <c r="E93" s="223">
        <v>3041717.1096999999</v>
      </c>
      <c r="F93" s="13">
        <v>0</v>
      </c>
      <c r="G93" s="13" t="s">
        <v>403</v>
      </c>
    </row>
    <row r="94" spans="2:7" x14ac:dyDescent="0.25">
      <c r="B94" s="13">
        <v>91</v>
      </c>
      <c r="C94" s="13" t="s">
        <v>404</v>
      </c>
      <c r="D94" s="223">
        <v>449953.90549999999</v>
      </c>
      <c r="E94" s="223">
        <v>3041478.2414000002</v>
      </c>
      <c r="F94" s="13">
        <v>0</v>
      </c>
      <c r="G94" s="13" t="s">
        <v>405</v>
      </c>
    </row>
    <row r="95" spans="2:7" x14ac:dyDescent="0.25">
      <c r="B95" s="13">
        <v>92</v>
      </c>
      <c r="C95" s="13" t="s">
        <v>406</v>
      </c>
      <c r="D95" s="223">
        <v>449300.57939999999</v>
      </c>
      <c r="E95" s="223">
        <v>3040347.3034999999</v>
      </c>
      <c r="F95" s="13">
        <v>0</v>
      </c>
      <c r="G95" s="13" t="s">
        <v>407</v>
      </c>
    </row>
    <row r="96" spans="2:7" x14ac:dyDescent="0.25">
      <c r="B96" s="13">
        <v>93</v>
      </c>
      <c r="C96" s="13" t="s">
        <v>408</v>
      </c>
      <c r="D96" s="223">
        <v>449113.85149999999</v>
      </c>
      <c r="E96" s="225">
        <v>3040183.2463000002</v>
      </c>
      <c r="F96" s="13">
        <v>0</v>
      </c>
      <c r="G96" s="13" t="s">
        <v>254</v>
      </c>
    </row>
    <row r="97" spans="2:7" x14ac:dyDescent="0.25">
      <c r="B97" s="13">
        <v>94</v>
      </c>
      <c r="C97" s="13" t="s">
        <v>409</v>
      </c>
      <c r="D97" s="223">
        <v>448966.28320000001</v>
      </c>
      <c r="E97" s="223">
        <v>3040053.5945000001</v>
      </c>
      <c r="F97" s="13">
        <v>0</v>
      </c>
      <c r="G97" s="13" t="s">
        <v>254</v>
      </c>
    </row>
    <row r="98" spans="2:7" x14ac:dyDescent="0.25">
      <c r="B98" s="13">
        <v>95</v>
      </c>
      <c r="C98" s="13" t="s">
        <v>410</v>
      </c>
      <c r="D98" s="223">
        <v>448940.58760000003</v>
      </c>
      <c r="E98" s="223">
        <v>3040031.0186000001</v>
      </c>
      <c r="F98" s="13">
        <v>0</v>
      </c>
      <c r="G98" s="13" t="s">
        <v>411</v>
      </c>
    </row>
    <row r="99" spans="2:7" x14ac:dyDescent="0.25">
      <c r="B99" s="13">
        <v>96</v>
      </c>
      <c r="C99" s="13" t="s">
        <v>412</v>
      </c>
      <c r="D99" s="223">
        <v>448899.00140000001</v>
      </c>
      <c r="E99" s="223">
        <v>3040025.9355000001</v>
      </c>
      <c r="F99" s="13">
        <v>0</v>
      </c>
      <c r="G99" s="13" t="s">
        <v>254</v>
      </c>
    </row>
    <row r="100" spans="2:7" x14ac:dyDescent="0.25">
      <c r="B100" s="13">
        <v>97</v>
      </c>
      <c r="C100" s="13" t="s">
        <v>413</v>
      </c>
      <c r="D100" s="223">
        <v>448695.69219999999</v>
      </c>
      <c r="E100" s="223">
        <v>3040001.0847999998</v>
      </c>
      <c r="F100" s="13">
        <v>0</v>
      </c>
      <c r="G100" s="13" t="s">
        <v>414</v>
      </c>
    </row>
    <row r="101" spans="2:7" x14ac:dyDescent="0.25">
      <c r="B101" s="13">
        <v>98</v>
      </c>
      <c r="C101" s="13" t="s">
        <v>415</v>
      </c>
      <c r="D101" s="223">
        <v>448332.3933</v>
      </c>
      <c r="E101" s="223">
        <v>3040012.6708</v>
      </c>
      <c r="F101" s="13">
        <v>0</v>
      </c>
      <c r="G101" s="13" t="s">
        <v>416</v>
      </c>
    </row>
    <row r="102" spans="2:7" x14ac:dyDescent="0.25">
      <c r="B102" s="13">
        <v>99</v>
      </c>
      <c r="C102" s="13" t="s">
        <v>417</v>
      </c>
      <c r="D102" s="223">
        <v>448307.7475</v>
      </c>
      <c r="E102" s="223">
        <v>3040056.9772999999</v>
      </c>
      <c r="F102" s="13">
        <v>0</v>
      </c>
      <c r="G102" s="13" t="s">
        <v>254</v>
      </c>
    </row>
    <row r="103" spans="2:7" x14ac:dyDescent="0.25">
      <c r="B103" s="13">
        <v>100</v>
      </c>
      <c r="C103" s="13" t="s">
        <v>418</v>
      </c>
      <c r="D103" s="223">
        <v>448300.69540000003</v>
      </c>
      <c r="E103" s="223">
        <v>3040069.6551000001</v>
      </c>
      <c r="F103" s="13">
        <v>0</v>
      </c>
      <c r="G103" s="13" t="s">
        <v>419</v>
      </c>
    </row>
    <row r="104" spans="2:7" x14ac:dyDescent="0.25">
      <c r="B104" s="13">
        <v>101</v>
      </c>
      <c r="C104" s="13" t="s">
        <v>420</v>
      </c>
      <c r="D104" s="223">
        <v>448177.20140000002</v>
      </c>
      <c r="E104" s="223">
        <v>3040057.6973000001</v>
      </c>
      <c r="F104" s="13">
        <v>0</v>
      </c>
      <c r="G104" s="13" t="s">
        <v>421</v>
      </c>
    </row>
    <row r="105" spans="2:7" x14ac:dyDescent="0.25">
      <c r="B105" s="13">
        <v>102</v>
      </c>
      <c r="C105" s="13" t="s">
        <v>422</v>
      </c>
      <c r="D105" s="223">
        <v>448106.8835</v>
      </c>
      <c r="E105" s="223">
        <v>3040086.2966</v>
      </c>
      <c r="F105" s="13">
        <v>0</v>
      </c>
      <c r="G105" s="13" t="s">
        <v>423</v>
      </c>
    </row>
    <row r="106" spans="2:7" x14ac:dyDescent="0.25">
      <c r="B106" s="13">
        <v>103</v>
      </c>
      <c r="C106" s="13" t="s">
        <v>424</v>
      </c>
      <c r="D106" s="223">
        <v>447977.74939999997</v>
      </c>
      <c r="E106" s="223">
        <v>3040018.9273000001</v>
      </c>
      <c r="F106" s="13">
        <v>0</v>
      </c>
      <c r="G106" s="13" t="s">
        <v>425</v>
      </c>
    </row>
    <row r="107" spans="2:7" x14ac:dyDescent="0.25">
      <c r="B107" s="13">
        <v>104</v>
      </c>
      <c r="C107" s="13" t="s">
        <v>426</v>
      </c>
      <c r="D107" s="223">
        <v>447899.01640000002</v>
      </c>
      <c r="E107" s="223">
        <v>3039942.5723000001</v>
      </c>
      <c r="F107" s="13">
        <v>0</v>
      </c>
      <c r="G107" s="13" t="s">
        <v>427</v>
      </c>
    </row>
    <row r="108" spans="2:7" x14ac:dyDescent="0.25">
      <c r="B108" s="13">
        <v>105</v>
      </c>
      <c r="C108" s="13" t="s">
        <v>428</v>
      </c>
      <c r="D108" s="223">
        <v>447892.12439999997</v>
      </c>
      <c r="E108" s="223">
        <v>3039887.5133000002</v>
      </c>
      <c r="F108" s="13">
        <v>0</v>
      </c>
      <c r="G108" s="13" t="s">
        <v>429</v>
      </c>
    </row>
    <row r="109" spans="2:7" x14ac:dyDescent="0.25">
      <c r="B109" s="13">
        <v>106</v>
      </c>
      <c r="C109" s="13" t="s">
        <v>430</v>
      </c>
      <c r="D109" s="223">
        <v>447916.30940000003</v>
      </c>
      <c r="E109" s="223">
        <v>3039864.4622999998</v>
      </c>
      <c r="F109" s="13">
        <v>0</v>
      </c>
      <c r="G109" s="13" t="s">
        <v>431</v>
      </c>
    </row>
    <row r="110" spans="2:7" x14ac:dyDescent="0.25">
      <c r="B110" s="13">
        <v>107</v>
      </c>
      <c r="C110" s="13" t="s">
        <v>432</v>
      </c>
      <c r="D110" s="223">
        <v>447838.95110000001</v>
      </c>
      <c r="E110" s="223">
        <v>3039735.7842000001</v>
      </c>
      <c r="F110" s="13">
        <v>0</v>
      </c>
      <c r="G110" s="13" t="s">
        <v>254</v>
      </c>
    </row>
    <row r="111" spans="2:7" x14ac:dyDescent="0.25">
      <c r="B111" s="13">
        <v>108</v>
      </c>
      <c r="C111" s="13" t="s">
        <v>433</v>
      </c>
      <c r="D111" s="223">
        <v>447834.07020000002</v>
      </c>
      <c r="E111" s="223">
        <v>3039727.6650999999</v>
      </c>
      <c r="F111" s="13">
        <v>0</v>
      </c>
      <c r="G111" s="13" t="s">
        <v>434</v>
      </c>
    </row>
    <row r="112" spans="2:7" x14ac:dyDescent="0.25">
      <c r="B112" s="13">
        <v>109</v>
      </c>
      <c r="C112" s="13" t="s">
        <v>435</v>
      </c>
      <c r="D112" s="223">
        <v>447826.61540000001</v>
      </c>
      <c r="E112" s="223">
        <v>3039684.1093000001</v>
      </c>
      <c r="F112" s="13">
        <v>0</v>
      </c>
      <c r="G112" s="13" t="s">
        <v>436</v>
      </c>
    </row>
    <row r="113" spans="2:7" x14ac:dyDescent="0.25">
      <c r="B113" s="13">
        <v>110</v>
      </c>
      <c r="C113" s="13" t="s">
        <v>437</v>
      </c>
      <c r="D113" s="223">
        <v>447782.32699999999</v>
      </c>
      <c r="E113" s="223">
        <v>3039641.4481000002</v>
      </c>
      <c r="F113" s="13">
        <v>0</v>
      </c>
      <c r="G113" s="13" t="s">
        <v>438</v>
      </c>
    </row>
    <row r="114" spans="2:7" x14ac:dyDescent="0.25">
      <c r="B114" s="13">
        <v>111</v>
      </c>
      <c r="C114" s="13" t="s">
        <v>439</v>
      </c>
      <c r="D114" s="223">
        <v>447792.09259999997</v>
      </c>
      <c r="E114" s="223">
        <v>3039589.8476999998</v>
      </c>
      <c r="F114" s="13">
        <v>0</v>
      </c>
      <c r="G114" s="13" t="s">
        <v>440</v>
      </c>
    </row>
    <row r="115" spans="2:7" x14ac:dyDescent="0.25">
      <c r="B115" s="13">
        <v>112</v>
      </c>
      <c r="C115" s="13" t="s">
        <v>441</v>
      </c>
      <c r="D115" s="223">
        <v>447767.32900000003</v>
      </c>
      <c r="E115" s="223">
        <v>3039556.5726999999</v>
      </c>
      <c r="F115" s="13">
        <v>0</v>
      </c>
      <c r="G115" s="13" t="s">
        <v>442</v>
      </c>
    </row>
    <row r="116" spans="2:7" x14ac:dyDescent="0.25">
      <c r="B116" s="13">
        <v>113</v>
      </c>
      <c r="C116" s="13" t="s">
        <v>443</v>
      </c>
      <c r="D116" s="223">
        <v>447735.00780000002</v>
      </c>
      <c r="E116" s="223">
        <v>3039549.0263999999</v>
      </c>
      <c r="F116" s="13">
        <v>0</v>
      </c>
      <c r="G116" s="13" t="s">
        <v>444</v>
      </c>
    </row>
    <row r="117" spans="2:7" x14ac:dyDescent="0.25">
      <c r="B117" s="13">
        <v>114</v>
      </c>
      <c r="C117" s="13" t="s">
        <v>445</v>
      </c>
      <c r="D117" s="223">
        <v>447732.17320000002</v>
      </c>
      <c r="E117" s="223">
        <v>3039543.4901000001</v>
      </c>
      <c r="F117" s="13">
        <v>0</v>
      </c>
      <c r="G117" s="13" t="s">
        <v>446</v>
      </c>
    </row>
    <row r="118" spans="2:7" x14ac:dyDescent="0.25">
      <c r="B118" s="13">
        <v>115</v>
      </c>
      <c r="C118" s="13" t="s">
        <v>447</v>
      </c>
      <c r="D118" s="223">
        <v>447729.43939999997</v>
      </c>
      <c r="E118" s="223">
        <v>3039538.1505</v>
      </c>
      <c r="F118" s="13">
        <v>0</v>
      </c>
      <c r="G118" s="13" t="s">
        <v>254</v>
      </c>
    </row>
    <row r="119" spans="2:7" x14ac:dyDescent="0.25">
      <c r="B119" s="13">
        <v>116</v>
      </c>
      <c r="C119" s="13" t="s">
        <v>448</v>
      </c>
      <c r="D119" s="223">
        <v>447677.48560000001</v>
      </c>
      <c r="E119" s="223">
        <v>3039436.6767000002</v>
      </c>
      <c r="F119" s="13">
        <v>0</v>
      </c>
      <c r="G119" s="13" t="s">
        <v>254</v>
      </c>
    </row>
    <row r="120" spans="2:7" x14ac:dyDescent="0.25">
      <c r="B120" s="13">
        <v>117</v>
      </c>
      <c r="C120" s="13" t="s">
        <v>449</v>
      </c>
      <c r="D120" s="223">
        <v>447672.32650000002</v>
      </c>
      <c r="E120" s="223">
        <v>3039426.6000999999</v>
      </c>
      <c r="F120" s="13">
        <v>0</v>
      </c>
      <c r="G120" s="13" t="s">
        <v>254</v>
      </c>
    </row>
    <row r="121" spans="2:7" x14ac:dyDescent="0.25">
      <c r="B121" s="13">
        <v>118</v>
      </c>
      <c r="C121" s="13" t="s">
        <v>450</v>
      </c>
      <c r="D121" s="223">
        <v>447628.82939999999</v>
      </c>
      <c r="E121" s="223">
        <v>3039341.6436000001</v>
      </c>
      <c r="F121" s="13">
        <v>0</v>
      </c>
      <c r="G121" s="13" t="s">
        <v>254</v>
      </c>
    </row>
    <row r="122" spans="2:7" x14ac:dyDescent="0.25">
      <c r="B122" s="13">
        <v>119</v>
      </c>
      <c r="C122" s="13" t="s">
        <v>451</v>
      </c>
      <c r="D122" s="223">
        <v>447622.14799999999</v>
      </c>
      <c r="E122" s="223">
        <v>3039328.5937000001</v>
      </c>
      <c r="F122" s="13">
        <v>0</v>
      </c>
      <c r="G122" s="13" t="s">
        <v>254</v>
      </c>
    </row>
    <row r="123" spans="2:7" x14ac:dyDescent="0.25">
      <c r="B123" s="13">
        <v>120</v>
      </c>
      <c r="C123" s="13" t="s">
        <v>452</v>
      </c>
      <c r="D123" s="223">
        <v>447553.788</v>
      </c>
      <c r="E123" s="223">
        <v>3039195.0762999998</v>
      </c>
      <c r="F123" s="13">
        <v>0</v>
      </c>
      <c r="G123" s="13" t="s">
        <v>254</v>
      </c>
    </row>
    <row r="124" spans="2:7" x14ac:dyDescent="0.25">
      <c r="B124" s="13">
        <v>121</v>
      </c>
      <c r="C124" s="13" t="s">
        <v>453</v>
      </c>
      <c r="D124" s="223">
        <v>447548.77500000002</v>
      </c>
      <c r="E124" s="223">
        <v>3039185.2850000001</v>
      </c>
      <c r="F124" s="13">
        <v>0</v>
      </c>
      <c r="G124" s="13" t="s">
        <v>254</v>
      </c>
    </row>
    <row r="125" spans="2:7" x14ac:dyDescent="0.25">
      <c r="B125" s="13">
        <v>122</v>
      </c>
      <c r="C125" s="13" t="s">
        <v>454</v>
      </c>
      <c r="D125" s="223">
        <v>447522.20939999999</v>
      </c>
      <c r="E125" s="223">
        <v>3039133.3983</v>
      </c>
      <c r="F125" s="13">
        <v>0</v>
      </c>
      <c r="G125" s="13" t="s">
        <v>455</v>
      </c>
    </row>
    <row r="126" spans="2:7" x14ac:dyDescent="0.25">
      <c r="B126" s="13">
        <v>123</v>
      </c>
      <c r="C126" s="13" t="s">
        <v>456</v>
      </c>
      <c r="D126" s="223">
        <v>447457.26630000002</v>
      </c>
      <c r="E126" s="223">
        <v>3039064.7793999999</v>
      </c>
      <c r="F126" s="13">
        <v>0</v>
      </c>
      <c r="G126" s="13" t="s">
        <v>254</v>
      </c>
    </row>
    <row r="127" spans="2:7" x14ac:dyDescent="0.25">
      <c r="B127" s="13">
        <v>124</v>
      </c>
      <c r="C127" s="13" t="s">
        <v>457</v>
      </c>
      <c r="D127" s="223">
        <v>447426.76130000001</v>
      </c>
      <c r="E127" s="223">
        <v>3039032.5477999998</v>
      </c>
      <c r="F127" s="13">
        <v>0</v>
      </c>
      <c r="G127" s="13" t="s">
        <v>254</v>
      </c>
    </row>
    <row r="128" spans="2:7" x14ac:dyDescent="0.25">
      <c r="B128" s="13">
        <v>125</v>
      </c>
      <c r="C128" s="13" t="s">
        <v>458</v>
      </c>
      <c r="D128" s="223">
        <v>447194.56520000001</v>
      </c>
      <c r="E128" s="223">
        <v>3038787.2091999999</v>
      </c>
      <c r="F128" s="13">
        <v>0</v>
      </c>
      <c r="G128" s="13" t="s">
        <v>459</v>
      </c>
    </row>
    <row r="129" spans="2:7" x14ac:dyDescent="0.25">
      <c r="B129" s="13">
        <v>126</v>
      </c>
      <c r="C129" s="13" t="s">
        <v>460</v>
      </c>
      <c r="D129" s="223">
        <v>446991.5416</v>
      </c>
      <c r="E129" s="223">
        <v>3038611.068</v>
      </c>
      <c r="F129" s="13">
        <v>0</v>
      </c>
      <c r="G129" s="13" t="s">
        <v>254</v>
      </c>
    </row>
    <row r="130" spans="2:7" x14ac:dyDescent="0.25">
      <c r="B130" s="13">
        <v>127</v>
      </c>
      <c r="C130" s="13" t="s">
        <v>461</v>
      </c>
      <c r="D130" s="223">
        <v>446971.96139999997</v>
      </c>
      <c r="E130" s="223">
        <v>3038594.0803999999</v>
      </c>
      <c r="F130" s="13">
        <v>0</v>
      </c>
      <c r="G130" s="13" t="s">
        <v>254</v>
      </c>
    </row>
    <row r="131" spans="2:7" x14ac:dyDescent="0.25">
      <c r="B131" s="13">
        <v>128</v>
      </c>
      <c r="C131" s="13" t="s">
        <v>462</v>
      </c>
      <c r="D131" s="223">
        <v>445877.34409999999</v>
      </c>
      <c r="E131" s="223">
        <v>3037644.4015000002</v>
      </c>
      <c r="F131" s="13">
        <v>0</v>
      </c>
      <c r="G131" s="13" t="s">
        <v>463</v>
      </c>
    </row>
    <row r="132" spans="2:7" x14ac:dyDescent="0.25">
      <c r="B132" s="13">
        <v>129</v>
      </c>
      <c r="C132" s="13" t="s">
        <v>464</v>
      </c>
      <c r="D132" s="223">
        <v>445781.53240000003</v>
      </c>
      <c r="E132" s="223">
        <v>3037608.6981000002</v>
      </c>
      <c r="F132" s="13">
        <v>0</v>
      </c>
      <c r="G132" s="13" t="s">
        <v>254</v>
      </c>
    </row>
    <row r="133" spans="2:7" x14ac:dyDescent="0.25">
      <c r="B133" s="13">
        <v>130</v>
      </c>
      <c r="C133" s="13" t="s">
        <v>465</v>
      </c>
      <c r="D133" s="223">
        <v>445695.97200000001</v>
      </c>
      <c r="E133" s="223">
        <v>3037576.8147</v>
      </c>
      <c r="F133" s="13">
        <v>0</v>
      </c>
      <c r="G133" s="13" t="s">
        <v>254</v>
      </c>
    </row>
    <row r="134" spans="2:7" x14ac:dyDescent="0.25">
      <c r="B134" s="13">
        <v>131</v>
      </c>
      <c r="C134" s="13" t="s">
        <v>466</v>
      </c>
      <c r="D134" s="223">
        <v>445666.90029999998</v>
      </c>
      <c r="E134" s="223">
        <v>3037565.9813999999</v>
      </c>
      <c r="F134" s="13">
        <v>0</v>
      </c>
      <c r="G134" s="13" t="s">
        <v>254</v>
      </c>
    </row>
    <row r="135" spans="2:7" x14ac:dyDescent="0.25">
      <c r="B135" s="13">
        <v>132</v>
      </c>
      <c r="C135" s="13" t="s">
        <v>467</v>
      </c>
      <c r="D135" s="223">
        <v>445621.00819999998</v>
      </c>
      <c r="E135" s="223">
        <v>3037548.8801000002</v>
      </c>
      <c r="F135" s="13">
        <v>0</v>
      </c>
      <c r="G135" s="13" t="s">
        <v>254</v>
      </c>
    </row>
    <row r="136" spans="2:7" x14ac:dyDescent="0.25">
      <c r="B136" s="13">
        <v>133</v>
      </c>
      <c r="C136" s="13" t="s">
        <v>468</v>
      </c>
      <c r="D136" s="223">
        <v>445278.45939999999</v>
      </c>
      <c r="E136" s="223">
        <v>3037421.2322999998</v>
      </c>
      <c r="F136" s="13">
        <v>0</v>
      </c>
      <c r="G136" s="13" t="s">
        <v>469</v>
      </c>
    </row>
    <row r="137" spans="2:7" x14ac:dyDescent="0.25">
      <c r="B137" s="13">
        <v>134</v>
      </c>
      <c r="C137" s="13" t="s">
        <v>470</v>
      </c>
      <c r="D137" s="223">
        <v>445124.32049999997</v>
      </c>
      <c r="E137" s="223">
        <v>3037431.0981000001</v>
      </c>
      <c r="F137" s="13">
        <v>0</v>
      </c>
      <c r="G137" s="13" t="s">
        <v>471</v>
      </c>
    </row>
    <row r="138" spans="2:7" x14ac:dyDescent="0.25">
      <c r="B138" s="13">
        <v>135</v>
      </c>
      <c r="C138" s="13" t="s">
        <v>472</v>
      </c>
      <c r="D138" s="223">
        <v>444690.77149999997</v>
      </c>
      <c r="E138" s="223">
        <v>3037394.8001999999</v>
      </c>
      <c r="F138" s="13">
        <v>0</v>
      </c>
      <c r="G138" s="13" t="s">
        <v>473</v>
      </c>
    </row>
    <row r="139" spans="2:7" x14ac:dyDescent="0.25">
      <c r="B139" s="13">
        <v>136</v>
      </c>
      <c r="C139" s="13" t="s">
        <v>474</v>
      </c>
      <c r="D139" s="223">
        <v>444447.97950000002</v>
      </c>
      <c r="E139" s="223">
        <v>3037216.4761000001</v>
      </c>
      <c r="F139" s="13">
        <v>0</v>
      </c>
      <c r="G139" s="13" t="s">
        <v>475</v>
      </c>
    </row>
    <row r="140" spans="2:7" x14ac:dyDescent="0.25">
      <c r="B140" s="13">
        <v>137</v>
      </c>
      <c r="C140" s="13" t="s">
        <v>476</v>
      </c>
      <c r="D140" s="223">
        <v>444330.84779999999</v>
      </c>
      <c r="E140" s="223">
        <v>3037198.5203999998</v>
      </c>
      <c r="F140" s="13">
        <v>0</v>
      </c>
      <c r="G140" s="13" t="s">
        <v>254</v>
      </c>
    </row>
    <row r="141" spans="2:7" x14ac:dyDescent="0.25">
      <c r="B141" s="13">
        <v>138</v>
      </c>
      <c r="C141" s="13" t="s">
        <v>477</v>
      </c>
      <c r="D141" s="223">
        <v>444321.26140000002</v>
      </c>
      <c r="E141" s="223">
        <v>3037197.0507999999</v>
      </c>
      <c r="F141" s="13">
        <v>0</v>
      </c>
      <c r="G141" s="13" t="s">
        <v>254</v>
      </c>
    </row>
    <row r="142" spans="2:7" x14ac:dyDescent="0.25">
      <c r="B142" s="13">
        <v>139</v>
      </c>
      <c r="C142" s="13" t="s">
        <v>478</v>
      </c>
      <c r="D142" s="223">
        <v>444133.53499999997</v>
      </c>
      <c r="E142" s="223">
        <v>3037168.2732000002</v>
      </c>
      <c r="F142" s="13">
        <v>0</v>
      </c>
      <c r="G142" s="13" t="s">
        <v>479</v>
      </c>
    </row>
    <row r="143" spans="2:7" x14ac:dyDescent="0.25">
      <c r="B143" s="13">
        <v>140</v>
      </c>
      <c r="C143" s="13" t="s">
        <v>480</v>
      </c>
      <c r="D143" s="223">
        <v>444087.18939999997</v>
      </c>
      <c r="E143" s="223">
        <v>3037192.7063000002</v>
      </c>
      <c r="F143" s="13">
        <v>0</v>
      </c>
      <c r="G143" s="13" t="s">
        <v>481</v>
      </c>
    </row>
    <row r="144" spans="2:7" x14ac:dyDescent="0.25">
      <c r="B144" s="13">
        <v>141</v>
      </c>
      <c r="C144" s="13" t="s">
        <v>482</v>
      </c>
      <c r="D144" s="223">
        <v>444079.67070000002</v>
      </c>
      <c r="E144" s="223">
        <v>3037196.6702000001</v>
      </c>
      <c r="F144" s="13">
        <v>0</v>
      </c>
      <c r="G144" s="13" t="s">
        <v>483</v>
      </c>
    </row>
    <row r="145" spans="2:7" x14ac:dyDescent="0.25">
      <c r="B145" s="13">
        <v>142</v>
      </c>
      <c r="C145" s="13" t="s">
        <v>484</v>
      </c>
      <c r="D145" s="223">
        <v>443919.37219999998</v>
      </c>
      <c r="E145" s="224">
        <v>3037281.1784000001</v>
      </c>
      <c r="F145" s="13">
        <v>0</v>
      </c>
      <c r="G145" s="13" t="s">
        <v>485</v>
      </c>
    </row>
    <row r="146" spans="2:7" x14ac:dyDescent="0.25">
      <c r="B146" s="13">
        <v>143</v>
      </c>
      <c r="C146" s="13" t="s">
        <v>486</v>
      </c>
      <c r="D146" s="223">
        <v>443828.40779999999</v>
      </c>
      <c r="E146" s="223">
        <v>3037263.6168</v>
      </c>
      <c r="F146" s="13">
        <v>0</v>
      </c>
      <c r="G146" s="13" t="s">
        <v>487</v>
      </c>
    </row>
    <row r="147" spans="2:7" x14ac:dyDescent="0.25">
      <c r="B147" s="13">
        <v>144</v>
      </c>
      <c r="C147" s="13" t="s">
        <v>488</v>
      </c>
      <c r="D147" s="223">
        <v>443816.48719999997</v>
      </c>
      <c r="E147" s="223">
        <v>3037261.3150999998</v>
      </c>
      <c r="F147" s="13">
        <v>0</v>
      </c>
      <c r="G147" s="13" t="s">
        <v>489</v>
      </c>
    </row>
    <row r="148" spans="2:7" x14ac:dyDescent="0.25">
      <c r="B148" s="13">
        <v>145</v>
      </c>
      <c r="C148" s="13" t="s">
        <v>490</v>
      </c>
      <c r="D148" s="223">
        <v>443672.37650000001</v>
      </c>
      <c r="E148" s="223">
        <v>3037233.4950999999</v>
      </c>
      <c r="F148" s="13">
        <v>0</v>
      </c>
      <c r="G148" s="13" t="s">
        <v>491</v>
      </c>
    </row>
    <row r="149" spans="2:7" x14ac:dyDescent="0.25">
      <c r="B149" s="13">
        <v>146</v>
      </c>
      <c r="C149" s="13" t="s">
        <v>492</v>
      </c>
      <c r="D149" s="223">
        <v>443571.66230000003</v>
      </c>
      <c r="E149" s="223">
        <v>3037126.1301000002</v>
      </c>
      <c r="F149" s="13">
        <v>0</v>
      </c>
      <c r="G149" s="13" t="s">
        <v>493</v>
      </c>
    </row>
    <row r="150" spans="2:7" x14ac:dyDescent="0.25">
      <c r="B150" s="13">
        <v>147</v>
      </c>
      <c r="C150" s="13" t="s">
        <v>494</v>
      </c>
      <c r="D150" s="223">
        <v>443217.93949999998</v>
      </c>
      <c r="E150" s="223">
        <v>3037065.4057999998</v>
      </c>
      <c r="F150" s="13">
        <v>0</v>
      </c>
      <c r="G150" s="13" t="s">
        <v>254</v>
      </c>
    </row>
    <row r="151" spans="2:7" x14ac:dyDescent="0.25">
      <c r="B151" s="13">
        <v>148</v>
      </c>
      <c r="C151" s="13" t="s">
        <v>495</v>
      </c>
      <c r="D151" s="223">
        <v>443206.44510000001</v>
      </c>
      <c r="E151" s="223">
        <v>3037063.4325000001</v>
      </c>
      <c r="F151" s="13">
        <v>0</v>
      </c>
      <c r="G151" s="13" t="s">
        <v>496</v>
      </c>
    </row>
    <row r="152" spans="2:7" x14ac:dyDescent="0.25">
      <c r="B152" s="13">
        <v>149</v>
      </c>
      <c r="C152" s="13" t="s">
        <v>497</v>
      </c>
      <c r="D152" s="223">
        <v>443197.26</v>
      </c>
      <c r="E152" s="223">
        <v>3037051.8429</v>
      </c>
      <c r="F152" s="13">
        <v>0</v>
      </c>
      <c r="G152" s="13" t="s">
        <v>498</v>
      </c>
    </row>
    <row r="153" spans="2:7" x14ac:dyDescent="0.25">
      <c r="B153" s="13">
        <v>150</v>
      </c>
      <c r="C153" s="13" t="s">
        <v>499</v>
      </c>
      <c r="D153" s="223">
        <v>443186.67599999998</v>
      </c>
      <c r="E153" s="223">
        <v>3037038.4882999999</v>
      </c>
      <c r="F153" s="13">
        <v>0</v>
      </c>
      <c r="G153" s="13" t="s">
        <v>307</v>
      </c>
    </row>
    <row r="154" spans="2:7" x14ac:dyDescent="0.25">
      <c r="B154" s="13">
        <v>151</v>
      </c>
      <c r="C154" s="13" t="s">
        <v>500</v>
      </c>
      <c r="D154" s="223">
        <v>442924.7634</v>
      </c>
      <c r="E154" s="223">
        <v>3036708.0103000002</v>
      </c>
      <c r="F154" s="13">
        <v>0</v>
      </c>
      <c r="G154" s="13" t="s">
        <v>501</v>
      </c>
    </row>
    <row r="155" spans="2:7" x14ac:dyDescent="0.25">
      <c r="B155" s="13">
        <v>152</v>
      </c>
      <c r="C155" s="13" t="s">
        <v>502</v>
      </c>
      <c r="D155" s="223">
        <v>442639.58039999998</v>
      </c>
      <c r="E155" s="223">
        <v>3036455.2892999998</v>
      </c>
      <c r="F155" s="13">
        <v>0</v>
      </c>
      <c r="G155" s="13" t="s">
        <v>503</v>
      </c>
    </row>
    <row r="156" spans="2:7" x14ac:dyDescent="0.25">
      <c r="B156" s="13">
        <v>153</v>
      </c>
      <c r="C156" s="13" t="s">
        <v>504</v>
      </c>
      <c r="D156" s="223">
        <v>441908.4302</v>
      </c>
      <c r="E156" s="223">
        <v>3036038.8393000001</v>
      </c>
      <c r="F156" s="13">
        <v>0</v>
      </c>
      <c r="G156" s="13" t="s">
        <v>254</v>
      </c>
    </row>
    <row r="157" spans="2:7" x14ac:dyDescent="0.25">
      <c r="B157" s="13">
        <v>154</v>
      </c>
      <c r="C157" s="13" t="s">
        <v>505</v>
      </c>
      <c r="D157" s="223">
        <v>441903.05339999998</v>
      </c>
      <c r="E157" s="223">
        <v>3036035.7768000001</v>
      </c>
      <c r="F157" s="13">
        <v>0</v>
      </c>
      <c r="G157" s="13" t="s">
        <v>506</v>
      </c>
    </row>
    <row r="158" spans="2:7" x14ac:dyDescent="0.25">
      <c r="B158" s="13">
        <v>155</v>
      </c>
      <c r="C158" s="13" t="s">
        <v>507</v>
      </c>
      <c r="D158" s="223">
        <v>441829.2501</v>
      </c>
      <c r="E158" s="223">
        <v>3036031.5372000001</v>
      </c>
      <c r="F158" s="13">
        <v>0</v>
      </c>
      <c r="G158" s="13" t="s">
        <v>508</v>
      </c>
    </row>
    <row r="159" spans="2:7" x14ac:dyDescent="0.25">
      <c r="B159" s="13">
        <v>156</v>
      </c>
      <c r="C159" s="13" t="s">
        <v>509</v>
      </c>
      <c r="D159" s="223">
        <v>441762.1385</v>
      </c>
      <c r="E159" s="223">
        <v>3035978.1406</v>
      </c>
      <c r="F159" s="13">
        <v>0</v>
      </c>
      <c r="G159" s="13" t="s">
        <v>510</v>
      </c>
    </row>
    <row r="160" spans="2:7" x14ac:dyDescent="0.25">
      <c r="B160" s="13">
        <v>157</v>
      </c>
      <c r="C160" s="13" t="s">
        <v>511</v>
      </c>
      <c r="D160" s="223">
        <v>441735.64539999998</v>
      </c>
      <c r="E160" s="223">
        <v>3035935.5133000002</v>
      </c>
      <c r="F160" s="13">
        <v>0</v>
      </c>
      <c r="G160" s="13" t="s">
        <v>512</v>
      </c>
    </row>
    <row r="161" spans="2:7" x14ac:dyDescent="0.25">
      <c r="B161" s="13">
        <v>158</v>
      </c>
      <c r="C161" s="13" t="s">
        <v>513</v>
      </c>
      <c r="D161" s="223">
        <v>441726.08279999997</v>
      </c>
      <c r="E161" s="223">
        <v>3035896.0014999998</v>
      </c>
      <c r="F161" s="13">
        <v>0</v>
      </c>
      <c r="G161" s="13" t="s">
        <v>514</v>
      </c>
    </row>
    <row r="162" spans="2:7" x14ac:dyDescent="0.25">
      <c r="B162" s="13">
        <v>159</v>
      </c>
      <c r="C162" s="13" t="s">
        <v>515</v>
      </c>
      <c r="D162" s="223">
        <v>441729.68609999999</v>
      </c>
      <c r="E162" s="223">
        <v>3035851.443</v>
      </c>
      <c r="F162" s="13">
        <v>0</v>
      </c>
      <c r="G162" s="13" t="s">
        <v>516</v>
      </c>
    </row>
    <row r="163" spans="2:7" x14ac:dyDescent="0.25">
      <c r="B163" s="13">
        <v>160</v>
      </c>
      <c r="C163" s="13" t="s">
        <v>517</v>
      </c>
      <c r="D163" s="223">
        <v>441707.72529999999</v>
      </c>
      <c r="E163" s="223">
        <v>3035841.5792999999</v>
      </c>
      <c r="F163" s="13">
        <v>0</v>
      </c>
      <c r="G163" s="13" t="s">
        <v>518</v>
      </c>
    </row>
    <row r="164" spans="2:7" x14ac:dyDescent="0.25">
      <c r="B164" s="13">
        <v>161</v>
      </c>
      <c r="C164" s="13" t="s">
        <v>519</v>
      </c>
      <c r="D164" s="223">
        <v>441657.61780000001</v>
      </c>
      <c r="E164" s="223">
        <v>3035853.2223</v>
      </c>
      <c r="F164" s="13">
        <v>0</v>
      </c>
      <c r="G164" s="13" t="s">
        <v>520</v>
      </c>
    </row>
    <row r="165" spans="2:7" x14ac:dyDescent="0.25">
      <c r="B165" s="13">
        <v>162</v>
      </c>
      <c r="C165" s="13" t="s">
        <v>521</v>
      </c>
      <c r="D165" s="223">
        <v>441617.05489999999</v>
      </c>
      <c r="E165" s="223">
        <v>3035893.7588</v>
      </c>
      <c r="F165" s="13">
        <v>0</v>
      </c>
      <c r="G165" s="13" t="s">
        <v>522</v>
      </c>
    </row>
    <row r="166" spans="2:7" x14ac:dyDescent="0.25">
      <c r="B166" s="13">
        <v>163</v>
      </c>
      <c r="C166" s="13" t="s">
        <v>523</v>
      </c>
      <c r="D166" s="223">
        <v>441590.40100000001</v>
      </c>
      <c r="E166" s="223">
        <v>3035908.6549</v>
      </c>
      <c r="F166" s="13">
        <v>0</v>
      </c>
      <c r="G166" s="13" t="s">
        <v>524</v>
      </c>
    </row>
    <row r="167" spans="2:7" x14ac:dyDescent="0.25">
      <c r="B167" s="13">
        <v>164</v>
      </c>
      <c r="C167" s="13" t="s">
        <v>525</v>
      </c>
      <c r="D167" s="223">
        <v>441546.29489999998</v>
      </c>
      <c r="E167" s="223">
        <v>3035880.2878</v>
      </c>
      <c r="F167" s="13">
        <v>0</v>
      </c>
      <c r="G167" s="13" t="s">
        <v>526</v>
      </c>
    </row>
    <row r="168" spans="2:7" x14ac:dyDescent="0.25">
      <c r="B168" s="13">
        <v>165</v>
      </c>
      <c r="C168" s="13" t="s">
        <v>527</v>
      </c>
      <c r="D168" s="223">
        <v>441540.62819999998</v>
      </c>
      <c r="E168" s="223">
        <v>3035831.6313999998</v>
      </c>
      <c r="F168" s="13">
        <v>0</v>
      </c>
      <c r="G168" s="13" t="s">
        <v>528</v>
      </c>
    </row>
    <row r="169" spans="2:7" x14ac:dyDescent="0.25">
      <c r="B169" s="13">
        <v>166</v>
      </c>
      <c r="C169" s="13" t="s">
        <v>529</v>
      </c>
      <c r="D169" s="223">
        <v>441572.09749999997</v>
      </c>
      <c r="E169" s="223">
        <v>3035789.2903999998</v>
      </c>
      <c r="F169" s="13">
        <v>0</v>
      </c>
      <c r="G169" s="13" t="s">
        <v>530</v>
      </c>
    </row>
    <row r="170" spans="2:7" x14ac:dyDescent="0.25">
      <c r="B170" s="13">
        <v>167</v>
      </c>
      <c r="C170" s="13" t="s">
        <v>531</v>
      </c>
      <c r="D170" s="223">
        <v>441569.66590000002</v>
      </c>
      <c r="E170" s="223">
        <v>3035761.4106000001</v>
      </c>
      <c r="F170" s="13">
        <v>0</v>
      </c>
      <c r="G170" s="13" t="s">
        <v>532</v>
      </c>
    </row>
    <row r="171" spans="2:7" x14ac:dyDescent="0.25">
      <c r="B171" s="13">
        <v>168</v>
      </c>
      <c r="C171" s="13" t="s">
        <v>533</v>
      </c>
      <c r="D171" s="223">
        <v>441554.31209999998</v>
      </c>
      <c r="E171" s="223">
        <v>3035747.7881999998</v>
      </c>
      <c r="F171" s="13">
        <v>0</v>
      </c>
      <c r="G171" s="13" t="s">
        <v>254</v>
      </c>
    </row>
    <row r="172" spans="2:7" x14ac:dyDescent="0.25">
      <c r="B172" s="13">
        <v>169</v>
      </c>
      <c r="C172" s="13" t="s">
        <v>534</v>
      </c>
      <c r="D172" s="223">
        <v>441536.11080000002</v>
      </c>
      <c r="E172" s="223">
        <v>3035731.6395</v>
      </c>
      <c r="F172" s="13">
        <v>0</v>
      </c>
      <c r="G172" s="13" t="s">
        <v>535</v>
      </c>
    </row>
    <row r="173" spans="2:7" x14ac:dyDescent="0.25">
      <c r="B173" s="13">
        <v>170</v>
      </c>
      <c r="C173" s="13" t="s">
        <v>536</v>
      </c>
      <c r="D173" s="223">
        <v>441534.86459999997</v>
      </c>
      <c r="E173" s="223">
        <v>3035658.2648999998</v>
      </c>
      <c r="F173" s="13">
        <v>0</v>
      </c>
      <c r="G173" s="13" t="s">
        <v>537</v>
      </c>
    </row>
    <row r="174" spans="2:7" x14ac:dyDescent="0.25">
      <c r="B174" s="13">
        <v>171</v>
      </c>
      <c r="C174" s="13" t="s">
        <v>538</v>
      </c>
      <c r="D174" s="223">
        <v>441605.06459999998</v>
      </c>
      <c r="E174" s="223">
        <v>3035523.9914000002</v>
      </c>
      <c r="F174" s="13">
        <v>0</v>
      </c>
      <c r="G174" s="13" t="s">
        <v>539</v>
      </c>
    </row>
    <row r="175" spans="2:7" x14ac:dyDescent="0.25">
      <c r="B175" s="13">
        <v>172</v>
      </c>
      <c r="C175" s="13" t="s">
        <v>540</v>
      </c>
      <c r="D175" s="223">
        <v>441603.48269999999</v>
      </c>
      <c r="E175" s="223">
        <v>3035513.2832999998</v>
      </c>
      <c r="F175" s="13">
        <v>0</v>
      </c>
      <c r="G175" s="13" t="s">
        <v>254</v>
      </c>
    </row>
    <row r="176" spans="2:7" x14ac:dyDescent="0.25">
      <c r="B176" s="13">
        <v>173</v>
      </c>
      <c r="C176" s="13" t="s">
        <v>541</v>
      </c>
      <c r="D176" s="223">
        <v>441568.00180000003</v>
      </c>
      <c r="E176" s="223">
        <v>3035273.1217</v>
      </c>
      <c r="F176" s="13">
        <v>0</v>
      </c>
      <c r="G176" s="13" t="s">
        <v>254</v>
      </c>
    </row>
    <row r="177" spans="2:7" x14ac:dyDescent="0.25">
      <c r="B177" s="13">
        <v>174</v>
      </c>
      <c r="C177" s="13" t="s">
        <v>542</v>
      </c>
      <c r="D177" s="223">
        <v>441565.65279999998</v>
      </c>
      <c r="E177" s="223">
        <v>3035257.2218999998</v>
      </c>
      <c r="F177" s="13">
        <v>0</v>
      </c>
      <c r="G177" s="13" t="s">
        <v>543</v>
      </c>
    </row>
    <row r="178" spans="2:7" x14ac:dyDescent="0.25">
      <c r="B178" s="13">
        <v>175</v>
      </c>
      <c r="C178" s="13" t="s">
        <v>544</v>
      </c>
      <c r="D178" s="223">
        <v>441512.26360000001</v>
      </c>
      <c r="E178" s="223">
        <v>3035154.0643000002</v>
      </c>
      <c r="F178" s="13">
        <v>0</v>
      </c>
      <c r="G178" s="13" t="s">
        <v>254</v>
      </c>
    </row>
    <row r="179" spans="2:7" x14ac:dyDescent="0.25">
      <c r="B179" s="13">
        <v>176</v>
      </c>
      <c r="C179" s="13" t="s">
        <v>545</v>
      </c>
      <c r="D179" s="223">
        <v>441336.3713</v>
      </c>
      <c r="E179" s="223">
        <v>3034814.2085000002</v>
      </c>
      <c r="F179" s="13">
        <v>0</v>
      </c>
      <c r="G179" s="13" t="s">
        <v>254</v>
      </c>
    </row>
    <row r="180" spans="2:7" x14ac:dyDescent="0.25">
      <c r="B180" s="13">
        <v>177</v>
      </c>
      <c r="C180" s="13" t="s">
        <v>546</v>
      </c>
      <c r="D180" s="223">
        <v>441333.15340000001</v>
      </c>
      <c r="E180" s="223">
        <v>3034807.9909999999</v>
      </c>
      <c r="F180" s="13">
        <v>0</v>
      </c>
      <c r="G180" s="13" t="s">
        <v>254</v>
      </c>
    </row>
    <row r="181" spans="2:7" x14ac:dyDescent="0.25">
      <c r="B181" s="13">
        <v>178</v>
      </c>
      <c r="C181" s="13" t="s">
        <v>547</v>
      </c>
      <c r="D181" s="223">
        <v>441305.21990000003</v>
      </c>
      <c r="E181" s="223">
        <v>3034754.0183999999</v>
      </c>
      <c r="F181" s="13">
        <v>0</v>
      </c>
      <c r="G181" s="13" t="s">
        <v>548</v>
      </c>
    </row>
    <row r="182" spans="2:7" x14ac:dyDescent="0.25">
      <c r="B182" s="13">
        <v>179</v>
      </c>
      <c r="C182" s="13" t="s">
        <v>549</v>
      </c>
      <c r="D182" s="223">
        <v>441156.25400000002</v>
      </c>
      <c r="E182" s="223">
        <v>3034744.0732999998</v>
      </c>
      <c r="F182" s="13">
        <v>0</v>
      </c>
      <c r="G182" s="13" t="s">
        <v>254</v>
      </c>
    </row>
    <row r="183" spans="2:7" x14ac:dyDescent="0.25">
      <c r="B183" s="13">
        <v>180</v>
      </c>
      <c r="C183" s="13" t="s">
        <v>550</v>
      </c>
      <c r="D183" s="223">
        <v>441149.26870000002</v>
      </c>
      <c r="E183" s="223">
        <v>3034743.6069999998</v>
      </c>
      <c r="F183" s="13">
        <v>0</v>
      </c>
      <c r="G183" s="13" t="s">
        <v>254</v>
      </c>
    </row>
    <row r="184" spans="2:7" x14ac:dyDescent="0.25">
      <c r="B184" s="13">
        <v>181</v>
      </c>
      <c r="C184" s="13" t="s">
        <v>551</v>
      </c>
      <c r="D184" s="223">
        <v>441101.16970000003</v>
      </c>
      <c r="E184" s="223">
        <v>3034740.3958999999</v>
      </c>
      <c r="F184" s="13">
        <v>0</v>
      </c>
      <c r="G184" s="13" t="s">
        <v>552</v>
      </c>
    </row>
    <row r="185" spans="2:7" x14ac:dyDescent="0.25">
      <c r="B185" s="13">
        <v>182</v>
      </c>
      <c r="C185" s="13" t="s">
        <v>553</v>
      </c>
      <c r="D185" s="223">
        <v>440984.22149999999</v>
      </c>
      <c r="E185" s="223">
        <v>3034790.4053000002</v>
      </c>
      <c r="F185" s="13">
        <v>0</v>
      </c>
      <c r="G185" s="13" t="s">
        <v>554</v>
      </c>
    </row>
    <row r="186" spans="2:7" x14ac:dyDescent="0.25">
      <c r="B186" s="13">
        <v>183</v>
      </c>
      <c r="C186" s="13" t="s">
        <v>555</v>
      </c>
      <c r="D186" s="223">
        <v>440931.9142</v>
      </c>
      <c r="E186" s="223">
        <v>3034770.9736000001</v>
      </c>
      <c r="F186" s="13">
        <v>0</v>
      </c>
      <c r="G186" s="13" t="s">
        <v>254</v>
      </c>
    </row>
    <row r="187" spans="2:7" x14ac:dyDescent="0.25">
      <c r="B187" s="13">
        <v>184</v>
      </c>
      <c r="C187" s="13" t="s">
        <v>556</v>
      </c>
      <c r="D187" s="223">
        <v>440925.67139999999</v>
      </c>
      <c r="E187" s="223">
        <v>3034768.6543999999</v>
      </c>
      <c r="F187" s="13">
        <v>0</v>
      </c>
      <c r="G187" s="13" t="s">
        <v>557</v>
      </c>
    </row>
    <row r="188" spans="2:7" x14ac:dyDescent="0.25">
      <c r="B188" s="13">
        <v>185</v>
      </c>
      <c r="C188" s="13" t="s">
        <v>558</v>
      </c>
      <c r="D188" s="223">
        <v>440915.00760000001</v>
      </c>
      <c r="E188" s="223">
        <v>3034754.5827000001</v>
      </c>
      <c r="F188" s="13">
        <v>0</v>
      </c>
      <c r="G188" s="13" t="s">
        <v>254</v>
      </c>
    </row>
    <row r="189" spans="2:7" x14ac:dyDescent="0.25">
      <c r="B189" s="13">
        <v>186</v>
      </c>
      <c r="C189" s="13" t="s">
        <v>559</v>
      </c>
      <c r="D189" s="223">
        <v>440907.25760000001</v>
      </c>
      <c r="E189" s="223">
        <v>3034744.3557000002</v>
      </c>
      <c r="F189" s="13">
        <v>0</v>
      </c>
      <c r="G189" s="13" t="s">
        <v>254</v>
      </c>
    </row>
    <row r="190" spans="2:7" x14ac:dyDescent="0.25">
      <c r="B190" s="13">
        <v>187</v>
      </c>
      <c r="C190" s="13" t="s">
        <v>560</v>
      </c>
      <c r="D190" s="223">
        <v>440736.21899999998</v>
      </c>
      <c r="E190" s="223">
        <v>3034518.6553000002</v>
      </c>
      <c r="F190" s="13">
        <v>0</v>
      </c>
      <c r="G190" s="13" t="s">
        <v>254</v>
      </c>
    </row>
    <row r="191" spans="2:7" x14ac:dyDescent="0.25">
      <c r="B191" s="13">
        <v>188</v>
      </c>
      <c r="C191" s="13" t="s">
        <v>561</v>
      </c>
      <c r="D191" s="223">
        <v>440725.72480000003</v>
      </c>
      <c r="E191" s="223">
        <v>3034504.8073999998</v>
      </c>
      <c r="F191" s="13">
        <v>0</v>
      </c>
      <c r="G191" s="13" t="s">
        <v>254</v>
      </c>
    </row>
    <row r="192" spans="2:7" x14ac:dyDescent="0.25">
      <c r="B192" s="13">
        <v>189</v>
      </c>
      <c r="C192" s="13" t="s">
        <v>562</v>
      </c>
      <c r="D192" s="223">
        <v>440317.96350000001</v>
      </c>
      <c r="E192" s="223">
        <v>3033966.7305999999</v>
      </c>
      <c r="F192" s="13">
        <v>0</v>
      </c>
      <c r="G192" s="13" t="s">
        <v>254</v>
      </c>
    </row>
    <row r="193" spans="2:7" x14ac:dyDescent="0.25">
      <c r="B193" s="13">
        <v>190</v>
      </c>
      <c r="C193" s="13" t="s">
        <v>563</v>
      </c>
      <c r="D193" s="223">
        <v>440307.69589999999</v>
      </c>
      <c r="E193" s="223">
        <v>3033953.1814999999</v>
      </c>
      <c r="F193" s="13">
        <v>0</v>
      </c>
      <c r="G193" s="13" t="s">
        <v>254</v>
      </c>
    </row>
    <row r="194" spans="2:7" x14ac:dyDescent="0.25">
      <c r="B194" s="13">
        <v>191</v>
      </c>
      <c r="C194" s="13" t="s">
        <v>564</v>
      </c>
      <c r="D194" s="223">
        <v>440223.21149999998</v>
      </c>
      <c r="E194" s="223">
        <v>3033841.6967000002</v>
      </c>
      <c r="F194" s="13">
        <v>0</v>
      </c>
      <c r="G194" s="13" t="s">
        <v>565</v>
      </c>
    </row>
    <row r="195" spans="2:7" x14ac:dyDescent="0.25">
      <c r="B195" s="13">
        <v>192</v>
      </c>
      <c r="C195" s="13" t="s">
        <v>566</v>
      </c>
      <c r="D195" s="223">
        <v>440168.85359999997</v>
      </c>
      <c r="E195" s="223">
        <v>3033769.9668999999</v>
      </c>
      <c r="F195" s="13">
        <v>0</v>
      </c>
      <c r="G195" s="13" t="s">
        <v>567</v>
      </c>
    </row>
    <row r="196" spans="2:7" x14ac:dyDescent="0.25">
      <c r="B196" s="13">
        <v>193</v>
      </c>
      <c r="C196" s="13" t="s">
        <v>568</v>
      </c>
      <c r="D196" s="223">
        <v>440158.63870000001</v>
      </c>
      <c r="E196" s="223">
        <v>3033756.4874</v>
      </c>
      <c r="F196" s="13">
        <v>0</v>
      </c>
      <c r="G196" s="13" t="s">
        <v>569</v>
      </c>
    </row>
    <row r="197" spans="2:7" x14ac:dyDescent="0.25">
      <c r="B197" s="13">
        <v>194</v>
      </c>
      <c r="C197" s="13" t="s">
        <v>570</v>
      </c>
      <c r="D197" s="223">
        <v>439975.3824</v>
      </c>
      <c r="E197" s="223">
        <v>3033542.4489000002</v>
      </c>
      <c r="F197" s="13">
        <v>0</v>
      </c>
      <c r="G197" s="13" t="s">
        <v>246</v>
      </c>
    </row>
  </sheetData>
  <phoneticPr fontId="3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AD196"/>
  <sheetViews>
    <sheetView topLeftCell="L1" workbookViewId="0">
      <selection activeCell="T14" sqref="T14"/>
    </sheetView>
  </sheetViews>
  <sheetFormatPr defaultColWidth="8.88671875" defaultRowHeight="13.8" x14ac:dyDescent="0.25"/>
  <cols>
    <col min="1" max="1" width="4.88671875" style="198" customWidth="1"/>
    <col min="2" max="2" width="26.109375" style="198" customWidth="1"/>
    <col min="3" max="3" width="31.88671875" style="198" customWidth="1"/>
    <col min="4" max="4" width="11.21875" style="62" customWidth="1"/>
    <col min="5" max="5" width="14.109375" style="62" customWidth="1"/>
    <col min="6" max="6" width="15.21875" style="62" customWidth="1"/>
    <col min="7" max="7" width="5.6640625" style="62" customWidth="1"/>
    <col min="8" max="10" width="7.5546875" style="62" customWidth="1"/>
    <col min="11" max="11" width="11.44140625" style="62" customWidth="1"/>
    <col min="12" max="14" width="10.6640625" style="62" customWidth="1"/>
    <col min="15" max="15" width="32.21875" style="62" customWidth="1"/>
    <col min="16" max="16" width="8.88671875" style="62"/>
    <col min="17" max="18" width="13.44140625" style="62" customWidth="1"/>
    <col min="19" max="19" width="11.21875" style="62" customWidth="1"/>
    <col min="20" max="20" width="49.5546875" style="62" customWidth="1"/>
    <col min="21" max="21" width="75.44140625" style="62" customWidth="1"/>
    <col min="22" max="22" width="8.88671875" style="62"/>
    <col min="23" max="23" width="69.109375" style="62" customWidth="1"/>
    <col min="24" max="16384" width="8.88671875" style="62"/>
  </cols>
  <sheetData>
    <row r="1" spans="1:30" ht="15.6" x14ac:dyDescent="0.3">
      <c r="A1" s="199"/>
      <c r="B1" s="199"/>
      <c r="C1" s="199"/>
      <c r="D1" s="199"/>
      <c r="E1" s="200" t="s">
        <v>25</v>
      </c>
      <c r="F1" s="200" t="s">
        <v>243</v>
      </c>
      <c r="G1" s="201" t="s">
        <v>571</v>
      </c>
      <c r="H1" s="202" t="s">
        <v>572</v>
      </c>
      <c r="I1" s="202" t="s">
        <v>573</v>
      </c>
      <c r="J1" s="202" t="s">
        <v>574</v>
      </c>
      <c r="K1" s="202" t="s">
        <v>575</v>
      </c>
      <c r="L1" s="202" t="s">
        <v>576</v>
      </c>
      <c r="M1" s="199" t="s">
        <v>577</v>
      </c>
      <c r="N1" s="199" t="s">
        <v>578</v>
      </c>
      <c r="O1" s="207" t="s">
        <v>579</v>
      </c>
      <c r="P1" s="199"/>
      <c r="Q1" s="208" t="s">
        <v>580</v>
      </c>
      <c r="R1" s="199" t="s">
        <v>581</v>
      </c>
      <c r="S1" s="199" t="s">
        <v>582</v>
      </c>
      <c r="T1" s="199" t="s">
        <v>583</v>
      </c>
      <c r="U1" s="199"/>
      <c r="V1" s="209"/>
      <c r="W1" s="209"/>
      <c r="X1" s="210"/>
      <c r="Y1" s="49"/>
      <c r="Z1" s="49"/>
      <c r="AA1" s="49"/>
      <c r="AB1" s="49"/>
      <c r="AC1" s="212"/>
      <c r="AD1" s="212"/>
    </row>
    <row r="2" spans="1:30" x14ac:dyDescent="0.25">
      <c r="A2" s="203">
        <v>0</v>
      </c>
      <c r="B2" s="199" t="str">
        <f>IF(C2=0,"IP"&amp;A2,C2)</f>
        <v>IP0</v>
      </c>
      <c r="C2" s="199"/>
      <c r="D2" s="199">
        <v>1</v>
      </c>
      <c r="E2" s="204">
        <f>中心线!D4</f>
        <v>451504.85830000002</v>
      </c>
      <c r="F2" s="204">
        <f>中心线!E4</f>
        <v>3048142.1269</v>
      </c>
      <c r="G2" s="201">
        <v>0</v>
      </c>
      <c r="H2" s="202">
        <v>0</v>
      </c>
      <c r="I2" s="202">
        <f t="shared" ref="I2:I65" si="0">G2*TAN(PI()/180*H2/2)</f>
        <v>0</v>
      </c>
      <c r="J2" s="202">
        <f t="shared" ref="J2:J65" si="1">H2*PI()*G2/180</f>
        <v>0</v>
      </c>
      <c r="K2" s="202">
        <v>0</v>
      </c>
      <c r="L2" s="202">
        <v>0</v>
      </c>
      <c r="M2" s="202">
        <v>0</v>
      </c>
      <c r="N2" s="202">
        <v>0</v>
      </c>
      <c r="O2" s="202" t="str">
        <f>"circle "&amp;E2&amp;","&amp;F2&amp;" 1"</f>
        <v>circle 451504.8583,3048142.1269 1</v>
      </c>
      <c r="P2" s="202"/>
      <c r="Q2" s="208"/>
      <c r="R2" s="199"/>
      <c r="S2" s="199"/>
      <c r="T2" s="199" t="str">
        <f>"-text"&amp;" "&amp;E2&amp;","&amp;F2&amp;" "&amp;"7"&amp;" "&amp;"0"&amp;" "&amp;B2</f>
        <v>-text 451504.8583,3048142.1269 7 0 IP0</v>
      </c>
      <c r="U2" s="199" t="str">
        <f t="shared" ref="U2:U65" si="2">"dt"&amp;" "&amp;E2&amp;","&amp;F2&amp;" "&amp;"5"&amp;" "&amp;"0"&amp;" "&amp;B2&amp;"("&amp;E2&amp;","&amp;F2&amp;")*"</f>
        <v>dt 451504.8583,3048142.1269 5 0 IP0(451504.8583,3048142.1269)*</v>
      </c>
      <c r="V2" s="209"/>
      <c r="W2" s="209" t="str">
        <f t="shared" ref="W2:W65" si="3">"dt"&amp;" "&amp;E2-10&amp;","&amp;F2-10&amp;" "&amp;"5 "&amp;"0 "&amp;"R="&amp;G2&amp;"*"&amp;"T="&amp;INT(I2*1000)/1000&amp;"*"&amp;"S="&amp;INT(J2*1000)/1000&amp;"*"&amp;"α="&amp;INT(H2*1000)/1000&amp;"*"</f>
        <v>dt 451494.8583,3048132.1269 5 0 R=0*T=0*S=0*α=0*</v>
      </c>
    </row>
    <row r="3" spans="1:30" x14ac:dyDescent="0.25">
      <c r="A3" s="199">
        <f>IF(C3=0,A2+1,A2)</f>
        <v>1</v>
      </c>
      <c r="B3" s="199" t="str">
        <f>IF(C3=0,"IP"&amp;A3,C3)</f>
        <v>IP1</v>
      </c>
      <c r="C3" s="199"/>
      <c r="D3" s="199">
        <v>2</v>
      </c>
      <c r="E3" s="204">
        <f>中心线!D5</f>
        <v>451485.89730000001</v>
      </c>
      <c r="F3" s="204">
        <f>中心线!E5</f>
        <v>3048138.6324</v>
      </c>
      <c r="G3" s="201">
        <v>13</v>
      </c>
      <c r="H3" s="202">
        <f>ROUND(IF((2*SQRT((E2-E3)^2+(F2-F3)^2)*SQRT((E4-E3)^2+(F4-F3)^2))=0,0,180-ACOS(((E2-E3)^2+(F2-F3)^2+(E4-E3)^2+(F4-F3)^2-(E4-E2)^2-(F4-F2)^2)/(2*SQRT((E2-E3)^2+(F2-F3)^2)*SQRT((E4-E3)^2+(F4-F3)^2)))/PI()*180),3)</f>
        <v>66.192999999999998</v>
      </c>
      <c r="I3" s="202">
        <f t="shared" si="0"/>
        <v>8.4734618302514075</v>
      </c>
      <c r="J3" s="202">
        <f t="shared" si="1"/>
        <v>15.018715293043885</v>
      </c>
      <c r="K3" s="202">
        <f>SQRT((E3-E2)^2+(F3-F2)^2)</f>
        <v>19.280328089806893</v>
      </c>
      <c r="L3" s="202">
        <f>M3-J3/2</f>
        <v>10.806866259555488</v>
      </c>
      <c r="M3" s="202">
        <f>M2+K3-I3+J3/2+J2/2-I2</f>
        <v>18.316223906077429</v>
      </c>
      <c r="N3" s="202">
        <f>L3+J3</f>
        <v>25.825581552599374</v>
      </c>
      <c r="O3" s="202" t="str">
        <f t="shared" ref="O3:O66" si="4">"circle "&amp;E3&amp;","&amp;F3&amp;" 1"</f>
        <v>circle 451485.8973,3048138.6324 1</v>
      </c>
      <c r="P3" s="202"/>
      <c r="Q3" s="208">
        <f>K3-I3</f>
        <v>10.806866259555486</v>
      </c>
      <c r="R3" s="202">
        <f>K4-I3</f>
        <v>83.417318803189787</v>
      </c>
      <c r="S3" s="202">
        <f>K3-I2-I3</f>
        <v>10.806866259555486</v>
      </c>
      <c r="T3" s="199" t="str">
        <f t="shared" ref="T3:T66" si="5">"-text"&amp;" "&amp;E3&amp;","&amp;F3&amp;" "&amp;"7"&amp;" "&amp;"0"&amp;" "&amp;B3</f>
        <v>-text 451485.8973,3048138.6324 7 0 IP1</v>
      </c>
      <c r="U3" s="199" t="str">
        <f t="shared" si="2"/>
        <v>dt 451485.8973,3048138.6324 5 0 IP1(451485.8973,3048138.6324)*</v>
      </c>
      <c r="V3" s="211"/>
      <c r="W3" s="209" t="str">
        <f t="shared" si="3"/>
        <v>dt 451475.8973,3048128.6324 5 0 R=13*T=8.473*S=15.018*α=66.193*</v>
      </c>
    </row>
    <row r="4" spans="1:30" x14ac:dyDescent="0.25">
      <c r="A4" s="199">
        <f t="shared" ref="A4:A67" si="6">IF(C4=0,A3+1,A3)</f>
        <v>2</v>
      </c>
      <c r="B4" s="199" t="str">
        <f t="shared" ref="B4:B67" si="7">IF(C4=0,"IP"&amp;A4,C4)</f>
        <v>IP2</v>
      </c>
      <c r="C4" s="199"/>
      <c r="D4" s="199">
        <v>3</v>
      </c>
      <c r="E4" s="204">
        <f>中心线!D6</f>
        <v>451464.65629999997</v>
      </c>
      <c r="F4" s="204">
        <f>中心线!E6</f>
        <v>3048049.2302999999</v>
      </c>
      <c r="G4" s="201">
        <v>13</v>
      </c>
      <c r="H4" s="202">
        <f t="shared" ref="H4:H67" si="8">ROUND(IF((2*SQRT((E3-E4)^2+(F3-F4)^2)*SQRT((E5-E4)^2+(F5-F4)^2))=0,0,180-ACOS(((E3-E4)^2+(F3-F4)^2+(E5-E4)^2+(F5-F4)^2-(E5-E3)^2-(F5-F3)^2)/(2*SQRT((E3-E4)^2+(F3-F4)^2)*SQRT((E5-E4)^2+(F5-F4)^2)))/PI()*180),3)</f>
        <v>58.598999999999997</v>
      </c>
      <c r="I4" s="202">
        <f t="shared" si="0"/>
        <v>7.2951105901021869</v>
      </c>
      <c r="J4" s="202">
        <f t="shared" si="1"/>
        <v>13.295691348890044</v>
      </c>
      <c r="K4" s="202">
        <f t="shared" ref="K4:K67" si="9">SQRT((E4-E3)^2+(F4-F3)^2)</f>
        <v>91.890780633441196</v>
      </c>
      <c r="L4" s="202">
        <f t="shared" ref="L4:L13" si="10">M4-J4/2</f>
        <v>101.94778976568698</v>
      </c>
      <c r="M4" s="202">
        <f t="shared" ref="M4:M13" si="11">M3+K4-I4+J4/2+J3/2-I3</f>
        <v>108.595635440132</v>
      </c>
      <c r="N4" s="202">
        <f t="shared" ref="N4:N13" si="12">L4+J4</f>
        <v>115.24348111457702</v>
      </c>
      <c r="O4" s="202" t="str">
        <f t="shared" si="4"/>
        <v>circle 451464.6563,3048049.2303 1</v>
      </c>
      <c r="P4" s="202"/>
      <c r="Q4" s="208">
        <f t="shared" ref="Q4:Q19" si="13">K4-I4</f>
        <v>84.595670043339013</v>
      </c>
      <c r="R4" s="202">
        <f t="shared" ref="R4:R19" si="14">K5-I4</f>
        <v>27.602638297336259</v>
      </c>
      <c r="S4" s="202">
        <f t="shared" ref="S4:S19" si="15">K4-I3-I4</f>
        <v>76.122208213087603</v>
      </c>
      <c r="T4" s="199" t="str">
        <f t="shared" si="5"/>
        <v>-text 451464.6563,3048049.2303 7 0 IP2</v>
      </c>
      <c r="U4" s="199" t="str">
        <f t="shared" si="2"/>
        <v>dt 451464.6563,3048049.2303 5 0 IP2(451464.6563,3048049.2303)*</v>
      </c>
      <c r="V4" s="211"/>
      <c r="W4" s="209" t="str">
        <f t="shared" si="3"/>
        <v>dt 451454.6563,3048039.2303 5 0 R=13*T=7.295*S=13.295*α=58.599*</v>
      </c>
    </row>
    <row r="5" spans="1:30" x14ac:dyDescent="0.25">
      <c r="A5" s="199">
        <f t="shared" si="6"/>
        <v>3</v>
      </c>
      <c r="B5" s="199" t="str">
        <f t="shared" si="7"/>
        <v>IP3</v>
      </c>
      <c r="C5" s="199"/>
      <c r="D5" s="199">
        <v>4</v>
      </c>
      <c r="E5" s="204">
        <f>中心线!D7</f>
        <v>451431.47340000002</v>
      </c>
      <c r="F5" s="204">
        <f>中心线!E7</f>
        <v>3048038.4252999998</v>
      </c>
      <c r="G5" s="201">
        <v>13</v>
      </c>
      <c r="H5" s="202">
        <f t="shared" si="8"/>
        <v>33.454999999999998</v>
      </c>
      <c r="I5" s="202">
        <f t="shared" si="0"/>
        <v>3.9069890572137433</v>
      </c>
      <c r="J5" s="202">
        <f t="shared" si="1"/>
        <v>7.5906987163111381</v>
      </c>
      <c r="K5" s="202">
        <f t="shared" si="9"/>
        <v>34.897748887438446</v>
      </c>
      <c r="L5" s="202">
        <f t="shared" si="10"/>
        <v>138.93913035469956</v>
      </c>
      <c r="M5" s="202">
        <f t="shared" si="11"/>
        <v>142.73447971285512</v>
      </c>
      <c r="N5" s="202">
        <f t="shared" si="12"/>
        <v>146.52982907101068</v>
      </c>
      <c r="O5" s="202" t="str">
        <f t="shared" si="4"/>
        <v>circle 451431.4734,3048038.4253 1</v>
      </c>
      <c r="P5" s="202"/>
      <c r="Q5" s="208">
        <f t="shared" si="13"/>
        <v>30.990759830224704</v>
      </c>
      <c r="R5" s="202">
        <f t="shared" si="14"/>
        <v>3.1993167197782029</v>
      </c>
      <c r="S5" s="202">
        <f t="shared" si="15"/>
        <v>23.695649240122517</v>
      </c>
      <c r="T5" s="199" t="str">
        <f t="shared" si="5"/>
        <v>-text 451431.4734,3048038.4253 7 0 IP3</v>
      </c>
      <c r="U5" s="199" t="str">
        <f t="shared" si="2"/>
        <v>dt 451431.4734,3048038.4253 5 0 IP3(451431.4734,3048038.4253)*</v>
      </c>
      <c r="V5" s="211"/>
      <c r="W5" s="209" t="str">
        <f t="shared" si="3"/>
        <v>dt 451421.4734,3048028.4253 5 0 R=13*T=3.906*S=7.59*α=33.455*</v>
      </c>
    </row>
    <row r="6" spans="1:30" x14ac:dyDescent="0.25">
      <c r="A6" s="199">
        <f t="shared" si="6"/>
        <v>3</v>
      </c>
      <c r="B6" s="199" t="str">
        <f t="shared" si="7"/>
        <v>一流量段末(1#斗门）</v>
      </c>
      <c r="C6" s="199" t="s">
        <v>584</v>
      </c>
      <c r="D6" s="199">
        <v>5</v>
      </c>
      <c r="E6" s="204">
        <f>中心线!D8</f>
        <v>451427.04879999999</v>
      </c>
      <c r="F6" s="204">
        <f>中心线!E8</f>
        <v>3048032.8645000001</v>
      </c>
      <c r="G6" s="201">
        <v>0</v>
      </c>
      <c r="H6" s="202">
        <f t="shared" si="8"/>
        <v>0</v>
      </c>
      <c r="I6" s="202">
        <f t="shared" si="0"/>
        <v>0</v>
      </c>
      <c r="J6" s="202">
        <f t="shared" si="1"/>
        <v>0</v>
      </c>
      <c r="K6" s="202">
        <f t="shared" si="9"/>
        <v>7.1063057769919462</v>
      </c>
      <c r="L6" s="202">
        <f t="shared" si="10"/>
        <v>149.72914579078889</v>
      </c>
      <c r="M6" s="202">
        <f t="shared" si="11"/>
        <v>149.72914579078889</v>
      </c>
      <c r="N6" s="202">
        <f t="shared" si="12"/>
        <v>149.72914579078889</v>
      </c>
      <c r="O6" s="202" t="str">
        <f t="shared" si="4"/>
        <v>circle 451427.0488,3048032.8645 1</v>
      </c>
      <c r="P6" s="202"/>
      <c r="Q6" s="208">
        <f t="shared" si="13"/>
        <v>7.1063057769919462</v>
      </c>
      <c r="R6" s="202">
        <f t="shared" si="14"/>
        <v>101.25458123172</v>
      </c>
      <c r="S6" s="202">
        <f t="shared" si="15"/>
        <v>3.1993167197782029</v>
      </c>
      <c r="T6" s="199" t="str">
        <f t="shared" si="5"/>
        <v>-text 451427.0488,3048032.8645 7 0 一流量段末(1#斗门）</v>
      </c>
      <c r="U6" s="199" t="str">
        <f t="shared" si="2"/>
        <v>dt 451427.0488,3048032.8645 5 0 一流量段末(1#斗门）(451427.0488,3048032.8645)*</v>
      </c>
      <c r="V6" s="211"/>
      <c r="W6" s="209" t="str">
        <f t="shared" si="3"/>
        <v>dt 451417.0488,3048022.8645 5 0 R=0*T=0*S=0*α=0*</v>
      </c>
    </row>
    <row r="7" spans="1:30" x14ac:dyDescent="0.25">
      <c r="A7" s="199">
        <f t="shared" si="6"/>
        <v>4</v>
      </c>
      <c r="B7" s="199" t="str">
        <f t="shared" si="7"/>
        <v>IP4</v>
      </c>
      <c r="C7" s="199"/>
      <c r="D7" s="199">
        <v>6</v>
      </c>
      <c r="E7" s="204">
        <f>中心线!D9</f>
        <v>451364.00469999999</v>
      </c>
      <c r="F7" s="204">
        <f>中心线!E9</f>
        <v>3047953.6310999999</v>
      </c>
      <c r="G7" s="201">
        <v>13</v>
      </c>
      <c r="H7" s="202">
        <f t="shared" si="8"/>
        <v>16.202000000000002</v>
      </c>
      <c r="I7" s="202">
        <f t="shared" si="0"/>
        <v>1.8504054732952522</v>
      </c>
      <c r="J7" s="202">
        <f t="shared" si="1"/>
        <v>3.6761171903055772</v>
      </c>
      <c r="K7" s="202">
        <f t="shared" si="9"/>
        <v>101.25458123172</v>
      </c>
      <c r="L7" s="202">
        <f t="shared" si="10"/>
        <v>249.13332154921366</v>
      </c>
      <c r="M7" s="202">
        <f t="shared" si="11"/>
        <v>250.97138014436646</v>
      </c>
      <c r="N7" s="202">
        <f t="shared" si="12"/>
        <v>252.80943873951924</v>
      </c>
      <c r="O7" s="202" t="str">
        <f t="shared" si="4"/>
        <v>circle 451364.0047,3047953.6311 1</v>
      </c>
      <c r="P7" s="202"/>
      <c r="Q7" s="208">
        <f t="shared" si="13"/>
        <v>99.404175758424742</v>
      </c>
      <c r="R7" s="202">
        <f t="shared" si="14"/>
        <v>77.434590406148004</v>
      </c>
      <c r="S7" s="202">
        <f t="shared" si="15"/>
        <v>99.404175758424742</v>
      </c>
      <c r="T7" s="199" t="str">
        <f t="shared" si="5"/>
        <v>-text 451364.0047,3047953.6311 7 0 IP4</v>
      </c>
      <c r="U7" s="199" t="str">
        <f t="shared" si="2"/>
        <v>dt 451364.0047,3047953.6311 5 0 IP4(451364.0047,3047953.6311)*</v>
      </c>
      <c r="V7" s="211"/>
      <c r="W7" s="209" t="str">
        <f t="shared" si="3"/>
        <v>dt 451354.0047,3047943.6311 5 0 R=13*T=1.85*S=3.676*α=16.202*</v>
      </c>
    </row>
    <row r="8" spans="1:30" x14ac:dyDescent="0.25">
      <c r="A8" s="199">
        <f t="shared" si="6"/>
        <v>5</v>
      </c>
      <c r="B8" s="199" t="str">
        <f t="shared" si="7"/>
        <v>IP5</v>
      </c>
      <c r="C8" s="199"/>
      <c r="D8" s="199">
        <v>7</v>
      </c>
      <c r="E8" s="204">
        <f>中心线!D10</f>
        <v>451333.91159999999</v>
      </c>
      <c r="F8" s="204">
        <f>中心线!E10</f>
        <v>3047880.2790999999</v>
      </c>
      <c r="G8" s="201">
        <v>13</v>
      </c>
      <c r="H8" s="202">
        <f t="shared" si="8"/>
        <v>64.323999999999998</v>
      </c>
      <c r="I8" s="202">
        <f t="shared" si="0"/>
        <v>8.174500861069939</v>
      </c>
      <c r="J8" s="202">
        <f t="shared" si="1"/>
        <v>14.594652644686821</v>
      </c>
      <c r="K8" s="202">
        <f t="shared" si="9"/>
        <v>79.284995879443258</v>
      </c>
      <c r="L8" s="202">
        <f t="shared" si="10"/>
        <v>322.06952828459731</v>
      </c>
      <c r="M8" s="202">
        <f t="shared" si="11"/>
        <v>329.36685460694071</v>
      </c>
      <c r="N8" s="202">
        <f t="shared" si="12"/>
        <v>336.66418092928416</v>
      </c>
      <c r="O8" s="202" t="str">
        <f t="shared" si="4"/>
        <v>circle 451333.9116,3047880.2791 1</v>
      </c>
      <c r="P8" s="202"/>
      <c r="Q8" s="208">
        <f t="shared" si="13"/>
        <v>71.110495018373314</v>
      </c>
      <c r="R8" s="202">
        <f t="shared" si="14"/>
        <v>38.849988680840163</v>
      </c>
      <c r="S8" s="202">
        <f t="shared" si="15"/>
        <v>69.26008954507806</v>
      </c>
      <c r="T8" s="199" t="str">
        <f t="shared" si="5"/>
        <v>-text 451333.9116,3047880.2791 7 0 IP5</v>
      </c>
      <c r="U8" s="199" t="str">
        <f t="shared" si="2"/>
        <v>dt 451333.9116,3047880.2791 5 0 IP5(451333.9116,3047880.2791)*</v>
      </c>
      <c r="V8" s="211"/>
      <c r="W8" s="209" t="str">
        <f t="shared" si="3"/>
        <v>dt 451323.9116,3047870.2791 5 0 R=13*T=8.174*S=14.594*α=64.324*</v>
      </c>
    </row>
    <row r="9" spans="1:30" x14ac:dyDescent="0.25">
      <c r="A9" s="199">
        <f t="shared" si="6"/>
        <v>6</v>
      </c>
      <c r="B9" s="199" t="str">
        <f t="shared" si="7"/>
        <v>IP6</v>
      </c>
      <c r="C9" s="199"/>
      <c r="D9" s="199">
        <v>8</v>
      </c>
      <c r="E9" s="204">
        <f>中心线!D11</f>
        <v>451286.96840000001</v>
      </c>
      <c r="F9" s="204">
        <f>中心线!E11</f>
        <v>3047877.5153000001</v>
      </c>
      <c r="G9" s="201">
        <v>13</v>
      </c>
      <c r="H9" s="202">
        <f t="shared" si="8"/>
        <v>44.874000000000002</v>
      </c>
      <c r="I9" s="202">
        <f t="shared" si="0"/>
        <v>5.3680371764116792</v>
      </c>
      <c r="J9" s="202">
        <f t="shared" si="1"/>
        <v>10.181587631019161</v>
      </c>
      <c r="K9" s="202">
        <f t="shared" si="9"/>
        <v>47.0244895419101</v>
      </c>
      <c r="L9" s="202">
        <f t="shared" si="10"/>
        <v>370.14613243371258</v>
      </c>
      <c r="M9" s="202">
        <f t="shared" si="11"/>
        <v>375.23692624922217</v>
      </c>
      <c r="N9" s="202">
        <f t="shared" si="12"/>
        <v>380.32772006473175</v>
      </c>
      <c r="O9" s="202" t="str">
        <f t="shared" si="4"/>
        <v>circle 451286.9684,3047877.5153 1</v>
      </c>
      <c r="P9" s="202"/>
      <c r="Q9" s="208">
        <f t="shared" si="13"/>
        <v>41.656452365498424</v>
      </c>
      <c r="R9" s="202">
        <f t="shared" si="14"/>
        <v>146.72537557396993</v>
      </c>
      <c r="S9" s="202">
        <f t="shared" si="15"/>
        <v>33.48195150442848</v>
      </c>
      <c r="T9" s="199" t="str">
        <f t="shared" si="5"/>
        <v>-text 451286.9684,3047877.5153 7 0 IP6</v>
      </c>
      <c r="U9" s="199" t="str">
        <f t="shared" si="2"/>
        <v>dt 451286.9684,3047877.5153 5 0 IP6(451286.9684,3047877.5153)*</v>
      </c>
      <c r="V9" s="211"/>
      <c r="W9" s="209" t="str">
        <f t="shared" si="3"/>
        <v>dt 451276.9684,3047867.5153 5 0 R=13*T=5.368*S=10.181*α=44.874*</v>
      </c>
    </row>
    <row r="10" spans="1:30" x14ac:dyDescent="0.25">
      <c r="A10" s="199">
        <f t="shared" si="6"/>
        <v>7</v>
      </c>
      <c r="B10" s="199" t="str">
        <f t="shared" si="7"/>
        <v>IP7</v>
      </c>
      <c r="C10" s="199"/>
      <c r="D10" s="199">
        <v>9</v>
      </c>
      <c r="E10" s="204">
        <f>中心线!D12</f>
        <v>451185.67940000002</v>
      </c>
      <c r="F10" s="204">
        <f>中心线!E12</f>
        <v>3047764.0562999998</v>
      </c>
      <c r="G10" s="201">
        <v>13</v>
      </c>
      <c r="H10" s="202">
        <f t="shared" si="8"/>
        <v>53.83</v>
      </c>
      <c r="I10" s="202">
        <f t="shared" si="0"/>
        <v>6.5995563576744454</v>
      </c>
      <c r="J10" s="202">
        <f t="shared" si="1"/>
        <v>12.213639572531118</v>
      </c>
      <c r="K10" s="202">
        <f t="shared" si="9"/>
        <v>152.09341275038162</v>
      </c>
      <c r="L10" s="202">
        <f t="shared" si="10"/>
        <v>520.45353928102713</v>
      </c>
      <c r="M10" s="202">
        <f t="shared" si="11"/>
        <v>526.56035906729267</v>
      </c>
      <c r="N10" s="202">
        <f t="shared" si="12"/>
        <v>532.6671788535582</v>
      </c>
      <c r="O10" s="202" t="str">
        <f t="shared" si="4"/>
        <v>circle 451185.6794,3047764.0563 1</v>
      </c>
      <c r="P10" s="202"/>
      <c r="Q10" s="208">
        <f t="shared" si="13"/>
        <v>145.49385639270716</v>
      </c>
      <c r="R10" s="202">
        <f t="shared" si="14"/>
        <v>123.6954947710188</v>
      </c>
      <c r="S10" s="202">
        <f t="shared" si="15"/>
        <v>140.12581921629547</v>
      </c>
      <c r="T10" s="199" t="str">
        <f t="shared" si="5"/>
        <v>-text 451185.6794,3047764.0563 7 0 IP7</v>
      </c>
      <c r="U10" s="199" t="str">
        <f t="shared" si="2"/>
        <v>dt 451185.6794,3047764.0563 5 0 IP7(451185.6794,3047764.0563)*</v>
      </c>
      <c r="V10" s="211"/>
      <c r="W10" s="209" t="str">
        <f t="shared" si="3"/>
        <v>dt 451175.6794,3047754.0563 5 0 R=13*T=6.599*S=12.213*α=53.83*</v>
      </c>
    </row>
    <row r="11" spans="1:30" x14ac:dyDescent="0.25">
      <c r="A11" s="199">
        <f t="shared" si="6"/>
        <v>7</v>
      </c>
      <c r="B11" s="199" t="str">
        <f t="shared" si="7"/>
        <v>1#倒虹吸进</v>
      </c>
      <c r="C11" s="199" t="s">
        <v>585</v>
      </c>
      <c r="D11" s="199">
        <v>10</v>
      </c>
      <c r="E11" s="204">
        <f>中心线!D13</f>
        <v>451212.93290000001</v>
      </c>
      <c r="F11" s="204">
        <f>中心线!E13</f>
        <v>3047636.6433999999</v>
      </c>
      <c r="G11" s="201">
        <v>0</v>
      </c>
      <c r="H11" s="202">
        <f t="shared" si="8"/>
        <v>0</v>
      </c>
      <c r="I11" s="202">
        <f t="shared" si="0"/>
        <v>0</v>
      </c>
      <c r="J11" s="202">
        <f t="shared" si="1"/>
        <v>0</v>
      </c>
      <c r="K11" s="202">
        <f t="shared" si="9"/>
        <v>130.29505112869325</v>
      </c>
      <c r="L11" s="202">
        <f t="shared" si="10"/>
        <v>656.36267362457693</v>
      </c>
      <c r="M11" s="202">
        <f t="shared" si="11"/>
        <v>656.36267362457693</v>
      </c>
      <c r="N11" s="202">
        <f t="shared" si="12"/>
        <v>656.36267362457693</v>
      </c>
      <c r="O11" s="202" t="str">
        <f t="shared" si="4"/>
        <v>circle 451212.9329,3047636.6434 1</v>
      </c>
      <c r="P11" s="202"/>
      <c r="Q11" s="208">
        <f t="shared" si="13"/>
        <v>130.29505112869325</v>
      </c>
      <c r="R11" s="202">
        <f t="shared" si="14"/>
        <v>155.05871614229724</v>
      </c>
      <c r="S11" s="202">
        <f t="shared" si="15"/>
        <v>123.6954947710188</v>
      </c>
      <c r="T11" s="199" t="str">
        <f t="shared" si="5"/>
        <v>-text 451212.9329,3047636.6434 7 0 1#倒虹吸进</v>
      </c>
      <c r="U11" s="199" t="str">
        <f t="shared" si="2"/>
        <v>dt 451212.9329,3047636.6434 5 0 1#倒虹吸进(451212.9329,3047636.6434)*</v>
      </c>
      <c r="V11" s="211"/>
      <c r="W11" s="209" t="str">
        <f t="shared" si="3"/>
        <v>dt 451202.9329,3047626.6434 5 0 R=0*T=0*S=0*α=0*</v>
      </c>
    </row>
    <row r="12" spans="1:30" x14ac:dyDescent="0.25">
      <c r="A12" s="199">
        <f t="shared" si="6"/>
        <v>8</v>
      </c>
      <c r="B12" s="199" t="str">
        <f t="shared" si="7"/>
        <v>IP8</v>
      </c>
      <c r="C12" s="199"/>
      <c r="D12" s="199">
        <v>11</v>
      </c>
      <c r="E12" s="204">
        <f>中心线!D14</f>
        <v>451245.36609999998</v>
      </c>
      <c r="F12" s="204">
        <f>中心线!E14</f>
        <v>3047485.0145999999</v>
      </c>
      <c r="G12" s="205">
        <v>6</v>
      </c>
      <c r="H12" s="202">
        <f t="shared" si="8"/>
        <v>66.338999999999999</v>
      </c>
      <c r="I12" s="202">
        <f t="shared" si="0"/>
        <v>3.9217299176436282</v>
      </c>
      <c r="J12" s="202">
        <f t="shared" si="1"/>
        <v>6.9470038348831089</v>
      </c>
      <c r="K12" s="202">
        <f t="shared" si="9"/>
        <v>155.05871614229724</v>
      </c>
      <c r="L12" s="202">
        <f t="shared" si="10"/>
        <v>807.49965984923062</v>
      </c>
      <c r="M12" s="202">
        <f t="shared" si="11"/>
        <v>810.97316176667221</v>
      </c>
      <c r="N12" s="202">
        <f t="shared" si="12"/>
        <v>814.44666368411379</v>
      </c>
      <c r="O12" s="202" t="str">
        <f t="shared" si="4"/>
        <v>circle 451245.3661,3047485.0146 1</v>
      </c>
      <c r="P12" s="202"/>
      <c r="Q12" s="208">
        <f t="shared" si="13"/>
        <v>151.13698622465361</v>
      </c>
      <c r="R12" s="202">
        <f t="shared" si="14"/>
        <v>30.419315389958935</v>
      </c>
      <c r="S12" s="202">
        <f t="shared" si="15"/>
        <v>151.13698622465361</v>
      </c>
      <c r="T12" s="199" t="str">
        <f t="shared" si="5"/>
        <v>-text 451245.3661,3047485.0146 7 0 IP8</v>
      </c>
      <c r="U12" s="199" t="str">
        <f t="shared" si="2"/>
        <v>dt 451245.3661,3047485.0146 5 0 IP8(451245.3661,3047485.0146)*</v>
      </c>
      <c r="V12" s="211"/>
      <c r="W12" s="209" t="str">
        <f t="shared" si="3"/>
        <v>dt 451235.3661,3047475.0146 5 0 R=6*T=3.921*S=6.947*α=66.339*</v>
      </c>
    </row>
    <row r="13" spans="1:30" x14ac:dyDescent="0.25">
      <c r="A13" s="199">
        <f t="shared" si="6"/>
        <v>8</v>
      </c>
      <c r="B13" s="199" t="str">
        <f t="shared" si="7"/>
        <v>1#倒虹吸出</v>
      </c>
      <c r="C13" s="199" t="s">
        <v>586</v>
      </c>
      <c r="D13" s="199">
        <v>12</v>
      </c>
      <c r="E13" s="204">
        <f>中心线!D15</f>
        <v>451279.00719999999</v>
      </c>
      <c r="F13" s="204">
        <f>中心线!E15</f>
        <v>3047478.1165</v>
      </c>
      <c r="G13" s="201">
        <v>0</v>
      </c>
      <c r="H13" s="202">
        <f t="shared" si="8"/>
        <v>0</v>
      </c>
      <c r="I13" s="202">
        <f t="shared" si="0"/>
        <v>0</v>
      </c>
      <c r="J13" s="202">
        <f t="shared" si="1"/>
        <v>0</v>
      </c>
      <c r="K13" s="202">
        <f t="shared" si="9"/>
        <v>34.341045307602563</v>
      </c>
      <c r="L13" s="202">
        <f t="shared" si="10"/>
        <v>844.86597907407281</v>
      </c>
      <c r="M13" s="202">
        <f t="shared" si="11"/>
        <v>844.86597907407281</v>
      </c>
      <c r="N13" s="202">
        <f t="shared" si="12"/>
        <v>844.86597907407281</v>
      </c>
      <c r="O13" s="202" t="str">
        <f t="shared" si="4"/>
        <v>circle 451279.0072,3047478.1165 1</v>
      </c>
      <c r="P13" s="202"/>
      <c r="Q13" s="208">
        <f t="shared" si="13"/>
        <v>34.341045307602563</v>
      </c>
      <c r="R13" s="202">
        <f t="shared" si="14"/>
        <v>37.572998279047461</v>
      </c>
      <c r="S13" s="202">
        <f t="shared" si="15"/>
        <v>30.419315389958935</v>
      </c>
      <c r="T13" s="199" t="str">
        <f t="shared" si="5"/>
        <v>-text 451279.0072,3047478.1165 7 0 1#倒虹吸出</v>
      </c>
      <c r="U13" s="199" t="str">
        <f t="shared" si="2"/>
        <v>dt 451279.0072,3047478.1165 5 0 1#倒虹吸出(451279.0072,3047478.1165)*</v>
      </c>
      <c r="V13" s="211"/>
      <c r="W13" s="209" t="str">
        <f t="shared" si="3"/>
        <v>dt 451269.0072,3047468.1165 5 0 R=0*T=0*S=0*α=0*</v>
      </c>
    </row>
    <row r="14" spans="1:30" x14ac:dyDescent="0.25">
      <c r="A14" s="199">
        <f t="shared" si="6"/>
        <v>9</v>
      </c>
      <c r="B14" s="199" t="str">
        <f t="shared" si="7"/>
        <v>IP9</v>
      </c>
      <c r="C14" s="199"/>
      <c r="D14" s="199">
        <v>13</v>
      </c>
      <c r="E14" s="204">
        <f>中心线!D16</f>
        <v>451315.81439999997</v>
      </c>
      <c r="F14" s="204">
        <f>中心线!E16</f>
        <v>3047470.5693000001</v>
      </c>
      <c r="G14" s="201">
        <v>13</v>
      </c>
      <c r="H14" s="202">
        <f t="shared" si="8"/>
        <v>60.901000000000003</v>
      </c>
      <c r="I14" s="202">
        <f t="shared" si="0"/>
        <v>7.642464778165543</v>
      </c>
      <c r="J14" s="202">
        <f t="shared" si="1"/>
        <v>13.817998580841865</v>
      </c>
      <c r="K14" s="202">
        <f t="shared" si="9"/>
        <v>37.572998279047461</v>
      </c>
      <c r="L14" s="202">
        <f t="shared" ref="L14:L37" si="16">M14-J14/2</f>
        <v>874.79651257495482</v>
      </c>
      <c r="M14" s="202">
        <f t="shared" ref="M14:M37" si="17">M13+K14-I14+J14/2+J13/2-I13</f>
        <v>881.7055118653758</v>
      </c>
      <c r="N14" s="202">
        <f t="shared" ref="N14:N37" si="18">L14+J14</f>
        <v>888.61451115579666</v>
      </c>
      <c r="O14" s="202" t="str">
        <f t="shared" si="4"/>
        <v>circle 451315.8144,3047470.5693 1</v>
      </c>
      <c r="P14" s="202"/>
      <c r="Q14" s="208">
        <f t="shared" si="13"/>
        <v>29.930533500881918</v>
      </c>
      <c r="R14" s="202">
        <f t="shared" si="14"/>
        <v>63.078741214236302</v>
      </c>
      <c r="S14" s="202">
        <f t="shared" si="15"/>
        <v>29.930533500881918</v>
      </c>
      <c r="T14" s="199" t="str">
        <f t="shared" si="5"/>
        <v>-text 451315.8144,3047470.5693 7 0 IP9</v>
      </c>
      <c r="U14" s="199" t="str">
        <f t="shared" si="2"/>
        <v>dt 451315.8144,3047470.5693 5 0 IP9(451315.8144,3047470.5693)*</v>
      </c>
      <c r="V14" s="211"/>
      <c r="W14" s="209" t="str">
        <f t="shared" si="3"/>
        <v>dt 451305.8144,3047460.5693 5 0 R=13*T=7.642*S=13.817*α=60.901*</v>
      </c>
    </row>
    <row r="15" spans="1:30" x14ac:dyDescent="0.25">
      <c r="A15" s="199">
        <f t="shared" si="6"/>
        <v>10</v>
      </c>
      <c r="B15" s="199" t="str">
        <f t="shared" si="7"/>
        <v>IP10</v>
      </c>
      <c r="C15" s="199"/>
      <c r="D15" s="199">
        <v>14</v>
      </c>
      <c r="E15" s="204">
        <f>中心线!D17</f>
        <v>451337.09340000001</v>
      </c>
      <c r="F15" s="204">
        <f>中心线!E17</f>
        <v>3047403.1253</v>
      </c>
      <c r="G15" s="201">
        <v>13</v>
      </c>
      <c r="H15" s="202">
        <f t="shared" si="8"/>
        <v>45.805</v>
      </c>
      <c r="I15" s="202">
        <f t="shared" si="0"/>
        <v>5.4920834565260801</v>
      </c>
      <c r="J15" s="202">
        <f t="shared" si="1"/>
        <v>10.392824830388035</v>
      </c>
      <c r="K15" s="202">
        <f t="shared" si="9"/>
        <v>70.721205992401849</v>
      </c>
      <c r="L15" s="202">
        <f t="shared" si="16"/>
        <v>946.2011689135071</v>
      </c>
      <c r="M15" s="202">
        <f t="shared" si="17"/>
        <v>951.39758132870111</v>
      </c>
      <c r="N15" s="202">
        <f t="shared" si="18"/>
        <v>956.59399374389511</v>
      </c>
      <c r="O15" s="202" t="str">
        <f t="shared" si="4"/>
        <v>circle 451337.0934,3047403.1253 1</v>
      </c>
      <c r="P15" s="202"/>
      <c r="Q15" s="208">
        <f t="shared" si="13"/>
        <v>65.229122535875774</v>
      </c>
      <c r="R15" s="202">
        <f t="shared" si="14"/>
        <v>51.829226969662038</v>
      </c>
      <c r="S15" s="202">
        <f t="shared" si="15"/>
        <v>57.586657757710221</v>
      </c>
      <c r="T15" s="199" t="str">
        <f t="shared" si="5"/>
        <v>-text 451337.0934,3047403.1253 7 0 IP10</v>
      </c>
      <c r="U15" s="199" t="str">
        <f t="shared" si="2"/>
        <v>dt 451337.0934,3047403.1253 5 0 IP10(451337.0934,3047403.1253)*</v>
      </c>
      <c r="V15" s="211"/>
      <c r="W15" s="209" t="str">
        <f t="shared" si="3"/>
        <v>dt 451327.0934,3047393.1253 5 0 R=13*T=5.492*S=10.392*α=45.805*</v>
      </c>
    </row>
    <row r="16" spans="1:30" x14ac:dyDescent="0.25">
      <c r="A16" s="199">
        <f t="shared" si="6"/>
        <v>11</v>
      </c>
      <c r="B16" s="199" t="str">
        <f t="shared" si="7"/>
        <v>IP11</v>
      </c>
      <c r="C16" s="199"/>
      <c r="D16" s="199">
        <v>15</v>
      </c>
      <c r="E16" s="204">
        <f>中心线!D18</f>
        <v>451309.92340000003</v>
      </c>
      <c r="F16" s="204">
        <f>中心线!E18</f>
        <v>3047352.6523000002</v>
      </c>
      <c r="G16" s="201">
        <v>13</v>
      </c>
      <c r="H16" s="202">
        <f t="shared" si="8"/>
        <v>58.701999999999998</v>
      </c>
      <c r="I16" s="202">
        <f t="shared" si="0"/>
        <v>7.3104829646042422</v>
      </c>
      <c r="J16" s="202">
        <f t="shared" si="1"/>
        <v>13.319061307574248</v>
      </c>
      <c r="K16" s="202">
        <f t="shared" si="9"/>
        <v>57.32131042618812</v>
      </c>
      <c r="L16" s="202">
        <f t="shared" si="16"/>
        <v>1001.1127377489529</v>
      </c>
      <c r="M16" s="202">
        <f t="shared" si="17"/>
        <v>1007.77226840274</v>
      </c>
      <c r="N16" s="202">
        <f t="shared" si="18"/>
        <v>1014.4317990565271</v>
      </c>
      <c r="O16" s="202" t="str">
        <f t="shared" si="4"/>
        <v>circle 451309.9234,3047352.6523 1</v>
      </c>
      <c r="P16" s="202"/>
      <c r="Q16" s="208">
        <f t="shared" si="13"/>
        <v>50.010827461583879</v>
      </c>
      <c r="R16" s="202">
        <f t="shared" si="14"/>
        <v>36.975572511773407</v>
      </c>
      <c r="S16" s="202">
        <f t="shared" si="15"/>
        <v>44.518744005057798</v>
      </c>
      <c r="T16" s="199" t="str">
        <f t="shared" si="5"/>
        <v>-text 451309.9234,3047352.6523 7 0 IP11</v>
      </c>
      <c r="U16" s="199" t="str">
        <f t="shared" si="2"/>
        <v>dt 451309.9234,3047352.6523 5 0 IP11(451309.9234,3047352.6523)*</v>
      </c>
      <c r="V16" s="211"/>
      <c r="W16" s="209" t="str">
        <f t="shared" si="3"/>
        <v>dt 451299.9234,3047342.6523 5 0 R=13*T=7.31*S=13.319*α=58.702*</v>
      </c>
    </row>
    <row r="17" spans="1:23" x14ac:dyDescent="0.25">
      <c r="A17" s="199">
        <f t="shared" si="6"/>
        <v>12</v>
      </c>
      <c r="B17" s="199" t="str">
        <f t="shared" si="7"/>
        <v>IP12</v>
      </c>
      <c r="C17" s="199"/>
      <c r="D17" s="199">
        <v>16</v>
      </c>
      <c r="E17" s="204">
        <f>中心线!D19</f>
        <v>451332.33880000003</v>
      </c>
      <c r="F17" s="204">
        <f>中心线!E19</f>
        <v>3047314.4580000001</v>
      </c>
      <c r="G17" s="201">
        <v>13</v>
      </c>
      <c r="H17" s="202">
        <f t="shared" si="8"/>
        <v>30.472999999999999</v>
      </c>
      <c r="I17" s="202">
        <f t="shared" si="0"/>
        <v>3.5409162825085456</v>
      </c>
      <c r="J17" s="202">
        <f t="shared" si="1"/>
        <v>6.9141043784830165</v>
      </c>
      <c r="K17" s="202">
        <f t="shared" si="9"/>
        <v>44.286055476377648</v>
      </c>
      <c r="L17" s="202">
        <f t="shared" si="16"/>
        <v>1047.866455285792</v>
      </c>
      <c r="M17" s="202">
        <f t="shared" si="17"/>
        <v>1051.3235074750335</v>
      </c>
      <c r="N17" s="202">
        <f t="shared" si="18"/>
        <v>1054.780559664275</v>
      </c>
      <c r="O17" s="202" t="str">
        <f t="shared" si="4"/>
        <v>circle 451332.3388,3047314.458 1</v>
      </c>
      <c r="P17" s="202"/>
      <c r="Q17" s="208">
        <f t="shared" si="13"/>
        <v>40.7451391938691</v>
      </c>
      <c r="R17" s="202">
        <f t="shared" si="14"/>
        <v>56.744300729931325</v>
      </c>
      <c r="S17" s="202">
        <f t="shared" si="15"/>
        <v>33.43465622926486</v>
      </c>
      <c r="T17" s="199" t="str">
        <f t="shared" si="5"/>
        <v>-text 451332.3388,3047314.458 7 0 IP12</v>
      </c>
      <c r="U17" s="199" t="str">
        <f t="shared" si="2"/>
        <v>dt 451332.3388,3047314.458 5 0 IP12(451332.3388,3047314.458)*</v>
      </c>
      <c r="V17" s="211"/>
      <c r="W17" s="209" t="str">
        <f t="shared" si="3"/>
        <v>dt 451322.3388,3047304.458 5 0 R=13*T=3.54*S=6.914*α=30.473*</v>
      </c>
    </row>
    <row r="18" spans="1:23" x14ac:dyDescent="0.25">
      <c r="A18" s="199">
        <f t="shared" si="6"/>
        <v>13</v>
      </c>
      <c r="B18" s="199" t="str">
        <f t="shared" si="7"/>
        <v>IP13</v>
      </c>
      <c r="C18" s="199"/>
      <c r="D18" s="199">
        <v>17</v>
      </c>
      <c r="E18" s="204">
        <f>中心线!D20</f>
        <v>451385.00439999998</v>
      </c>
      <c r="F18" s="204">
        <f>中心线!E20</f>
        <v>3047285.1213000002</v>
      </c>
      <c r="G18" s="201">
        <v>13</v>
      </c>
      <c r="H18" s="202">
        <f t="shared" si="8"/>
        <v>76.224999999999994</v>
      </c>
      <c r="I18" s="202">
        <f t="shared" si="0"/>
        <v>10.197882707322309</v>
      </c>
      <c r="J18" s="202">
        <f t="shared" si="1"/>
        <v>17.294903890324807</v>
      </c>
      <c r="K18" s="202">
        <f t="shared" si="9"/>
        <v>60.285217012439873</v>
      </c>
      <c r="L18" s="202">
        <f t="shared" si="16"/>
        <v>1101.326977686884</v>
      </c>
      <c r="M18" s="202">
        <f t="shared" si="17"/>
        <v>1109.9744296320464</v>
      </c>
      <c r="N18" s="202">
        <f t="shared" si="18"/>
        <v>1118.6218815772088</v>
      </c>
      <c r="O18" s="202" t="str">
        <f t="shared" si="4"/>
        <v>circle 451385.0044,3047285.1213 1</v>
      </c>
      <c r="P18" s="202"/>
      <c r="Q18" s="208">
        <f t="shared" si="13"/>
        <v>50.087334305117565</v>
      </c>
      <c r="R18" s="202">
        <f t="shared" si="14"/>
        <v>38.229461077287297</v>
      </c>
      <c r="S18" s="202">
        <f t="shared" si="15"/>
        <v>46.546418022609018</v>
      </c>
      <c r="T18" s="199" t="str">
        <f t="shared" si="5"/>
        <v>-text 451385.0044,3047285.1213 7 0 IP13</v>
      </c>
      <c r="U18" s="199" t="str">
        <f t="shared" si="2"/>
        <v>dt 451385.0044,3047285.1213 5 0 IP13(451385.0044,3047285.1213)*</v>
      </c>
      <c r="V18" s="211"/>
      <c r="W18" s="209" t="str">
        <f t="shared" si="3"/>
        <v>dt 451375.0044,3047275.1213 5 0 R=13*T=10.197*S=17.294*α=76.225*</v>
      </c>
    </row>
    <row r="19" spans="1:23" x14ac:dyDescent="0.25">
      <c r="A19" s="199">
        <f t="shared" si="6"/>
        <v>14</v>
      </c>
      <c r="B19" s="199" t="str">
        <f t="shared" si="7"/>
        <v>IP14</v>
      </c>
      <c r="C19" s="199"/>
      <c r="D19" s="199">
        <v>18</v>
      </c>
      <c r="E19" s="204">
        <f>中心线!D21</f>
        <v>451372.18939999997</v>
      </c>
      <c r="F19" s="204">
        <f>中心线!E21</f>
        <v>3047238.4202999999</v>
      </c>
      <c r="G19" s="201">
        <v>13</v>
      </c>
      <c r="H19" s="202">
        <f t="shared" si="8"/>
        <v>11.442</v>
      </c>
      <c r="I19" s="202">
        <f t="shared" si="0"/>
        <v>1.302384897966729</v>
      </c>
      <c r="J19" s="202">
        <f t="shared" si="1"/>
        <v>2.5961074491714853</v>
      </c>
      <c r="K19" s="202">
        <f t="shared" si="9"/>
        <v>48.427343784609604</v>
      </c>
      <c r="L19" s="202">
        <f t="shared" si="16"/>
        <v>1155.5489577565293</v>
      </c>
      <c r="M19" s="202">
        <f t="shared" si="17"/>
        <v>1156.847011481115</v>
      </c>
      <c r="N19" s="202">
        <f t="shared" si="18"/>
        <v>1158.1450652057008</v>
      </c>
      <c r="O19" s="202" t="str">
        <f t="shared" si="4"/>
        <v>circle 451372.1894,3047238.4203 1</v>
      </c>
      <c r="P19" s="202"/>
      <c r="Q19" s="208">
        <f t="shared" si="13"/>
        <v>47.124958886642872</v>
      </c>
      <c r="R19" s="202">
        <f t="shared" si="14"/>
        <v>24.685066800681099</v>
      </c>
      <c r="S19" s="202">
        <f t="shared" si="15"/>
        <v>36.927076179320565</v>
      </c>
      <c r="T19" s="199" t="str">
        <f t="shared" si="5"/>
        <v>-text 451372.1894,3047238.4203 7 0 IP14</v>
      </c>
      <c r="U19" s="199" t="str">
        <f t="shared" si="2"/>
        <v>dt 451372.1894,3047238.4203 5 0 IP14(451372.1894,3047238.4203)*</v>
      </c>
      <c r="V19" s="211"/>
      <c r="W19" s="209" t="str">
        <f t="shared" si="3"/>
        <v>dt 451362.1894,3047228.4203 5 0 R=13*T=1.302*S=2.596*α=11.442*</v>
      </c>
    </row>
    <row r="20" spans="1:23" x14ac:dyDescent="0.25">
      <c r="A20" s="199">
        <f t="shared" si="6"/>
        <v>15</v>
      </c>
      <c r="B20" s="199" t="str">
        <f t="shared" si="7"/>
        <v>IP15</v>
      </c>
      <c r="C20" s="206"/>
      <c r="D20" s="199">
        <v>19</v>
      </c>
      <c r="E20" s="204">
        <f>中心线!D22</f>
        <v>451370.42080000002</v>
      </c>
      <c r="F20" s="204">
        <f>中心线!E22</f>
        <v>3047212.4931000001</v>
      </c>
      <c r="G20" s="201">
        <v>13</v>
      </c>
      <c r="H20" s="202">
        <f t="shared" si="8"/>
        <v>17.408999999999999</v>
      </c>
      <c r="I20" s="202">
        <f t="shared" si="0"/>
        <v>1.9903244766488348</v>
      </c>
      <c r="J20" s="202">
        <f t="shared" si="1"/>
        <v>3.9499768032360065</v>
      </c>
      <c r="K20" s="202">
        <f t="shared" si="9"/>
        <v>25.987451698647828</v>
      </c>
      <c r="L20" s="202">
        <f t="shared" si="16"/>
        <v>1180.8398075297332</v>
      </c>
      <c r="M20" s="202">
        <f t="shared" si="17"/>
        <v>1182.8147959313512</v>
      </c>
      <c r="N20" s="202">
        <f t="shared" si="18"/>
        <v>1184.7897843329692</v>
      </c>
      <c r="O20" s="202" t="str">
        <f t="shared" si="4"/>
        <v>circle 451370.4208,3047212.4931 1</v>
      </c>
      <c r="P20" s="202"/>
      <c r="Q20" s="208">
        <f t="shared" ref="Q20:Q83" si="19">K20-I20</f>
        <v>23.997127221998994</v>
      </c>
      <c r="R20" s="202">
        <f t="shared" ref="R20:R83" si="20">K21-I20</f>
        <v>47.60178096873166</v>
      </c>
      <c r="S20" s="202">
        <f t="shared" ref="S20:S83" si="21">K20-I19-I20</f>
        <v>22.694742324032266</v>
      </c>
      <c r="T20" s="199" t="str">
        <f t="shared" si="5"/>
        <v>-text 451370.4208,3047212.4931 7 0 IP15</v>
      </c>
      <c r="U20" s="199" t="str">
        <f t="shared" si="2"/>
        <v>dt 451370.4208,3047212.4931 5 0 IP15(451370.4208,3047212.4931)*</v>
      </c>
      <c r="V20" s="211"/>
      <c r="W20" s="209" t="str">
        <f t="shared" si="3"/>
        <v>dt 451360.4208,3047202.4931 5 0 R=13*T=1.99*S=3.949*α=17.409*</v>
      </c>
    </row>
    <row r="21" spans="1:23" x14ac:dyDescent="0.25">
      <c r="A21" s="199">
        <f t="shared" si="6"/>
        <v>16</v>
      </c>
      <c r="B21" s="199" t="str">
        <f t="shared" si="7"/>
        <v>IP16</v>
      </c>
      <c r="C21" s="206"/>
      <c r="D21" s="199">
        <v>20</v>
      </c>
      <c r="E21" s="204">
        <f>中心线!D23</f>
        <v>451352.3971</v>
      </c>
      <c r="F21" s="204">
        <f>中心线!E23</f>
        <v>3047166.2922</v>
      </c>
      <c r="G21" s="201">
        <v>13</v>
      </c>
      <c r="H21" s="202">
        <f t="shared" si="8"/>
        <v>21.506</v>
      </c>
      <c r="I21" s="202">
        <f t="shared" si="0"/>
        <v>2.4688323380463553</v>
      </c>
      <c r="J21" s="202">
        <f t="shared" si="1"/>
        <v>4.8795566161407073</v>
      </c>
      <c r="K21" s="202">
        <f t="shared" si="9"/>
        <v>49.592105445380497</v>
      </c>
      <c r="L21" s="202">
        <f t="shared" si="16"/>
        <v>1229.9227329636544</v>
      </c>
      <c r="M21" s="202">
        <f t="shared" si="17"/>
        <v>1232.3625112717248</v>
      </c>
      <c r="N21" s="202">
        <f t="shared" si="18"/>
        <v>1234.8022895797951</v>
      </c>
      <c r="O21" s="202" t="str">
        <f t="shared" si="4"/>
        <v>circle 451352.3971,3047166.2922 1</v>
      </c>
      <c r="P21" s="202"/>
      <c r="Q21" s="208">
        <f t="shared" si="19"/>
        <v>47.123273107334143</v>
      </c>
      <c r="R21" s="202">
        <f t="shared" si="20"/>
        <v>65.969763268222835</v>
      </c>
      <c r="S21" s="202">
        <f t="shared" si="21"/>
        <v>45.132948630685306</v>
      </c>
      <c r="T21" s="199" t="str">
        <f t="shared" si="5"/>
        <v>-text 451352.3971,3047166.2922 7 0 IP16</v>
      </c>
      <c r="U21" s="199" t="str">
        <f t="shared" si="2"/>
        <v>dt 451352.3971,3047166.2922 5 0 IP16(451352.3971,3047166.2922)*</v>
      </c>
      <c r="V21" s="211"/>
      <c r="W21" s="209" t="str">
        <f t="shared" si="3"/>
        <v>dt 451342.3971,3047156.2922 5 0 R=13*T=2.468*S=4.879*α=21.506*</v>
      </c>
    </row>
    <row r="22" spans="1:23" x14ac:dyDescent="0.25">
      <c r="A22" s="199">
        <f t="shared" si="6"/>
        <v>17</v>
      </c>
      <c r="B22" s="199" t="str">
        <f t="shared" si="7"/>
        <v>IP17</v>
      </c>
      <c r="C22" s="206"/>
      <c r="D22" s="199">
        <v>21</v>
      </c>
      <c r="E22" s="204">
        <f>中心线!D24</f>
        <v>451352.6298</v>
      </c>
      <c r="F22" s="204">
        <f>中心线!E24</f>
        <v>3047097.8539999998</v>
      </c>
      <c r="G22" s="201">
        <v>13</v>
      </c>
      <c r="H22" s="202">
        <f t="shared" si="8"/>
        <v>38.149000000000001</v>
      </c>
      <c r="I22" s="202">
        <f t="shared" si="0"/>
        <v>4.4951750723694843</v>
      </c>
      <c r="J22" s="202">
        <f t="shared" si="1"/>
        <v>8.6557335324631186</v>
      </c>
      <c r="K22" s="202">
        <f t="shared" si="9"/>
        <v>68.438595606269189</v>
      </c>
      <c r="L22" s="202">
        <f t="shared" si="16"/>
        <v>1296.2768777756485</v>
      </c>
      <c r="M22" s="202">
        <f t="shared" si="17"/>
        <v>1300.6047445418801</v>
      </c>
      <c r="N22" s="202">
        <f t="shared" si="18"/>
        <v>1304.9326113081115</v>
      </c>
      <c r="O22" s="202" t="str">
        <f t="shared" si="4"/>
        <v>circle 451352.6298,3047097.854 1</v>
      </c>
      <c r="P22" s="202"/>
      <c r="Q22" s="208">
        <f t="shared" si="19"/>
        <v>63.943420533899705</v>
      </c>
      <c r="R22" s="202">
        <f t="shared" si="20"/>
        <v>44.474632452001657</v>
      </c>
      <c r="S22" s="202">
        <f t="shared" si="21"/>
        <v>61.47458819585335</v>
      </c>
      <c r="T22" s="199" t="str">
        <f t="shared" si="5"/>
        <v>-text 451352.6298,3047097.854 7 0 IP17</v>
      </c>
      <c r="U22" s="199" t="str">
        <f t="shared" si="2"/>
        <v>dt 451352.6298,3047097.854 5 0 IP17(451352.6298,3047097.854)*</v>
      </c>
      <c r="V22" s="211"/>
      <c r="W22" s="209" t="str">
        <f t="shared" si="3"/>
        <v>dt 451342.6298,3047087.854 5 0 R=13*T=4.495*S=8.655*α=38.149*</v>
      </c>
    </row>
    <row r="23" spans="1:23" x14ac:dyDescent="0.25">
      <c r="A23" s="199">
        <f t="shared" si="6"/>
        <v>18</v>
      </c>
      <c r="B23" s="199" t="str">
        <f t="shared" si="7"/>
        <v>IP18</v>
      </c>
      <c r="C23" s="206"/>
      <c r="D23" s="199">
        <v>22</v>
      </c>
      <c r="E23" s="204">
        <f>中心线!D25</f>
        <v>451383.0098</v>
      </c>
      <c r="F23" s="204">
        <f>中心线!E25</f>
        <v>3047059.4470000002</v>
      </c>
      <c r="G23" s="201">
        <v>13</v>
      </c>
      <c r="H23" s="202">
        <f t="shared" si="8"/>
        <v>53.112000000000002</v>
      </c>
      <c r="I23" s="202">
        <f t="shared" si="0"/>
        <v>6.4974331440560427</v>
      </c>
      <c r="J23" s="202">
        <f t="shared" si="1"/>
        <v>12.050730540149969</v>
      </c>
      <c r="K23" s="202">
        <f t="shared" si="9"/>
        <v>48.969807524371141</v>
      </c>
      <c r="L23" s="202">
        <f t="shared" si="16"/>
        <v>1342.9098106160575</v>
      </c>
      <c r="M23" s="202">
        <f t="shared" si="17"/>
        <v>1348.9351758861324</v>
      </c>
      <c r="N23" s="202">
        <f t="shared" si="18"/>
        <v>1354.9605411562075</v>
      </c>
      <c r="O23" s="202" t="str">
        <f t="shared" si="4"/>
        <v>circle 451383.0098,3047059.447 1</v>
      </c>
      <c r="P23" s="202"/>
      <c r="Q23" s="208">
        <f t="shared" si="19"/>
        <v>42.472374380315102</v>
      </c>
      <c r="R23" s="202">
        <f t="shared" si="20"/>
        <v>56.266488571113101</v>
      </c>
      <c r="S23" s="202">
        <f t="shared" si="21"/>
        <v>37.977199307945611</v>
      </c>
      <c r="T23" s="199" t="str">
        <f t="shared" si="5"/>
        <v>-text 451383.0098,3047059.447 7 0 IP18</v>
      </c>
      <c r="U23" s="199" t="str">
        <f t="shared" si="2"/>
        <v>dt 451383.0098,3047059.447 5 0 IP18(451383.0098,3047059.447)*</v>
      </c>
      <c r="V23" s="211"/>
      <c r="W23" s="209" t="str">
        <f t="shared" si="3"/>
        <v>dt 451373.0098,3047049.447 5 0 R=13*T=6.497*S=12.05*α=53.112*</v>
      </c>
    </row>
    <row r="24" spans="1:23" x14ac:dyDescent="0.25">
      <c r="A24" s="199">
        <f t="shared" si="6"/>
        <v>19</v>
      </c>
      <c r="B24" s="199" t="str">
        <f t="shared" si="7"/>
        <v>IP19</v>
      </c>
      <c r="C24" s="206"/>
      <c r="D24" s="199">
        <v>23</v>
      </c>
      <c r="E24" s="204">
        <f>中心线!D26</f>
        <v>451367.01140000002</v>
      </c>
      <c r="F24" s="204">
        <f>中心线!E26</f>
        <v>3046998.7563</v>
      </c>
      <c r="G24" s="201">
        <v>13</v>
      </c>
      <c r="H24" s="202">
        <f t="shared" si="8"/>
        <v>65.28</v>
      </c>
      <c r="I24" s="202">
        <f t="shared" si="0"/>
        <v>8.3266401888592263</v>
      </c>
      <c r="J24" s="202">
        <f t="shared" si="1"/>
        <v>14.811562164124679</v>
      </c>
      <c r="K24" s="202">
        <f t="shared" si="9"/>
        <v>62.76392171516914</v>
      </c>
      <c r="L24" s="202">
        <f t="shared" si="16"/>
        <v>1402.900389538461</v>
      </c>
      <c r="M24" s="202">
        <f t="shared" si="17"/>
        <v>1410.3061706205233</v>
      </c>
      <c r="N24" s="202">
        <f t="shared" si="18"/>
        <v>1417.7119517025858</v>
      </c>
      <c r="O24" s="202" t="str">
        <f t="shared" si="4"/>
        <v>circle 451367.0114,3046998.7563 1</v>
      </c>
      <c r="P24" s="202"/>
      <c r="Q24" s="208">
        <f t="shared" si="19"/>
        <v>54.437281526309917</v>
      </c>
      <c r="R24" s="202">
        <f t="shared" si="20"/>
        <v>24.886127973427921</v>
      </c>
      <c r="S24" s="202">
        <f t="shared" si="21"/>
        <v>47.939848382253871</v>
      </c>
      <c r="T24" s="199" t="str">
        <f t="shared" si="5"/>
        <v>-text 451367.0114,3046998.7563 7 0 IP19</v>
      </c>
      <c r="U24" s="199" t="str">
        <f t="shared" si="2"/>
        <v>dt 451367.0114,3046998.7563 5 0 IP19(451367.0114,3046998.7563)*</v>
      </c>
      <c r="V24" s="211"/>
      <c r="W24" s="209" t="str">
        <f t="shared" si="3"/>
        <v>dt 451357.0114,3046988.7563 5 0 R=13*T=8.326*S=14.811*α=65.28*</v>
      </c>
    </row>
    <row r="25" spans="1:23" x14ac:dyDescent="0.25">
      <c r="A25" s="199">
        <f t="shared" si="6"/>
        <v>20</v>
      </c>
      <c r="B25" s="199" t="str">
        <f t="shared" si="7"/>
        <v>IP20</v>
      </c>
      <c r="C25" s="206"/>
      <c r="D25" s="199">
        <v>24</v>
      </c>
      <c r="E25" s="204">
        <f>中心线!D27</f>
        <v>451334.29840000003</v>
      </c>
      <c r="F25" s="204">
        <f>中心线!E27</f>
        <v>3046993.0162999998</v>
      </c>
      <c r="G25" s="201">
        <v>13</v>
      </c>
      <c r="H25" s="202">
        <f t="shared" si="8"/>
        <v>75.58</v>
      </c>
      <c r="I25" s="202">
        <f t="shared" si="0"/>
        <v>10.080200041828562</v>
      </c>
      <c r="J25" s="202">
        <f t="shared" si="1"/>
        <v>17.148558032545086</v>
      </c>
      <c r="K25" s="202">
        <f t="shared" si="9"/>
        <v>33.212768162287148</v>
      </c>
      <c r="L25" s="202">
        <f t="shared" si="16"/>
        <v>1432.517879634185</v>
      </c>
      <c r="M25" s="202">
        <f t="shared" si="17"/>
        <v>1441.0921586504576</v>
      </c>
      <c r="N25" s="202">
        <f t="shared" si="18"/>
        <v>1449.66643766673</v>
      </c>
      <c r="O25" s="202" t="str">
        <f t="shared" si="4"/>
        <v>circle 451334.2984,3046993.0163 1</v>
      </c>
      <c r="P25" s="202"/>
      <c r="Q25" s="208">
        <f t="shared" si="19"/>
        <v>23.132568120458586</v>
      </c>
      <c r="R25" s="202">
        <f t="shared" si="20"/>
        <v>49.991379935698774</v>
      </c>
      <c r="S25" s="202">
        <f t="shared" si="21"/>
        <v>14.80592793159936</v>
      </c>
      <c r="T25" s="199" t="str">
        <f t="shared" si="5"/>
        <v>-text 451334.2984,3046993.0163 7 0 IP20</v>
      </c>
      <c r="U25" s="199" t="str">
        <f t="shared" si="2"/>
        <v>dt 451334.2984,3046993.0163 5 0 IP20(451334.2984,3046993.0163)*</v>
      </c>
      <c r="V25" s="211"/>
      <c r="W25" s="209" t="str">
        <f t="shared" si="3"/>
        <v>dt 451324.2984,3046983.0163 5 0 R=13*T=10.08*S=17.148*α=75.58*</v>
      </c>
    </row>
    <row r="26" spans="1:23" x14ac:dyDescent="0.25">
      <c r="A26" s="199">
        <f t="shared" si="6"/>
        <v>21</v>
      </c>
      <c r="B26" s="199" t="str">
        <f t="shared" si="7"/>
        <v>IP21</v>
      </c>
      <c r="C26" s="206"/>
      <c r="D26" s="199">
        <v>25</v>
      </c>
      <c r="E26" s="204">
        <f>中心线!D28</f>
        <v>451329.61839999998</v>
      </c>
      <c r="F26" s="204">
        <f>中心线!E28</f>
        <v>3046933.1272999998</v>
      </c>
      <c r="G26" s="201">
        <v>13</v>
      </c>
      <c r="H26" s="202">
        <f t="shared" si="8"/>
        <v>22.446000000000002</v>
      </c>
      <c r="I26" s="202">
        <f t="shared" si="0"/>
        <v>2.5794928803930599</v>
      </c>
      <c r="J26" s="202">
        <f t="shared" si="1"/>
        <v>5.0928358507344136</v>
      </c>
      <c r="K26" s="202">
        <f t="shared" si="9"/>
        <v>60.071579977527335</v>
      </c>
      <c r="L26" s="202">
        <f t="shared" si="16"/>
        <v>1497.0783247220361</v>
      </c>
      <c r="M26" s="202">
        <f t="shared" si="17"/>
        <v>1499.6247426474033</v>
      </c>
      <c r="N26" s="202">
        <f t="shared" si="18"/>
        <v>1502.1711605727705</v>
      </c>
      <c r="O26" s="202" t="str">
        <f t="shared" si="4"/>
        <v>circle 451329.6184,3046933.1273 1</v>
      </c>
      <c r="P26" s="202"/>
      <c r="Q26" s="208">
        <f t="shared" si="19"/>
        <v>57.492087097134274</v>
      </c>
      <c r="R26" s="202">
        <f t="shared" si="20"/>
        <v>64.458621308258543</v>
      </c>
      <c r="S26" s="202">
        <f t="shared" si="21"/>
        <v>47.411887055305712</v>
      </c>
      <c r="T26" s="199" t="str">
        <f t="shared" si="5"/>
        <v>-text 451329.6184,3046933.1273 7 0 IP21</v>
      </c>
      <c r="U26" s="199" t="str">
        <f t="shared" si="2"/>
        <v>dt 451329.6184,3046933.1273 5 0 IP21(451329.6184,3046933.1273)*</v>
      </c>
      <c r="V26" s="211"/>
      <c r="W26" s="209" t="str">
        <f t="shared" si="3"/>
        <v>dt 451319.6184,3046923.1273 5 0 R=13*T=2.579*S=5.092*α=22.446*</v>
      </c>
    </row>
    <row r="27" spans="1:23" x14ac:dyDescent="0.25">
      <c r="A27" s="199">
        <f t="shared" si="6"/>
        <v>22</v>
      </c>
      <c r="B27" s="199" t="str">
        <f t="shared" si="7"/>
        <v>IP22</v>
      </c>
      <c r="C27" s="206"/>
      <c r="D27" s="199">
        <v>26</v>
      </c>
      <c r="E27" s="204">
        <f>中心线!D29</f>
        <v>451299.27340000001</v>
      </c>
      <c r="F27" s="204">
        <f>中心线!E29</f>
        <v>3046873.3503</v>
      </c>
      <c r="G27" s="201">
        <v>13</v>
      </c>
      <c r="H27" s="202">
        <f t="shared" si="8"/>
        <v>10.15</v>
      </c>
      <c r="I27" s="202">
        <f t="shared" si="0"/>
        <v>1.1545018121488111</v>
      </c>
      <c r="J27" s="202">
        <f t="shared" si="1"/>
        <v>2.302961948006518</v>
      </c>
      <c r="K27" s="202">
        <f t="shared" si="9"/>
        <v>67.038114188651605</v>
      </c>
      <c r="L27" s="202">
        <f t="shared" si="16"/>
        <v>1565.4752800688805</v>
      </c>
      <c r="M27" s="202">
        <f t="shared" si="17"/>
        <v>1566.6267610428838</v>
      </c>
      <c r="N27" s="202">
        <f t="shared" si="18"/>
        <v>1567.7782420168869</v>
      </c>
      <c r="O27" s="202" t="str">
        <f t="shared" si="4"/>
        <v>circle 451299.2734,3046873.3503 1</v>
      </c>
      <c r="P27" s="202"/>
      <c r="Q27" s="208">
        <f t="shared" si="19"/>
        <v>65.883612376502796</v>
      </c>
      <c r="R27" s="202">
        <f t="shared" si="20"/>
        <v>160.75971773000455</v>
      </c>
      <c r="S27" s="202">
        <f t="shared" si="21"/>
        <v>63.304119496109735</v>
      </c>
      <c r="T27" s="199" t="str">
        <f t="shared" si="5"/>
        <v>-text 451299.2734,3046873.3503 7 0 IP22</v>
      </c>
      <c r="U27" s="199" t="str">
        <f t="shared" si="2"/>
        <v>dt 451299.2734,3046873.3503 5 0 IP22(451299.2734,3046873.3503)*</v>
      </c>
      <c r="V27" s="211"/>
      <c r="W27" s="209" t="str">
        <f t="shared" si="3"/>
        <v>dt 451289.2734,3046863.3503 5 0 R=13*T=1.154*S=2.302*α=10.15*</v>
      </c>
    </row>
    <row r="28" spans="1:23" x14ac:dyDescent="0.25">
      <c r="A28" s="199">
        <f t="shared" si="6"/>
        <v>23</v>
      </c>
      <c r="B28" s="199" t="str">
        <f t="shared" si="7"/>
        <v>IP23</v>
      </c>
      <c r="C28" s="206"/>
      <c r="D28" s="199">
        <v>27</v>
      </c>
      <c r="E28" s="204">
        <f>中心线!D30</f>
        <v>451252.5724</v>
      </c>
      <c r="F28" s="204">
        <f>中心线!E30</f>
        <v>3046718.3173000002</v>
      </c>
      <c r="G28" s="201">
        <v>13</v>
      </c>
      <c r="H28" s="202">
        <f t="shared" si="8"/>
        <v>7.0979999999999999</v>
      </c>
      <c r="I28" s="202">
        <f t="shared" si="0"/>
        <v>0.80627398575814846</v>
      </c>
      <c r="J28" s="202">
        <f t="shared" si="1"/>
        <v>1.6104851139852476</v>
      </c>
      <c r="K28" s="202">
        <f t="shared" si="9"/>
        <v>161.91421954215338</v>
      </c>
      <c r="L28" s="202">
        <f t="shared" si="16"/>
        <v>1727.7316857611336</v>
      </c>
      <c r="M28" s="202">
        <f t="shared" si="17"/>
        <v>1728.5369283181262</v>
      </c>
      <c r="N28" s="202">
        <f t="shared" si="18"/>
        <v>1729.3421708751189</v>
      </c>
      <c r="O28" s="202" t="str">
        <f t="shared" si="4"/>
        <v>circle 451252.5724,3046718.3173 1</v>
      </c>
      <c r="P28" s="202"/>
      <c r="Q28" s="208">
        <f t="shared" si="19"/>
        <v>161.10794555639524</v>
      </c>
      <c r="R28" s="202">
        <f t="shared" si="20"/>
        <v>81.330888371230969</v>
      </c>
      <c r="S28" s="202">
        <f t="shared" si="21"/>
        <v>159.95344374424641</v>
      </c>
      <c r="T28" s="199" t="str">
        <f t="shared" si="5"/>
        <v>-text 451252.5724,3046718.3173 7 0 IP23</v>
      </c>
      <c r="U28" s="199" t="str">
        <f t="shared" si="2"/>
        <v>dt 451252.5724,3046718.3173 5 0 IP23(451252.5724,3046718.3173)*</v>
      </c>
      <c r="V28" s="211"/>
      <c r="W28" s="209" t="str">
        <f t="shared" si="3"/>
        <v>dt 451242.5724,3046708.3173 5 0 R=13*T=0.806*S=1.61*α=7.098*</v>
      </c>
    </row>
    <row r="29" spans="1:23" x14ac:dyDescent="0.25">
      <c r="A29" s="199">
        <f t="shared" si="6"/>
        <v>24</v>
      </c>
      <c r="B29" s="199" t="str">
        <f t="shared" si="7"/>
        <v>IP24</v>
      </c>
      <c r="C29" s="206"/>
      <c r="D29" s="199">
        <v>28</v>
      </c>
      <c r="E29" s="204">
        <f>中心线!D31</f>
        <v>451219.3444</v>
      </c>
      <c r="F29" s="204">
        <f>中心线!E31</f>
        <v>3046643.2012999998</v>
      </c>
      <c r="G29" s="201">
        <v>13</v>
      </c>
      <c r="H29" s="202">
        <f t="shared" si="8"/>
        <v>56.350999999999999</v>
      </c>
      <c r="I29" s="202">
        <f t="shared" si="0"/>
        <v>6.9633834012951166</v>
      </c>
      <c r="J29" s="202">
        <f t="shared" si="1"/>
        <v>12.78563632828722</v>
      </c>
      <c r="K29" s="202">
        <f t="shared" si="9"/>
        <v>82.137162356989123</v>
      </c>
      <c r="L29" s="202">
        <f t="shared" si="16"/>
        <v>1803.7096758450548</v>
      </c>
      <c r="M29" s="202">
        <f t="shared" si="17"/>
        <v>1810.1024940091984</v>
      </c>
      <c r="N29" s="202">
        <f t="shared" si="18"/>
        <v>1816.495312173342</v>
      </c>
      <c r="O29" s="202" t="str">
        <f t="shared" si="4"/>
        <v>circle 451219.3444,3046643.2013 1</v>
      </c>
      <c r="P29" s="202"/>
      <c r="Q29" s="208">
        <f t="shared" si="19"/>
        <v>75.173778955694004</v>
      </c>
      <c r="R29" s="202">
        <f t="shared" si="20"/>
        <v>47.188642396179581</v>
      </c>
      <c r="S29" s="202">
        <f t="shared" si="21"/>
        <v>74.367504969935851</v>
      </c>
      <c r="T29" s="199" t="str">
        <f t="shared" si="5"/>
        <v>-text 451219.3444,3046643.2013 7 0 IP24</v>
      </c>
      <c r="U29" s="199" t="str">
        <f t="shared" si="2"/>
        <v>dt 451219.3444,3046643.2013 5 0 IP24(451219.3444,3046643.2013)*</v>
      </c>
      <c r="V29" s="211"/>
      <c r="W29" s="209" t="str">
        <f t="shared" si="3"/>
        <v>dt 451209.3444,3046633.2013 5 0 R=13*T=6.963*S=12.785*α=56.351*</v>
      </c>
    </row>
    <row r="30" spans="1:23" x14ac:dyDescent="0.25">
      <c r="A30" s="199">
        <f t="shared" si="6"/>
        <v>25</v>
      </c>
      <c r="B30" s="199" t="str">
        <f t="shared" si="7"/>
        <v>IP25</v>
      </c>
      <c r="C30" s="199"/>
      <c r="D30" s="199">
        <v>29</v>
      </c>
      <c r="E30" s="204">
        <f>中心线!D32</f>
        <v>451248.4314</v>
      </c>
      <c r="F30" s="204">
        <f>中心线!E32</f>
        <v>3046597.5243000002</v>
      </c>
      <c r="G30" s="201">
        <v>13</v>
      </c>
      <c r="H30" s="202">
        <f t="shared" si="8"/>
        <v>15.711</v>
      </c>
      <c r="I30" s="202">
        <f t="shared" si="0"/>
        <v>1.7936090361442658</v>
      </c>
      <c r="J30" s="202">
        <f t="shared" si="1"/>
        <v>3.5647128241507784</v>
      </c>
      <c r="K30" s="202">
        <f t="shared" si="9"/>
        <v>54.1520257974747</v>
      </c>
      <c r="L30" s="202">
        <f t="shared" si="16"/>
        <v>1861.8903455333773</v>
      </c>
      <c r="M30" s="202">
        <f t="shared" si="17"/>
        <v>1863.6727019454527</v>
      </c>
      <c r="N30" s="202">
        <f t="shared" si="18"/>
        <v>1865.4550583575281</v>
      </c>
      <c r="O30" s="202" t="str">
        <f t="shared" si="4"/>
        <v>circle 451248.4314,3046597.5243 1</v>
      </c>
      <c r="P30" s="202"/>
      <c r="Q30" s="208">
        <f t="shared" si="19"/>
        <v>52.358416761330432</v>
      </c>
      <c r="R30" s="202">
        <f t="shared" si="20"/>
        <v>6.3793962036855696</v>
      </c>
      <c r="S30" s="202">
        <f t="shared" si="21"/>
        <v>45.395033360035313</v>
      </c>
      <c r="T30" s="199" t="str">
        <f t="shared" si="5"/>
        <v>-text 451248.4314,3046597.5243 7 0 IP25</v>
      </c>
      <c r="U30" s="199" t="str">
        <f t="shared" si="2"/>
        <v>dt 451248.4314,3046597.5243 5 0 IP25(451248.4314,3046597.5243)*</v>
      </c>
      <c r="V30" s="211"/>
      <c r="W30" s="209" t="str">
        <f t="shared" si="3"/>
        <v>dt 451238.4314,3046587.5243 5 0 R=13*T=1.793*S=3.564*α=15.711*</v>
      </c>
    </row>
    <row r="31" spans="1:23" x14ac:dyDescent="0.25">
      <c r="A31" s="199">
        <f t="shared" si="6"/>
        <v>25</v>
      </c>
      <c r="B31" s="199" t="str">
        <f t="shared" si="7"/>
        <v>2#倒虹吸进</v>
      </c>
      <c r="C31" s="199" t="s">
        <v>587</v>
      </c>
      <c r="D31" s="199">
        <v>30</v>
      </c>
      <c r="E31" s="204">
        <f>中心线!D33</f>
        <v>451250.79060000001</v>
      </c>
      <c r="F31" s="204">
        <f>中心线!E33</f>
        <v>3046589.6992000001</v>
      </c>
      <c r="G31" s="201">
        <v>0</v>
      </c>
      <c r="H31" s="202">
        <f t="shared" si="8"/>
        <v>0</v>
      </c>
      <c r="I31" s="202">
        <f t="shared" si="0"/>
        <v>0</v>
      </c>
      <c r="J31" s="202">
        <f t="shared" si="1"/>
        <v>0</v>
      </c>
      <c r="K31" s="202">
        <f t="shared" si="9"/>
        <v>8.1730052398298358</v>
      </c>
      <c r="L31" s="202">
        <f t="shared" si="16"/>
        <v>1871.8344545612135</v>
      </c>
      <c r="M31" s="202">
        <f t="shared" si="17"/>
        <v>1871.8344545612135</v>
      </c>
      <c r="N31" s="202">
        <f t="shared" si="18"/>
        <v>1871.8344545612135</v>
      </c>
      <c r="O31" s="202" t="str">
        <f t="shared" si="4"/>
        <v>circle 451250.7906,3046589.6992 1</v>
      </c>
      <c r="P31" s="202"/>
      <c r="Q31" s="208">
        <f t="shared" si="19"/>
        <v>8.1730052398298358</v>
      </c>
      <c r="R31" s="202">
        <f t="shared" si="20"/>
        <v>106.63247765597204</v>
      </c>
      <c r="S31" s="202">
        <f t="shared" si="21"/>
        <v>6.3793962036855696</v>
      </c>
      <c r="T31" s="199" t="str">
        <f t="shared" si="5"/>
        <v>-text 451250.7906,3046589.6992 7 0 2#倒虹吸进</v>
      </c>
      <c r="U31" s="199" t="str">
        <f t="shared" si="2"/>
        <v>dt 451250.7906,3046589.6992 5 0 2#倒虹吸进(451250.7906,3046589.6992)*</v>
      </c>
      <c r="V31" s="211"/>
      <c r="W31" s="209" t="str">
        <f t="shared" si="3"/>
        <v>dt 451240.7906,3046579.6992 5 0 R=0*T=0*S=0*α=0*</v>
      </c>
    </row>
    <row r="32" spans="1:23" x14ac:dyDescent="0.25">
      <c r="A32" s="199">
        <f t="shared" si="6"/>
        <v>26</v>
      </c>
      <c r="B32" s="199" t="str">
        <f t="shared" si="7"/>
        <v>IP26</v>
      </c>
      <c r="C32" s="206"/>
      <c r="D32" s="199">
        <v>31</v>
      </c>
      <c r="E32" s="204">
        <f>中心线!D34</f>
        <v>451281.57150000002</v>
      </c>
      <c r="F32" s="204">
        <f>中心线!E34</f>
        <v>3046487.6060000001</v>
      </c>
      <c r="G32" s="205">
        <v>6</v>
      </c>
      <c r="H32" s="202">
        <f t="shared" si="8"/>
        <v>29.341000000000001</v>
      </c>
      <c r="I32" s="202">
        <f t="shared" si="0"/>
        <v>1.5707691299434352</v>
      </c>
      <c r="J32" s="202">
        <f t="shared" si="1"/>
        <v>3.0725823349659374</v>
      </c>
      <c r="K32" s="202">
        <f t="shared" si="9"/>
        <v>106.63247765597204</v>
      </c>
      <c r="L32" s="202">
        <f t="shared" si="16"/>
        <v>1976.896163087242</v>
      </c>
      <c r="M32" s="202">
        <f t="shared" si="17"/>
        <v>1978.4324542547249</v>
      </c>
      <c r="N32" s="202">
        <f t="shared" si="18"/>
        <v>1979.968745422208</v>
      </c>
      <c r="O32" s="202" t="str">
        <f t="shared" si="4"/>
        <v>circle 451281.5715,3046487.606 1</v>
      </c>
      <c r="P32" s="202"/>
      <c r="Q32" s="208">
        <f t="shared" si="19"/>
        <v>105.06170852602861</v>
      </c>
      <c r="R32" s="202">
        <f t="shared" si="20"/>
        <v>207.18355239494107</v>
      </c>
      <c r="S32" s="202">
        <f t="shared" si="21"/>
        <v>105.06170852602861</v>
      </c>
      <c r="T32" s="199" t="str">
        <f t="shared" si="5"/>
        <v>-text 451281.5715,3046487.606 7 0 IP26</v>
      </c>
      <c r="U32" s="199" t="str">
        <f t="shared" si="2"/>
        <v>dt 451281.5715,3046487.606 5 0 IP26(451281.5715,3046487.606)*</v>
      </c>
      <c r="V32" s="211"/>
      <c r="W32" s="209" t="str">
        <f t="shared" si="3"/>
        <v>dt 451271.5715,3046477.606 5 0 R=6*T=1.57*S=3.072*α=29.341*</v>
      </c>
    </row>
    <row r="33" spans="1:23" x14ac:dyDescent="0.25">
      <c r="A33" s="199">
        <f t="shared" si="6"/>
        <v>27</v>
      </c>
      <c r="B33" s="199" t="str">
        <f t="shared" si="7"/>
        <v>IP27</v>
      </c>
      <c r="C33" s="199"/>
      <c r="D33" s="199">
        <v>32</v>
      </c>
      <c r="E33" s="204">
        <f>中心线!D35</f>
        <v>451236.16379999998</v>
      </c>
      <c r="F33" s="204">
        <f>中心线!E35</f>
        <v>3046283.85</v>
      </c>
      <c r="G33" s="205">
        <v>6</v>
      </c>
      <c r="H33" s="202">
        <f t="shared" si="8"/>
        <v>25.052</v>
      </c>
      <c r="I33" s="202">
        <f t="shared" si="0"/>
        <v>1.3330247944428986</v>
      </c>
      <c r="J33" s="202">
        <f t="shared" si="1"/>
        <v>2.6234393052577167</v>
      </c>
      <c r="K33" s="202">
        <f t="shared" si="9"/>
        <v>208.75432152488452</v>
      </c>
      <c r="L33" s="202">
        <f t="shared" si="16"/>
        <v>2185.8192730227061</v>
      </c>
      <c r="M33" s="202">
        <f t="shared" si="17"/>
        <v>2187.1309926753347</v>
      </c>
      <c r="N33" s="202">
        <f t="shared" si="18"/>
        <v>2188.4427123279638</v>
      </c>
      <c r="O33" s="202" t="str">
        <f t="shared" si="4"/>
        <v>circle 451236.1638,3046283.85 1</v>
      </c>
      <c r="P33" s="202"/>
      <c r="Q33" s="208">
        <f t="shared" si="19"/>
        <v>207.42129673044161</v>
      </c>
      <c r="R33" s="202">
        <f t="shared" si="20"/>
        <v>54.446833768342273</v>
      </c>
      <c r="S33" s="202">
        <f t="shared" si="21"/>
        <v>205.85052760049817</v>
      </c>
      <c r="T33" s="199" t="str">
        <f t="shared" si="5"/>
        <v>-text 451236.1638,3046283.85 7 0 IP27</v>
      </c>
      <c r="U33" s="199" t="str">
        <f t="shared" si="2"/>
        <v>dt 451236.1638,3046283.85 5 0 IP27(451236.1638,3046283.85)*</v>
      </c>
      <c r="V33" s="211"/>
      <c r="W33" s="209" t="str">
        <f t="shared" si="3"/>
        <v>dt 451226.1638,3046273.85 5 0 R=6*T=1.333*S=2.623*α=25.052*</v>
      </c>
    </row>
    <row r="34" spans="1:23" x14ac:dyDescent="0.25">
      <c r="A34" s="199">
        <f t="shared" si="6"/>
        <v>27</v>
      </c>
      <c r="B34" s="199" t="str">
        <f t="shared" si="7"/>
        <v>2#倒虹吸出</v>
      </c>
      <c r="C34" s="199" t="s">
        <v>588</v>
      </c>
      <c r="D34" s="199">
        <v>33</v>
      </c>
      <c r="E34" s="204">
        <f>中心线!D36</f>
        <v>451202.11829999997</v>
      </c>
      <c r="F34" s="204">
        <f>中心线!E36</f>
        <v>3046239.6652000002</v>
      </c>
      <c r="G34" s="201">
        <v>0</v>
      </c>
      <c r="H34" s="202">
        <f t="shared" si="8"/>
        <v>0</v>
      </c>
      <c r="I34" s="202">
        <f t="shared" si="0"/>
        <v>0</v>
      </c>
      <c r="J34" s="202">
        <f t="shared" si="1"/>
        <v>0</v>
      </c>
      <c r="K34" s="202">
        <f t="shared" si="9"/>
        <v>55.779858562785172</v>
      </c>
      <c r="L34" s="202">
        <f t="shared" si="16"/>
        <v>2242.8895460963058</v>
      </c>
      <c r="M34" s="202">
        <f t="shared" si="17"/>
        <v>2242.8895460963058</v>
      </c>
      <c r="N34" s="202">
        <f t="shared" si="18"/>
        <v>2242.8895460963058</v>
      </c>
      <c r="O34" s="202" t="str">
        <f t="shared" si="4"/>
        <v>circle 451202.1183,3046239.6652 1</v>
      </c>
      <c r="P34" s="202"/>
      <c r="Q34" s="208">
        <f t="shared" si="19"/>
        <v>55.779858562785172</v>
      </c>
      <c r="R34" s="202">
        <f t="shared" si="20"/>
        <v>108.49822982709541</v>
      </c>
      <c r="S34" s="202">
        <f t="shared" si="21"/>
        <v>54.446833768342273</v>
      </c>
      <c r="T34" s="199" t="str">
        <f t="shared" si="5"/>
        <v>-text 451202.1183,3046239.6652 7 0 2#倒虹吸出</v>
      </c>
      <c r="U34" s="199" t="str">
        <f t="shared" si="2"/>
        <v>dt 451202.1183,3046239.6652 5 0 2#倒虹吸出(451202.1183,3046239.6652)*</v>
      </c>
      <c r="V34" s="211"/>
      <c r="W34" s="209" t="str">
        <f t="shared" si="3"/>
        <v>dt 451192.1183,3046229.6652 5 0 R=0*T=0*S=0*α=0*</v>
      </c>
    </row>
    <row r="35" spans="1:23" x14ac:dyDescent="0.25">
      <c r="A35" s="199">
        <f t="shared" si="6"/>
        <v>28</v>
      </c>
      <c r="B35" s="199" t="str">
        <f t="shared" si="7"/>
        <v>IP28</v>
      </c>
      <c r="C35" s="199"/>
      <c r="D35" s="199">
        <v>34</v>
      </c>
      <c r="E35" s="204">
        <f>中心线!D37</f>
        <v>451135.89640000003</v>
      </c>
      <c r="F35" s="204">
        <f>中心线!E37</f>
        <v>3046153.7203000002</v>
      </c>
      <c r="G35" s="201">
        <v>13</v>
      </c>
      <c r="H35" s="202">
        <f t="shared" si="8"/>
        <v>35.598999999999997</v>
      </c>
      <c r="I35" s="202">
        <f t="shared" si="0"/>
        <v>4.1737182413997269</v>
      </c>
      <c r="J35" s="202">
        <f t="shared" si="1"/>
        <v>8.0771568854269979</v>
      </c>
      <c r="K35" s="202">
        <f t="shared" si="9"/>
        <v>108.49822982709541</v>
      </c>
      <c r="L35" s="202">
        <f t="shared" si="16"/>
        <v>2347.2140576820011</v>
      </c>
      <c r="M35" s="202">
        <f t="shared" si="17"/>
        <v>2351.2526361247146</v>
      </c>
      <c r="N35" s="202">
        <f t="shared" si="18"/>
        <v>2355.2912145674281</v>
      </c>
      <c r="O35" s="202" t="str">
        <f t="shared" si="4"/>
        <v>circle 451135.8964,3046153.7203 1</v>
      </c>
      <c r="P35" s="202"/>
      <c r="Q35" s="208">
        <f t="shared" si="19"/>
        <v>104.32451158569569</v>
      </c>
      <c r="R35" s="202">
        <f t="shared" si="20"/>
        <v>2.9745039433663933</v>
      </c>
      <c r="S35" s="202">
        <f t="shared" si="21"/>
        <v>104.32451158569569</v>
      </c>
      <c r="T35" s="199" t="str">
        <f t="shared" si="5"/>
        <v>-text 451135.8964,3046153.7203 7 0 IP28</v>
      </c>
      <c r="U35" s="199" t="str">
        <f t="shared" si="2"/>
        <v>dt 451135.8964,3046153.7203 5 0 IP28(451135.8964,3046153.7203)*</v>
      </c>
      <c r="V35" s="211"/>
      <c r="W35" s="209" t="str">
        <f t="shared" si="3"/>
        <v>dt 451125.8964,3046143.7203 5 0 R=13*T=4.173*S=8.077*α=35.599*</v>
      </c>
    </row>
    <row r="36" spans="1:23" x14ac:dyDescent="0.25">
      <c r="A36" s="199">
        <f t="shared" si="6"/>
        <v>28</v>
      </c>
      <c r="B36" s="199" t="str">
        <f t="shared" si="7"/>
        <v>3#倒虹吸进</v>
      </c>
      <c r="C36" s="199" t="s">
        <v>589</v>
      </c>
      <c r="D36" s="199">
        <v>35</v>
      </c>
      <c r="E36" s="204">
        <f>中心线!D38</f>
        <v>451135.64500000002</v>
      </c>
      <c r="F36" s="204">
        <f>中心线!E38</f>
        <v>3046146.5765</v>
      </c>
      <c r="G36" s="201">
        <v>0</v>
      </c>
      <c r="H36" s="202">
        <f t="shared" si="8"/>
        <v>0</v>
      </c>
      <c r="I36" s="202">
        <f t="shared" si="0"/>
        <v>0</v>
      </c>
      <c r="J36" s="202">
        <f t="shared" si="1"/>
        <v>0</v>
      </c>
      <c r="K36" s="202">
        <f t="shared" si="9"/>
        <v>7.1482221847661203</v>
      </c>
      <c r="L36" s="202">
        <f t="shared" si="16"/>
        <v>2358.2657185107942</v>
      </c>
      <c r="M36" s="202">
        <f t="shared" si="17"/>
        <v>2358.2657185107942</v>
      </c>
      <c r="N36" s="202">
        <f t="shared" si="18"/>
        <v>2358.2657185107942</v>
      </c>
      <c r="O36" s="202" t="str">
        <f t="shared" si="4"/>
        <v>circle 451135.645,3046146.5765 1</v>
      </c>
      <c r="P36" s="202"/>
      <c r="Q36" s="208">
        <f t="shared" si="19"/>
        <v>7.1482221847661203</v>
      </c>
      <c r="R36" s="202">
        <f t="shared" si="20"/>
        <v>112.74021665710973</v>
      </c>
      <c r="S36" s="202">
        <f t="shared" si="21"/>
        <v>2.9745039433663933</v>
      </c>
      <c r="T36" s="199" t="str">
        <f t="shared" si="5"/>
        <v>-text 451135.645,3046146.5765 7 0 3#倒虹吸进</v>
      </c>
      <c r="U36" s="199" t="str">
        <f t="shared" si="2"/>
        <v>dt 451135.645,3046146.5765 5 0 3#倒虹吸进(451135.645,3046146.5765)*</v>
      </c>
      <c r="V36" s="211"/>
      <c r="W36" s="209" t="str">
        <f t="shared" si="3"/>
        <v>dt 451125.645,3046136.5765 5 0 R=0*T=0*S=0*α=0*</v>
      </c>
    </row>
    <row r="37" spans="1:23" x14ac:dyDescent="0.25">
      <c r="A37" s="199">
        <f t="shared" si="6"/>
        <v>29</v>
      </c>
      <c r="B37" s="199" t="str">
        <f t="shared" si="7"/>
        <v>IP29</v>
      </c>
      <c r="C37" s="199"/>
      <c r="D37" s="199">
        <v>36</v>
      </c>
      <c r="E37" s="204">
        <f>中心线!D39</f>
        <v>451131.68079999997</v>
      </c>
      <c r="F37" s="204">
        <f>中心线!E39</f>
        <v>3046033.906</v>
      </c>
      <c r="G37" s="205">
        <v>6</v>
      </c>
      <c r="H37" s="202">
        <f t="shared" si="8"/>
        <v>45.685000000000002</v>
      </c>
      <c r="I37" s="202">
        <f t="shared" si="0"/>
        <v>2.5274064178226521</v>
      </c>
      <c r="J37" s="202">
        <f t="shared" si="1"/>
        <v>4.7841220126416575</v>
      </c>
      <c r="K37" s="202">
        <f t="shared" si="9"/>
        <v>112.74021665710973</v>
      </c>
      <c r="L37" s="202">
        <f t="shared" si="16"/>
        <v>2468.4785287500813</v>
      </c>
      <c r="M37" s="202">
        <f t="shared" si="17"/>
        <v>2470.8705897564023</v>
      </c>
      <c r="N37" s="202">
        <f t="shared" si="18"/>
        <v>2473.2626507627228</v>
      </c>
      <c r="O37" s="202" t="str">
        <f t="shared" si="4"/>
        <v>circle 451131.6808,3046033.906 1</v>
      </c>
      <c r="P37" s="202"/>
      <c r="Q37" s="208">
        <f t="shared" si="19"/>
        <v>110.21281023928708</v>
      </c>
      <c r="R37" s="202">
        <f t="shared" si="20"/>
        <v>21.832519863685285</v>
      </c>
      <c r="S37" s="202">
        <f t="shared" si="21"/>
        <v>110.21281023928708</v>
      </c>
      <c r="T37" s="199" t="str">
        <f t="shared" si="5"/>
        <v>-text 451131.6808,3046033.906 7 0 IP29</v>
      </c>
      <c r="U37" s="199" t="str">
        <f t="shared" si="2"/>
        <v>dt 451131.6808,3046033.906 5 0 IP29(451131.6808,3046033.906)*</v>
      </c>
      <c r="V37" s="211"/>
      <c r="W37" s="209" t="str">
        <f t="shared" si="3"/>
        <v>dt 451121.6808,3046023.906 5 0 R=6*T=2.527*S=4.784*α=45.685*</v>
      </c>
    </row>
    <row r="38" spans="1:23" x14ac:dyDescent="0.25">
      <c r="A38" s="199">
        <f t="shared" si="6"/>
        <v>29</v>
      </c>
      <c r="B38" s="199" t="str">
        <f t="shared" si="7"/>
        <v>3#倒虹吸出</v>
      </c>
      <c r="C38" s="199" t="s">
        <v>590</v>
      </c>
      <c r="D38" s="199">
        <v>37</v>
      </c>
      <c r="E38" s="204">
        <f>中心线!D40</f>
        <v>451113.66350000002</v>
      </c>
      <c r="F38" s="204">
        <f>中心线!E40</f>
        <v>3046017.5114000002</v>
      </c>
      <c r="G38" s="201">
        <v>0</v>
      </c>
      <c r="H38" s="202">
        <f t="shared" si="8"/>
        <v>0</v>
      </c>
      <c r="I38" s="202">
        <f t="shared" si="0"/>
        <v>0</v>
      </c>
      <c r="J38" s="202">
        <f t="shared" si="1"/>
        <v>0</v>
      </c>
      <c r="K38" s="202">
        <f t="shared" si="9"/>
        <v>24.359926281507935</v>
      </c>
      <c r="L38" s="202">
        <f t="shared" ref="L38:L101" si="22">M38-J38/2</f>
        <v>2495.0951706264086</v>
      </c>
      <c r="M38" s="202">
        <f t="shared" ref="M38:M101" si="23">M37+K38-I38+J38/2+J37/2-I37</f>
        <v>2495.0951706264086</v>
      </c>
      <c r="N38" s="202">
        <f t="shared" ref="N38:N101" si="24">L38+J38</f>
        <v>2495.0951706264086</v>
      </c>
      <c r="O38" s="202" t="str">
        <f t="shared" si="4"/>
        <v>circle 451113.6635,3046017.5114 1</v>
      </c>
      <c r="P38" s="202"/>
      <c r="Q38" s="208">
        <f t="shared" si="19"/>
        <v>24.359926281507935</v>
      </c>
      <c r="R38" s="202">
        <f t="shared" si="20"/>
        <v>27.644897356726656</v>
      </c>
      <c r="S38" s="202">
        <f t="shared" si="21"/>
        <v>21.832519863685285</v>
      </c>
      <c r="T38" s="199" t="str">
        <f t="shared" si="5"/>
        <v>-text 451113.6635,3046017.5114 7 0 3#倒虹吸出</v>
      </c>
      <c r="U38" s="199" t="str">
        <f t="shared" si="2"/>
        <v>dt 451113.6635,3046017.5114 5 0 3#倒虹吸出(451113.6635,3046017.5114)*</v>
      </c>
      <c r="V38" s="211"/>
      <c r="W38" s="209" t="str">
        <f t="shared" si="3"/>
        <v>dt 451103.6635,3046007.5114 5 0 R=0*T=0*S=0*α=0*</v>
      </c>
    </row>
    <row r="39" spans="1:23" x14ac:dyDescent="0.25">
      <c r="A39" s="199">
        <f t="shared" si="6"/>
        <v>30</v>
      </c>
      <c r="B39" s="199" t="str">
        <f t="shared" si="7"/>
        <v>IP30</v>
      </c>
      <c r="C39" s="199"/>
      <c r="D39" s="199">
        <v>38</v>
      </c>
      <c r="E39" s="204">
        <f>中心线!D41</f>
        <v>451093.21659999999</v>
      </c>
      <c r="F39" s="204">
        <f>中心线!E41</f>
        <v>3045998.9059000001</v>
      </c>
      <c r="G39" s="201">
        <v>13</v>
      </c>
      <c r="H39" s="202">
        <f t="shared" si="8"/>
        <v>33.161000000000001</v>
      </c>
      <c r="I39" s="202">
        <f t="shared" si="0"/>
        <v>3.8706511942577051</v>
      </c>
      <c r="J39" s="202">
        <f t="shared" si="1"/>
        <v>7.5239922322999151</v>
      </c>
      <c r="K39" s="202">
        <f t="shared" si="9"/>
        <v>27.644897356726656</v>
      </c>
      <c r="L39" s="202">
        <f t="shared" si="22"/>
        <v>2518.8694167888775</v>
      </c>
      <c r="M39" s="202">
        <f t="shared" si="23"/>
        <v>2522.6314129050274</v>
      </c>
      <c r="N39" s="202">
        <f t="shared" si="24"/>
        <v>2526.3934090211774</v>
      </c>
      <c r="O39" s="202" t="str">
        <f t="shared" si="4"/>
        <v>circle 451093.2166,3045998.9059 1</v>
      </c>
      <c r="P39" s="202"/>
      <c r="Q39" s="208">
        <f t="shared" si="19"/>
        <v>23.774246162468952</v>
      </c>
      <c r="R39" s="202">
        <f t="shared" si="20"/>
        <v>26.874418211730077</v>
      </c>
      <c r="S39" s="202">
        <f t="shared" si="21"/>
        <v>23.774246162468952</v>
      </c>
      <c r="T39" s="199" t="str">
        <f t="shared" si="5"/>
        <v>-text 451093.2166,3045998.9059 7 0 IP30</v>
      </c>
      <c r="U39" s="199" t="str">
        <f t="shared" si="2"/>
        <v>dt 451093.2166,3045998.9059 5 0 IP30(451093.2166,3045998.9059)*</v>
      </c>
      <c r="V39" s="211"/>
      <c r="W39" s="209" t="str">
        <f t="shared" si="3"/>
        <v>dt 451083.2166,3045988.9059 5 0 R=13*T=3.87*S=7.523*α=33.161*</v>
      </c>
    </row>
    <row r="40" spans="1:23" x14ac:dyDescent="0.25">
      <c r="A40" s="199">
        <f t="shared" si="6"/>
        <v>30</v>
      </c>
      <c r="B40" s="199" t="str">
        <f t="shared" si="7"/>
        <v>4#倒虹吸进</v>
      </c>
      <c r="C40" s="199" t="s">
        <v>591</v>
      </c>
      <c r="D40" s="199">
        <v>39</v>
      </c>
      <c r="E40" s="204">
        <f>中心线!D42</f>
        <v>451085.4987</v>
      </c>
      <c r="F40" s="204">
        <f>中心线!E42</f>
        <v>3045969.1453</v>
      </c>
      <c r="G40" s="201">
        <v>0</v>
      </c>
      <c r="H40" s="202">
        <f t="shared" si="8"/>
        <v>1E-3</v>
      </c>
      <c r="I40" s="202">
        <f t="shared" si="0"/>
        <v>0</v>
      </c>
      <c r="J40" s="202">
        <f t="shared" si="1"/>
        <v>0</v>
      </c>
      <c r="K40" s="202">
        <f t="shared" si="9"/>
        <v>30.745069405987781</v>
      </c>
      <c r="L40" s="202">
        <f t="shared" si="22"/>
        <v>2553.2678272329072</v>
      </c>
      <c r="M40" s="202">
        <f t="shared" si="23"/>
        <v>2553.2678272329072</v>
      </c>
      <c r="N40" s="202">
        <f t="shared" si="24"/>
        <v>2553.2678272329072</v>
      </c>
      <c r="O40" s="202" t="str">
        <f t="shared" si="4"/>
        <v>circle 451085.4987,3045969.1453 1</v>
      </c>
      <c r="P40" s="202"/>
      <c r="Q40" s="208">
        <f t="shared" si="19"/>
        <v>30.745069405987781</v>
      </c>
      <c r="R40" s="202">
        <f t="shared" si="20"/>
        <v>130.04412038425292</v>
      </c>
      <c r="S40" s="202">
        <f t="shared" si="21"/>
        <v>26.874418211730077</v>
      </c>
      <c r="T40" s="199" t="str">
        <f t="shared" si="5"/>
        <v>-text 451085.4987,3045969.1453 7 0 4#倒虹吸进</v>
      </c>
      <c r="U40" s="199" t="str">
        <f t="shared" si="2"/>
        <v>dt 451085.4987,3045969.1453 5 0 4#倒虹吸进(451085.4987,3045969.1453)*</v>
      </c>
      <c r="V40" s="211"/>
      <c r="W40" s="209" t="str">
        <f t="shared" si="3"/>
        <v>dt 451075.4987,3045959.1453 5 0 R=0*T=0*S=0*α=0.001*</v>
      </c>
    </row>
    <row r="41" spans="1:23" x14ac:dyDescent="0.25">
      <c r="A41" s="199">
        <f t="shared" si="6"/>
        <v>31</v>
      </c>
      <c r="B41" s="199" t="str">
        <f t="shared" si="7"/>
        <v>IP31</v>
      </c>
      <c r="C41" s="199"/>
      <c r="D41" s="199">
        <v>40</v>
      </c>
      <c r="E41" s="204">
        <f>中心线!D43</f>
        <v>451052.85249999998</v>
      </c>
      <c r="F41" s="204">
        <f>中心线!E43</f>
        <v>3045843.2656</v>
      </c>
      <c r="G41" s="205">
        <v>6</v>
      </c>
      <c r="H41" s="202">
        <f t="shared" si="8"/>
        <v>9.4499999999999993</v>
      </c>
      <c r="I41" s="202">
        <f t="shared" si="0"/>
        <v>0.49592557895236888</v>
      </c>
      <c r="J41" s="202">
        <f t="shared" si="1"/>
        <v>0.98960168588078479</v>
      </c>
      <c r="K41" s="202">
        <f t="shared" si="9"/>
        <v>130.04412038425292</v>
      </c>
      <c r="L41" s="202">
        <f t="shared" si="22"/>
        <v>2682.8160220382078</v>
      </c>
      <c r="M41" s="202">
        <f t="shared" si="23"/>
        <v>2683.3108228811484</v>
      </c>
      <c r="N41" s="202">
        <f t="shared" si="24"/>
        <v>2683.8056237240885</v>
      </c>
      <c r="O41" s="202" t="str">
        <f t="shared" si="4"/>
        <v>circle 451052.8525,3045843.2656 1</v>
      </c>
      <c r="P41" s="202"/>
      <c r="Q41" s="208">
        <f t="shared" si="19"/>
        <v>129.54819480530054</v>
      </c>
      <c r="R41" s="202">
        <f t="shared" si="20"/>
        <v>46.027250275855131</v>
      </c>
      <c r="S41" s="202">
        <f t="shared" si="21"/>
        <v>129.54819480530054</v>
      </c>
      <c r="T41" s="199" t="str">
        <f t="shared" si="5"/>
        <v>-text 451052.8525,3045843.2656 7 0 IP31</v>
      </c>
      <c r="U41" s="199" t="str">
        <f t="shared" si="2"/>
        <v>dt 451052.8525,3045843.2656 5 0 IP31(451052.8525,3045843.2656)*</v>
      </c>
      <c r="V41" s="211"/>
      <c r="W41" s="209" t="str">
        <f t="shared" si="3"/>
        <v>dt 451042.8525,3045833.2656 5 0 R=6*T=0.495*S=0.989*α=9.45*</v>
      </c>
    </row>
    <row r="42" spans="1:23" x14ac:dyDescent="0.25">
      <c r="A42" s="199">
        <f t="shared" si="6"/>
        <v>31</v>
      </c>
      <c r="B42" s="199" t="str">
        <f t="shared" si="7"/>
        <v>4#倒虹吸出</v>
      </c>
      <c r="C42" s="199" t="s">
        <v>592</v>
      </c>
      <c r="D42" s="199">
        <v>41</v>
      </c>
      <c r="E42" s="204">
        <f>中心线!D44</f>
        <v>451048.72590000002</v>
      </c>
      <c r="F42" s="204">
        <f>中心线!E44</f>
        <v>3045796.9257999999</v>
      </c>
      <c r="G42" s="201">
        <v>0</v>
      </c>
      <c r="H42" s="202">
        <f t="shared" si="8"/>
        <v>0</v>
      </c>
      <c r="I42" s="202">
        <f t="shared" si="0"/>
        <v>0</v>
      </c>
      <c r="J42" s="202">
        <f t="shared" si="1"/>
        <v>0</v>
      </c>
      <c r="K42" s="202">
        <f t="shared" si="9"/>
        <v>46.523175854807498</v>
      </c>
      <c r="L42" s="202">
        <f t="shared" si="22"/>
        <v>2729.8328739999442</v>
      </c>
      <c r="M42" s="202">
        <f t="shared" si="23"/>
        <v>2729.8328739999442</v>
      </c>
      <c r="N42" s="202">
        <f t="shared" si="24"/>
        <v>2729.8328739999442</v>
      </c>
      <c r="O42" s="202" t="str">
        <f t="shared" si="4"/>
        <v>circle 451048.7259,3045796.9258 1</v>
      </c>
      <c r="P42" s="202"/>
      <c r="Q42" s="208">
        <f t="shared" si="19"/>
        <v>46.523175854807498</v>
      </c>
      <c r="R42" s="202">
        <f t="shared" si="20"/>
        <v>35.012405325737248</v>
      </c>
      <c r="S42" s="202">
        <f t="shared" si="21"/>
        <v>46.027250275855131</v>
      </c>
      <c r="T42" s="199" t="str">
        <f t="shared" si="5"/>
        <v>-text 451048.7259,3045796.9258 7 0 4#倒虹吸出</v>
      </c>
      <c r="U42" s="199" t="str">
        <f t="shared" si="2"/>
        <v>dt 451048.7259,3045796.9258 5 0 4#倒虹吸出(451048.7259,3045796.9258)*</v>
      </c>
      <c r="V42" s="211"/>
      <c r="W42" s="209" t="str">
        <f t="shared" si="3"/>
        <v>dt 451038.7259,3045786.9258 5 0 R=0*T=0*S=0*α=0*</v>
      </c>
    </row>
    <row r="43" spans="1:23" x14ac:dyDescent="0.25">
      <c r="A43" s="199">
        <f t="shared" si="6"/>
        <v>32</v>
      </c>
      <c r="B43" s="199" t="str">
        <f t="shared" si="7"/>
        <v>IP32</v>
      </c>
      <c r="C43" s="206"/>
      <c r="D43" s="199">
        <v>42</v>
      </c>
      <c r="E43" s="204">
        <f>中心线!D45</f>
        <v>451045.62030000001</v>
      </c>
      <c r="F43" s="204">
        <f>中心线!E45</f>
        <v>3045762.0514000002</v>
      </c>
      <c r="G43" s="201">
        <v>13</v>
      </c>
      <c r="H43" s="202">
        <f t="shared" si="8"/>
        <v>76.283000000000001</v>
      </c>
      <c r="I43" s="202">
        <f t="shared" si="0"/>
        <v>10.20851586110417</v>
      </c>
      <c r="J43" s="202">
        <f t="shared" si="1"/>
        <v>17.308063672884845</v>
      </c>
      <c r="K43" s="202">
        <f t="shared" si="9"/>
        <v>35.012405325737248</v>
      </c>
      <c r="L43" s="202">
        <f t="shared" si="22"/>
        <v>2754.6367634645771</v>
      </c>
      <c r="M43" s="202">
        <f t="shared" si="23"/>
        <v>2763.2907953010194</v>
      </c>
      <c r="N43" s="202">
        <f t="shared" si="24"/>
        <v>2771.9448271374622</v>
      </c>
      <c r="O43" s="202" t="str">
        <f t="shared" si="4"/>
        <v>circle 451045.6203,3045762.0514 1</v>
      </c>
      <c r="P43" s="202"/>
      <c r="Q43" s="208">
        <f t="shared" si="19"/>
        <v>24.80388946463308</v>
      </c>
      <c r="R43" s="202">
        <f t="shared" si="20"/>
        <v>63.877579101032303</v>
      </c>
      <c r="S43" s="202">
        <f t="shared" si="21"/>
        <v>24.80388946463308</v>
      </c>
      <c r="T43" s="199" t="str">
        <f t="shared" si="5"/>
        <v>-text 451045.6203,3045762.0514 7 0 IP32</v>
      </c>
      <c r="U43" s="199" t="str">
        <f t="shared" si="2"/>
        <v>dt 451045.6203,3045762.0514 5 0 IP32(451045.6203,3045762.0514)*</v>
      </c>
      <c r="V43" s="211"/>
      <c r="W43" s="209" t="str">
        <f t="shared" si="3"/>
        <v>dt 451035.6203,3045752.0514 5 0 R=13*T=10.208*S=17.308*α=76.283*</v>
      </c>
    </row>
    <row r="44" spans="1:23" x14ac:dyDescent="0.25">
      <c r="A44" s="199">
        <f t="shared" si="6"/>
        <v>33</v>
      </c>
      <c r="B44" s="199" t="str">
        <f t="shared" si="7"/>
        <v>IP33</v>
      </c>
      <c r="C44" s="206"/>
      <c r="D44" s="199">
        <v>43</v>
      </c>
      <c r="E44" s="204">
        <f>中心线!D46</f>
        <v>451115.75150000001</v>
      </c>
      <c r="F44" s="204">
        <f>中心线!E46</f>
        <v>3045738.1691000001</v>
      </c>
      <c r="G44" s="201">
        <v>13</v>
      </c>
      <c r="H44" s="202">
        <f t="shared" si="8"/>
        <v>69.983000000000004</v>
      </c>
      <c r="I44" s="202">
        <f t="shared" si="0"/>
        <v>9.0998241374473157</v>
      </c>
      <c r="J44" s="202">
        <f t="shared" si="1"/>
        <v>15.878639015501491</v>
      </c>
      <c r="K44" s="202">
        <f t="shared" si="9"/>
        <v>74.086094962136471</v>
      </c>
      <c r="L44" s="202">
        <f t="shared" si="22"/>
        <v>2826.7225821010466</v>
      </c>
      <c r="M44" s="202">
        <f t="shared" si="23"/>
        <v>2834.6619016087975</v>
      </c>
      <c r="N44" s="202">
        <f t="shared" si="24"/>
        <v>2842.601221116548</v>
      </c>
      <c r="O44" s="202" t="str">
        <f t="shared" si="4"/>
        <v>circle 451115.7515,3045738.1691 1</v>
      </c>
      <c r="P44" s="202"/>
      <c r="Q44" s="208">
        <f t="shared" si="19"/>
        <v>64.986270824689157</v>
      </c>
      <c r="R44" s="202">
        <f t="shared" si="20"/>
        <v>15.91166439304739</v>
      </c>
      <c r="S44" s="202">
        <f t="shared" si="21"/>
        <v>54.777754963584989</v>
      </c>
      <c r="T44" s="199" t="str">
        <f t="shared" si="5"/>
        <v>-text 451115.7515,3045738.1691 7 0 IP33</v>
      </c>
      <c r="U44" s="199" t="str">
        <f t="shared" si="2"/>
        <v>dt 451115.7515,3045738.1691 5 0 IP33(451115.7515,3045738.1691)*</v>
      </c>
      <c r="V44" s="211"/>
      <c r="W44" s="209" t="str">
        <f t="shared" si="3"/>
        <v>dt 451105.7515,3045728.1691 5 0 R=13*T=9.099*S=15.878*α=69.983*</v>
      </c>
    </row>
    <row r="45" spans="1:23" ht="14.4" x14ac:dyDescent="0.25">
      <c r="A45" s="199">
        <f t="shared" si="6"/>
        <v>33</v>
      </c>
      <c r="B45" s="199" t="str">
        <f t="shared" si="7"/>
        <v>1#渡槽进</v>
      </c>
      <c r="C45" s="206" t="s">
        <v>593</v>
      </c>
      <c r="D45" s="199">
        <v>44</v>
      </c>
      <c r="E45" s="204">
        <f>中心线!D47</f>
        <v>451116.28019999998</v>
      </c>
      <c r="F45" s="204">
        <f>中心线!E47</f>
        <v>3045713.1631999998</v>
      </c>
      <c r="G45" s="201">
        <v>0</v>
      </c>
      <c r="H45" s="202">
        <f t="shared" si="8"/>
        <v>0</v>
      </c>
      <c r="I45" s="202">
        <f t="shared" si="0"/>
        <v>0</v>
      </c>
      <c r="J45" s="202">
        <f t="shared" si="1"/>
        <v>0</v>
      </c>
      <c r="K45" s="202">
        <f t="shared" si="9"/>
        <v>25.011488530494706</v>
      </c>
      <c r="L45" s="202">
        <f t="shared" si="22"/>
        <v>2858.5128855095959</v>
      </c>
      <c r="M45" s="202">
        <f t="shared" si="23"/>
        <v>2858.5128855095959</v>
      </c>
      <c r="N45" s="202">
        <f t="shared" si="24"/>
        <v>2858.5128855095959</v>
      </c>
      <c r="O45" s="202" t="str">
        <f t="shared" si="4"/>
        <v>circle 451116.2802,3045713.1632 1</v>
      </c>
      <c r="P45" s="202"/>
      <c r="Q45" s="208">
        <f t="shared" si="19"/>
        <v>25.011488530494706</v>
      </c>
      <c r="R45" s="202">
        <f t="shared" si="20"/>
        <v>83.99936229777127</v>
      </c>
      <c r="S45" s="202">
        <f t="shared" si="21"/>
        <v>15.91166439304739</v>
      </c>
      <c r="T45" s="199" t="str">
        <f t="shared" si="5"/>
        <v>-text 451116.2802,3045713.1632 7 0 1#渡槽进</v>
      </c>
      <c r="U45" s="199" t="str">
        <f t="shared" si="2"/>
        <v>dt 451116.2802,3045713.1632 5 0 1#渡槽进(451116.2802,3045713.1632)*</v>
      </c>
      <c r="V45" s="211"/>
      <c r="W45" s="209" t="str">
        <f t="shared" si="3"/>
        <v>dt 451106.2802,3045703.1632 5 0 R=0*T=0*S=0*α=0*</v>
      </c>
    </row>
    <row r="46" spans="1:23" ht="14.4" x14ac:dyDescent="0.25">
      <c r="A46" s="199">
        <f t="shared" si="6"/>
        <v>33</v>
      </c>
      <c r="B46" s="199" t="str">
        <f t="shared" si="7"/>
        <v>1#渡槽出</v>
      </c>
      <c r="C46" s="206" t="s">
        <v>594</v>
      </c>
      <c r="D46" s="199">
        <v>45</v>
      </c>
      <c r="E46" s="204">
        <f>中心线!D48</f>
        <v>451118.05550000002</v>
      </c>
      <c r="F46" s="204">
        <f>中心线!E48</f>
        <v>3045629.1825999999</v>
      </c>
      <c r="G46" s="201">
        <v>0</v>
      </c>
      <c r="H46" s="202">
        <f t="shared" si="8"/>
        <v>0</v>
      </c>
      <c r="I46" s="202">
        <f t="shared" si="0"/>
        <v>0</v>
      </c>
      <c r="J46" s="202">
        <f t="shared" si="1"/>
        <v>0</v>
      </c>
      <c r="K46" s="202">
        <f t="shared" si="9"/>
        <v>83.99936229777127</v>
      </c>
      <c r="L46" s="202">
        <f t="shared" si="22"/>
        <v>2942.5122478073672</v>
      </c>
      <c r="M46" s="202">
        <f t="shared" si="23"/>
        <v>2942.5122478073672</v>
      </c>
      <c r="N46" s="202">
        <f t="shared" si="24"/>
        <v>2942.5122478073672</v>
      </c>
      <c r="O46" s="202" t="str">
        <f t="shared" si="4"/>
        <v>circle 451118.0555,3045629.1826 1</v>
      </c>
      <c r="P46" s="202"/>
      <c r="Q46" s="208">
        <f t="shared" si="19"/>
        <v>83.99936229777127</v>
      </c>
      <c r="R46" s="202">
        <f t="shared" si="20"/>
        <v>17.138527735013525</v>
      </c>
      <c r="S46" s="202">
        <f t="shared" si="21"/>
        <v>83.99936229777127</v>
      </c>
      <c r="T46" s="199" t="str">
        <f t="shared" si="5"/>
        <v>-text 451118.0555,3045629.1826 7 0 1#渡槽出</v>
      </c>
      <c r="U46" s="199" t="str">
        <f t="shared" si="2"/>
        <v>dt 451118.0555,3045629.1826 5 0 1#渡槽出(451118.0555,3045629.1826)*</v>
      </c>
      <c r="V46" s="211"/>
      <c r="W46" s="209" t="str">
        <f t="shared" si="3"/>
        <v>dt 451108.0555,3045619.1826 5 0 R=0*T=0*S=0*α=0*</v>
      </c>
    </row>
    <row r="47" spans="1:23" x14ac:dyDescent="0.25">
      <c r="A47" s="199">
        <f t="shared" si="6"/>
        <v>34</v>
      </c>
      <c r="B47" s="199" t="str">
        <f t="shared" si="7"/>
        <v>IP34</v>
      </c>
      <c r="C47" s="206"/>
      <c r="D47" s="199">
        <v>46</v>
      </c>
      <c r="E47" s="204">
        <f>中心线!D49</f>
        <v>451118.41769999999</v>
      </c>
      <c r="F47" s="204">
        <f>中心线!E49</f>
        <v>3045612.0479000001</v>
      </c>
      <c r="G47" s="201">
        <v>13</v>
      </c>
      <c r="H47" s="202">
        <f t="shared" si="8"/>
        <v>46.162999999999997</v>
      </c>
      <c r="I47" s="202">
        <f t="shared" si="0"/>
        <v>5.5400093987725549</v>
      </c>
      <c r="J47" s="202">
        <f t="shared" si="1"/>
        <v>10.474052453775849</v>
      </c>
      <c r="K47" s="202">
        <f t="shared" si="9"/>
        <v>17.138527735013525</v>
      </c>
      <c r="L47" s="202">
        <f t="shared" si="22"/>
        <v>2954.1107661436081</v>
      </c>
      <c r="M47" s="202">
        <f t="shared" si="23"/>
        <v>2959.3477923704959</v>
      </c>
      <c r="N47" s="202">
        <f t="shared" si="24"/>
        <v>2964.5848185973841</v>
      </c>
      <c r="O47" s="202" t="str">
        <f t="shared" si="4"/>
        <v>circle 451118.4177,3045612.0479 1</v>
      </c>
      <c r="P47" s="202"/>
      <c r="Q47" s="208">
        <f t="shared" si="19"/>
        <v>11.598518336240971</v>
      </c>
      <c r="R47" s="202">
        <f t="shared" si="20"/>
        <v>21.136239498820633</v>
      </c>
      <c r="S47" s="202">
        <f t="shared" si="21"/>
        <v>11.598518336240971</v>
      </c>
      <c r="T47" s="199" t="str">
        <f t="shared" si="5"/>
        <v>-text 451118.4177,3045612.0479 7 0 IP34</v>
      </c>
      <c r="U47" s="199" t="str">
        <f t="shared" si="2"/>
        <v>dt 451118.4177,3045612.0479 5 0 IP34(451118.4177,3045612.0479)*</v>
      </c>
      <c r="V47" s="211"/>
      <c r="W47" s="209" t="str">
        <f t="shared" si="3"/>
        <v>dt 451108.4177,3045602.0479 5 0 R=13*T=5.54*S=10.474*α=46.163*</v>
      </c>
    </row>
    <row r="48" spans="1:23" x14ac:dyDescent="0.25">
      <c r="A48" s="199">
        <f t="shared" si="6"/>
        <v>35</v>
      </c>
      <c r="B48" s="199" t="str">
        <f t="shared" si="7"/>
        <v>IP35</v>
      </c>
      <c r="C48" s="199"/>
      <c r="D48" s="199">
        <v>47</v>
      </c>
      <c r="E48" s="204">
        <f>中心线!D50</f>
        <v>451099.57040000003</v>
      </c>
      <c r="F48" s="204">
        <f>中心线!E50</f>
        <v>3045593.1693000002</v>
      </c>
      <c r="G48" s="201">
        <v>13</v>
      </c>
      <c r="H48" s="202">
        <f t="shared" si="8"/>
        <v>32.344999999999999</v>
      </c>
      <c r="I48" s="202">
        <f t="shared" si="0"/>
        <v>3.770083873562879</v>
      </c>
      <c r="J48" s="202">
        <f t="shared" si="1"/>
        <v>7.3388477052483561</v>
      </c>
      <c r="K48" s="202">
        <f t="shared" si="9"/>
        <v>26.676248897593187</v>
      </c>
      <c r="L48" s="202">
        <f t="shared" si="22"/>
        <v>2981.9509742226414</v>
      </c>
      <c r="M48" s="202">
        <f t="shared" si="23"/>
        <v>2985.6203980752657</v>
      </c>
      <c r="N48" s="202">
        <f t="shared" si="24"/>
        <v>2989.28982192789</v>
      </c>
      <c r="O48" s="202" t="str">
        <f t="shared" si="4"/>
        <v>circle 451099.5704,3045593.1693 1</v>
      </c>
      <c r="Q48" s="208">
        <f t="shared" si="19"/>
        <v>22.906165024030308</v>
      </c>
      <c r="R48" s="202">
        <f t="shared" si="20"/>
        <v>11.827013973833465</v>
      </c>
      <c r="S48" s="202">
        <f t="shared" si="21"/>
        <v>17.366155625257754</v>
      </c>
      <c r="T48" s="199" t="str">
        <f t="shared" si="5"/>
        <v>-text 451099.5704,3045593.1693 7 0 IP35</v>
      </c>
      <c r="U48" s="199" t="str">
        <f t="shared" si="2"/>
        <v>dt 451099.5704,3045593.1693 5 0 IP35(451099.5704,3045593.1693)*</v>
      </c>
      <c r="V48" s="211"/>
      <c r="W48" s="209" t="str">
        <f t="shared" si="3"/>
        <v>dt 451089.5704,3045583.1693 5 0 R=13*T=3.77*S=7.338*α=32.345*</v>
      </c>
    </row>
    <row r="49" spans="1:23" x14ac:dyDescent="0.25">
      <c r="A49" s="199">
        <f t="shared" si="6"/>
        <v>35</v>
      </c>
      <c r="B49" s="199" t="str">
        <f t="shared" si="7"/>
        <v>二流量段末(2#斗门)</v>
      </c>
      <c r="C49" s="199" t="s">
        <v>595</v>
      </c>
      <c r="D49" s="199">
        <v>48</v>
      </c>
      <c r="E49" s="204">
        <f>中心线!D51</f>
        <v>451096.16590000002</v>
      </c>
      <c r="F49" s="204">
        <f>中心线!E51</f>
        <v>3045577.9482999998</v>
      </c>
      <c r="G49" s="201">
        <v>0</v>
      </c>
      <c r="H49" s="202">
        <f t="shared" si="8"/>
        <v>0</v>
      </c>
      <c r="I49" s="202">
        <f t="shared" si="0"/>
        <v>0</v>
      </c>
      <c r="J49" s="202">
        <f t="shared" si="1"/>
        <v>0</v>
      </c>
      <c r="K49" s="202">
        <f t="shared" si="9"/>
        <v>15.597097847396343</v>
      </c>
      <c r="L49" s="202">
        <f t="shared" si="22"/>
        <v>3001.1168359017238</v>
      </c>
      <c r="M49" s="202">
        <f t="shared" si="23"/>
        <v>3001.1168359017238</v>
      </c>
      <c r="N49" s="202">
        <f t="shared" si="24"/>
        <v>3001.1168359017238</v>
      </c>
      <c r="O49" s="202" t="str">
        <f t="shared" si="4"/>
        <v>circle 451096.1659,3045577.9483 1</v>
      </c>
      <c r="Q49" s="208">
        <f t="shared" si="19"/>
        <v>15.597097847396343</v>
      </c>
      <c r="R49" s="202">
        <f t="shared" si="20"/>
        <v>215.00150073701877</v>
      </c>
      <c r="S49" s="202">
        <f t="shared" si="21"/>
        <v>11.827013973833465</v>
      </c>
      <c r="T49" s="199" t="str">
        <f t="shared" si="5"/>
        <v>-text 451096.1659,3045577.9483 7 0 二流量段末(2#斗门)</v>
      </c>
      <c r="U49" s="199" t="str">
        <f t="shared" si="2"/>
        <v>dt 451096.1659,3045577.9483 5 0 二流量段末(2#斗门)(451096.1659,3045577.9483)*</v>
      </c>
      <c r="V49" s="211"/>
      <c r="W49" s="209" t="str">
        <f t="shared" si="3"/>
        <v>dt 451086.1659,3045567.9483 5 0 R=0*T=0*S=0*α=0*</v>
      </c>
    </row>
    <row r="50" spans="1:23" x14ac:dyDescent="0.25">
      <c r="A50" s="199">
        <f t="shared" si="6"/>
        <v>36</v>
      </c>
      <c r="B50" s="199" t="str">
        <f t="shared" si="7"/>
        <v>IP36</v>
      </c>
      <c r="C50" s="206"/>
      <c r="D50" s="199">
        <v>49</v>
      </c>
      <c r="E50" s="204">
        <f>中心线!D52</f>
        <v>451049.23540000001</v>
      </c>
      <c r="F50" s="204">
        <f>中心线!E52</f>
        <v>3045368.1313</v>
      </c>
      <c r="G50" s="201">
        <v>13</v>
      </c>
      <c r="H50" s="202">
        <f t="shared" si="8"/>
        <v>5.3230000000000004</v>
      </c>
      <c r="I50" s="202">
        <f t="shared" si="0"/>
        <v>0.6043099135445501</v>
      </c>
      <c r="J50" s="202">
        <f t="shared" si="1"/>
        <v>1.2077503890875563</v>
      </c>
      <c r="K50" s="202">
        <f t="shared" si="9"/>
        <v>215.00150073701877</v>
      </c>
      <c r="L50" s="202">
        <f t="shared" si="22"/>
        <v>3215.5140267251982</v>
      </c>
      <c r="M50" s="202">
        <f t="shared" si="23"/>
        <v>3216.1179019197421</v>
      </c>
      <c r="N50" s="202">
        <f t="shared" si="24"/>
        <v>3216.7217771142859</v>
      </c>
      <c r="O50" s="202" t="str">
        <f t="shared" si="4"/>
        <v>circle 451049.2354,3045368.1313 1</v>
      </c>
      <c r="Q50" s="208">
        <f t="shared" si="19"/>
        <v>214.39719082347423</v>
      </c>
      <c r="R50" s="202">
        <f t="shared" si="20"/>
        <v>47.474842429341159</v>
      </c>
      <c r="S50" s="202">
        <f t="shared" si="21"/>
        <v>214.39719082347423</v>
      </c>
      <c r="T50" s="199" t="str">
        <f t="shared" si="5"/>
        <v>-text 451049.2354,3045368.1313 7 0 IP36</v>
      </c>
      <c r="U50" s="199" t="str">
        <f t="shared" si="2"/>
        <v>dt 451049.2354,3045368.1313 5 0 IP36(451049.2354,3045368.1313)*</v>
      </c>
      <c r="V50" s="211"/>
      <c r="W50" s="209" t="str">
        <f t="shared" si="3"/>
        <v>dt 451039.2354,3045358.1313 5 0 R=13*T=0.604*S=1.207*α=5.323*</v>
      </c>
    </row>
    <row r="51" spans="1:23" x14ac:dyDescent="0.25">
      <c r="A51" s="199">
        <f t="shared" si="6"/>
        <v>37</v>
      </c>
      <c r="B51" s="199" t="str">
        <f t="shared" si="7"/>
        <v>IP37</v>
      </c>
      <c r="C51" s="206"/>
      <c r="D51" s="199">
        <v>50</v>
      </c>
      <c r="E51" s="204">
        <f>中心线!D53</f>
        <v>451043.1384</v>
      </c>
      <c r="F51" s="204">
        <f>中心线!E53</f>
        <v>3045320.4402999999</v>
      </c>
      <c r="G51" s="201">
        <v>13</v>
      </c>
      <c r="H51" s="202">
        <f t="shared" si="8"/>
        <v>36.646000000000001</v>
      </c>
      <c r="I51" s="202">
        <f t="shared" si="0"/>
        <v>4.3051290197946095</v>
      </c>
      <c r="J51" s="202">
        <f t="shared" si="1"/>
        <v>8.3147136499159462</v>
      </c>
      <c r="K51" s="202">
        <f t="shared" si="9"/>
        <v>48.079152342885706</v>
      </c>
      <c r="L51" s="202">
        <f t="shared" si="22"/>
        <v>3259.8914905238325</v>
      </c>
      <c r="M51" s="202">
        <f t="shared" si="23"/>
        <v>3264.0488473487903</v>
      </c>
      <c r="N51" s="202">
        <f t="shared" si="24"/>
        <v>3268.2062041737486</v>
      </c>
      <c r="O51" s="202" t="str">
        <f t="shared" si="4"/>
        <v>circle 451043.1384,3045320.4403 1</v>
      </c>
      <c r="Q51" s="208">
        <f t="shared" si="19"/>
        <v>43.7740233230911</v>
      </c>
      <c r="R51" s="202">
        <f t="shared" si="20"/>
        <v>59.444885553278567</v>
      </c>
      <c r="S51" s="202">
        <f t="shared" si="21"/>
        <v>43.169713409546546</v>
      </c>
      <c r="T51" s="199" t="str">
        <f t="shared" si="5"/>
        <v>-text 451043.1384,3045320.4403 7 0 IP37</v>
      </c>
      <c r="U51" s="199" t="str">
        <f t="shared" si="2"/>
        <v>dt 451043.1384,3045320.4403 5 0 IP37(451043.1384,3045320.4403)*</v>
      </c>
      <c r="V51" s="211"/>
      <c r="W51" s="209" t="str">
        <f t="shared" si="3"/>
        <v>dt 451033.1384,3045310.4403 5 0 R=13*T=4.305*S=8.314*α=36.646*</v>
      </c>
    </row>
    <row r="52" spans="1:23" ht="14.4" x14ac:dyDescent="0.25">
      <c r="A52" s="199">
        <f t="shared" si="6"/>
        <v>37</v>
      </c>
      <c r="B52" s="199" t="str">
        <f t="shared" si="7"/>
        <v>2#渡槽进</v>
      </c>
      <c r="C52" s="206" t="s">
        <v>596</v>
      </c>
      <c r="D52" s="199">
        <v>51</v>
      </c>
      <c r="E52" s="204">
        <f>中心线!D54</f>
        <v>451074.39549999998</v>
      </c>
      <c r="F52" s="204">
        <f>中心线!E54</f>
        <v>3045264.8790000002</v>
      </c>
      <c r="G52" s="201">
        <v>0</v>
      </c>
      <c r="H52" s="202">
        <f t="shared" si="8"/>
        <v>0</v>
      </c>
      <c r="I52" s="202">
        <f t="shared" si="0"/>
        <v>0</v>
      </c>
      <c r="J52" s="202">
        <f t="shared" si="1"/>
        <v>0</v>
      </c>
      <c r="K52" s="202">
        <f t="shared" si="9"/>
        <v>63.75001457307318</v>
      </c>
      <c r="L52" s="202">
        <f t="shared" si="22"/>
        <v>3327.6510897270268</v>
      </c>
      <c r="M52" s="202">
        <f t="shared" si="23"/>
        <v>3327.6510897270268</v>
      </c>
      <c r="N52" s="202">
        <f t="shared" si="24"/>
        <v>3327.6510897270268</v>
      </c>
      <c r="O52" s="202" t="str">
        <f t="shared" si="4"/>
        <v>circle 451074.3955,3045264.879 1</v>
      </c>
      <c r="Q52" s="208">
        <f t="shared" si="19"/>
        <v>63.75001457307318</v>
      </c>
      <c r="R52" s="202">
        <f t="shared" si="20"/>
        <v>120.00000179277215</v>
      </c>
      <c r="S52" s="202">
        <f t="shared" si="21"/>
        <v>59.444885553278567</v>
      </c>
      <c r="T52" s="199" t="str">
        <f t="shared" si="5"/>
        <v>-text 451074.3955,3045264.879 7 0 2#渡槽进</v>
      </c>
      <c r="U52" s="199" t="str">
        <f t="shared" si="2"/>
        <v>dt 451074.3955,3045264.879 5 0 2#渡槽进(451074.3955,3045264.879)*</v>
      </c>
      <c r="V52" s="211"/>
      <c r="W52" s="209" t="str">
        <f t="shared" si="3"/>
        <v>dt 451064.3955,3045254.879 5 0 R=0*T=0*S=0*α=0*</v>
      </c>
    </row>
    <row r="53" spans="1:23" ht="14.4" x14ac:dyDescent="0.25">
      <c r="A53" s="199">
        <f t="shared" si="6"/>
        <v>37</v>
      </c>
      <c r="B53" s="199" t="str">
        <f t="shared" si="7"/>
        <v>2#渡槽出</v>
      </c>
      <c r="C53" s="206" t="s">
        <v>597</v>
      </c>
      <c r="D53" s="199">
        <v>52</v>
      </c>
      <c r="E53" s="204">
        <f>中心线!D55</f>
        <v>451133.23229999997</v>
      </c>
      <c r="F53" s="204">
        <f>中心线!E55</f>
        <v>3045160.2930000001</v>
      </c>
      <c r="G53" s="201">
        <v>0</v>
      </c>
      <c r="H53" s="202">
        <f t="shared" si="8"/>
        <v>0</v>
      </c>
      <c r="I53" s="202">
        <f t="shared" si="0"/>
        <v>0</v>
      </c>
      <c r="J53" s="202">
        <f t="shared" si="1"/>
        <v>0</v>
      </c>
      <c r="K53" s="202">
        <f t="shared" si="9"/>
        <v>120.00000179277215</v>
      </c>
      <c r="L53" s="202">
        <f t="shared" si="22"/>
        <v>3447.6510915197991</v>
      </c>
      <c r="M53" s="202">
        <f t="shared" si="23"/>
        <v>3447.6510915197991</v>
      </c>
      <c r="N53" s="202">
        <f t="shared" si="24"/>
        <v>3447.6510915197991</v>
      </c>
      <c r="O53" s="202" t="str">
        <f t="shared" si="4"/>
        <v>circle 451133.2323,3045160.293 1</v>
      </c>
      <c r="Q53" s="208">
        <f t="shared" si="19"/>
        <v>120.00000179277215</v>
      </c>
      <c r="R53" s="202">
        <f t="shared" si="20"/>
        <v>20.095492296614463</v>
      </c>
      <c r="S53" s="202">
        <f t="shared" si="21"/>
        <v>120.00000179277215</v>
      </c>
      <c r="T53" s="199" t="str">
        <f t="shared" si="5"/>
        <v>-text 451133.2323,3045160.293 7 0 2#渡槽出</v>
      </c>
      <c r="U53" s="199" t="str">
        <f t="shared" si="2"/>
        <v>dt 451133.2323,3045160.293 5 0 2#渡槽出(451133.2323,3045160.293)*</v>
      </c>
      <c r="V53" s="211"/>
      <c r="W53" s="209" t="str">
        <f t="shared" si="3"/>
        <v>dt 451123.2323,3045150.293 5 0 R=0*T=0*S=0*α=0*</v>
      </c>
    </row>
    <row r="54" spans="1:23" x14ac:dyDescent="0.25">
      <c r="A54" s="199">
        <f t="shared" si="6"/>
        <v>38</v>
      </c>
      <c r="B54" s="199" t="str">
        <f t="shared" si="7"/>
        <v>IP38</v>
      </c>
      <c r="C54" s="206"/>
      <c r="D54" s="199">
        <v>53</v>
      </c>
      <c r="E54" s="204">
        <f>中心线!D56</f>
        <v>451143.08529999998</v>
      </c>
      <c r="F54" s="204">
        <f>中心线!E56</f>
        <v>3045142.7788</v>
      </c>
      <c r="G54" s="201">
        <v>13</v>
      </c>
      <c r="H54" s="202">
        <f t="shared" si="8"/>
        <v>88.561000000000007</v>
      </c>
      <c r="I54" s="202">
        <f t="shared" si="0"/>
        <v>12.677533722972129</v>
      </c>
      <c r="J54" s="202">
        <f t="shared" si="1"/>
        <v>20.093853505163079</v>
      </c>
      <c r="K54" s="202">
        <f t="shared" si="9"/>
        <v>20.095492296614463</v>
      </c>
      <c r="L54" s="202">
        <f t="shared" si="22"/>
        <v>3455.0690500934415</v>
      </c>
      <c r="M54" s="202">
        <f t="shared" si="23"/>
        <v>3465.1159768460229</v>
      </c>
      <c r="N54" s="202">
        <f t="shared" si="24"/>
        <v>3475.1629035986048</v>
      </c>
      <c r="O54" s="202" t="str">
        <f t="shared" si="4"/>
        <v>circle 451143.0853,3045142.7788 1</v>
      </c>
      <c r="Q54" s="208">
        <f t="shared" si="19"/>
        <v>7.4179585736423341</v>
      </c>
      <c r="R54" s="202">
        <f t="shared" si="20"/>
        <v>39.734670636379697</v>
      </c>
      <c r="S54" s="202">
        <f t="shared" si="21"/>
        <v>7.4179585736423341</v>
      </c>
      <c r="T54" s="199" t="str">
        <f t="shared" si="5"/>
        <v>-text 451143.0853,3045142.7788 7 0 IP38</v>
      </c>
      <c r="U54" s="199" t="str">
        <f t="shared" si="2"/>
        <v>dt 451143.0853,3045142.7788 5 0 IP38(451143.0853,3045142.7788)*</v>
      </c>
      <c r="V54" s="211"/>
      <c r="W54" s="209" t="str">
        <f t="shared" si="3"/>
        <v>dt 451133.0853,3045132.7788 5 0 R=13*T=12.677*S=20.093*α=88.561*</v>
      </c>
    </row>
    <row r="55" spans="1:23" x14ac:dyDescent="0.25">
      <c r="A55" s="199">
        <f t="shared" si="6"/>
        <v>39</v>
      </c>
      <c r="B55" s="199" t="str">
        <f t="shared" si="7"/>
        <v>IP39</v>
      </c>
      <c r="C55" s="206"/>
      <c r="D55" s="199">
        <v>54</v>
      </c>
      <c r="E55" s="204">
        <f>中心线!D57</f>
        <v>451098.06550000003</v>
      </c>
      <c r="F55" s="204">
        <f>中心线!E57</f>
        <v>3045115.9411999998</v>
      </c>
      <c r="G55" s="201">
        <v>13</v>
      </c>
      <c r="H55" s="202">
        <f t="shared" si="8"/>
        <v>11.997999999999999</v>
      </c>
      <c r="I55" s="202">
        <f t="shared" si="0"/>
        <v>1.3661256596096598</v>
      </c>
      <c r="J55" s="202">
        <f t="shared" si="1"/>
        <v>2.7222598475056352</v>
      </c>
      <c r="K55" s="202">
        <f t="shared" si="9"/>
        <v>52.412204359351826</v>
      </c>
      <c r="L55" s="202">
        <f t="shared" si="22"/>
        <v>3513.5314485753747</v>
      </c>
      <c r="M55" s="202">
        <f t="shared" si="23"/>
        <v>3514.8925784991275</v>
      </c>
      <c r="N55" s="202">
        <f t="shared" si="24"/>
        <v>3516.2537084228802</v>
      </c>
      <c r="O55" s="202" t="str">
        <f t="shared" si="4"/>
        <v>circle 451098.0655,3045115.9412 1</v>
      </c>
      <c r="Q55" s="208">
        <f t="shared" si="19"/>
        <v>51.046078699742168</v>
      </c>
      <c r="R55" s="202">
        <f t="shared" si="20"/>
        <v>108.81524673137962</v>
      </c>
      <c r="S55" s="202">
        <f t="shared" si="21"/>
        <v>38.368544976770039</v>
      </c>
      <c r="T55" s="199" t="str">
        <f t="shared" si="5"/>
        <v>-text 451098.0655,3045115.9412 7 0 IP39</v>
      </c>
      <c r="U55" s="199" t="str">
        <f t="shared" si="2"/>
        <v>dt 451098.0655,3045115.9412 5 0 IP39(451098.0655,3045115.9412)*</v>
      </c>
      <c r="V55" s="211"/>
      <c r="W55" s="209" t="str">
        <f t="shared" si="3"/>
        <v>dt 451088.0655,3045105.9412 5 0 R=13*T=1.366*S=2.722*α=11.998*</v>
      </c>
    </row>
    <row r="56" spans="1:23" x14ac:dyDescent="0.25">
      <c r="A56" s="199">
        <f t="shared" si="6"/>
        <v>40</v>
      </c>
      <c r="B56" s="199" t="str">
        <f t="shared" si="7"/>
        <v>IP40</v>
      </c>
      <c r="C56" s="206"/>
      <c r="D56" s="199">
        <v>55</v>
      </c>
      <c r="E56" s="204">
        <f>中心线!D58</f>
        <v>451017.22039999999</v>
      </c>
      <c r="F56" s="204">
        <f>中心线!E58</f>
        <v>3045041.0813000002</v>
      </c>
      <c r="G56" s="201">
        <v>13</v>
      </c>
      <c r="H56" s="202">
        <f t="shared" si="8"/>
        <v>68.587999999999994</v>
      </c>
      <c r="I56" s="202">
        <f t="shared" si="0"/>
        <v>8.866004042207777</v>
      </c>
      <c r="J56" s="202">
        <f t="shared" si="1"/>
        <v>15.562123555652319</v>
      </c>
      <c r="K56" s="202">
        <f t="shared" si="9"/>
        <v>110.18137239098928</v>
      </c>
      <c r="L56" s="202">
        <f t="shared" si="22"/>
        <v>3616.2029511120522</v>
      </c>
      <c r="M56" s="202">
        <f t="shared" si="23"/>
        <v>3623.9840128898786</v>
      </c>
      <c r="N56" s="202">
        <f t="shared" si="24"/>
        <v>3631.7650746677045</v>
      </c>
      <c r="O56" s="202" t="str">
        <f t="shared" si="4"/>
        <v>circle 451017.2204,3045041.0813 1</v>
      </c>
      <c r="Q56" s="208">
        <f t="shared" si="19"/>
        <v>101.3153683487815</v>
      </c>
      <c r="R56" s="202">
        <f t="shared" si="20"/>
        <v>74.868187749855636</v>
      </c>
      <c r="S56" s="202">
        <f t="shared" si="21"/>
        <v>99.94924268917184</v>
      </c>
      <c r="T56" s="199" t="str">
        <f t="shared" si="5"/>
        <v>-text 451017.2204,3045041.0813 7 0 IP40</v>
      </c>
      <c r="U56" s="199" t="str">
        <f t="shared" si="2"/>
        <v>dt 451017.2204,3045041.0813 5 0 IP40(451017.2204,3045041.0813)*</v>
      </c>
      <c r="V56" s="211"/>
      <c r="W56" s="209" t="str">
        <f t="shared" si="3"/>
        <v>dt 451007.2204,3045031.0813 5 0 R=13*T=8.866*S=15.562*α=68.588*</v>
      </c>
    </row>
    <row r="57" spans="1:23" ht="14.4" x14ac:dyDescent="0.25">
      <c r="A57" s="199">
        <f t="shared" si="6"/>
        <v>40</v>
      </c>
      <c r="B57" s="199" t="str">
        <f t="shared" si="7"/>
        <v>3#渡槽进</v>
      </c>
      <c r="C57" s="206" t="s">
        <v>598</v>
      </c>
      <c r="D57" s="199">
        <v>56</v>
      </c>
      <c r="E57" s="204">
        <f>中心线!D59</f>
        <v>451047.75469999999</v>
      </c>
      <c r="F57" s="204">
        <f>中心线!E59</f>
        <v>3044963.1129000001</v>
      </c>
      <c r="G57" s="201">
        <v>0</v>
      </c>
      <c r="H57" s="202">
        <f t="shared" si="8"/>
        <v>0</v>
      </c>
      <c r="I57" s="202">
        <f t="shared" si="0"/>
        <v>0</v>
      </c>
      <c r="J57" s="202">
        <f t="shared" si="1"/>
        <v>0</v>
      </c>
      <c r="K57" s="202">
        <f t="shared" si="9"/>
        <v>83.734191792063413</v>
      </c>
      <c r="L57" s="202">
        <f t="shared" si="22"/>
        <v>3706.6332624175607</v>
      </c>
      <c r="M57" s="202">
        <f t="shared" si="23"/>
        <v>3706.6332624175607</v>
      </c>
      <c r="N57" s="202">
        <f t="shared" si="24"/>
        <v>3706.6332624175607</v>
      </c>
      <c r="O57" s="202" t="str">
        <f t="shared" si="4"/>
        <v>circle 451047.7547,3044963.1129 1</v>
      </c>
      <c r="Q57" s="208">
        <f t="shared" si="19"/>
        <v>83.734191792063413</v>
      </c>
      <c r="R57" s="202">
        <f t="shared" si="20"/>
        <v>119.99993709410758</v>
      </c>
      <c r="S57" s="202">
        <f t="shared" si="21"/>
        <v>74.868187749855636</v>
      </c>
      <c r="T57" s="199" t="str">
        <f t="shared" si="5"/>
        <v>-text 451047.7547,3044963.1129 7 0 3#渡槽进</v>
      </c>
      <c r="U57" s="199" t="str">
        <f t="shared" si="2"/>
        <v>dt 451047.7547,3044963.1129 5 0 3#渡槽进(451047.7547,3044963.1129)*</v>
      </c>
      <c r="V57" s="211"/>
      <c r="W57" s="209" t="str">
        <f t="shared" si="3"/>
        <v>dt 451037.7547,3044953.1129 5 0 R=0*T=0*S=0*α=0*</v>
      </c>
    </row>
    <row r="58" spans="1:23" ht="14.4" x14ac:dyDescent="0.25">
      <c r="A58" s="199">
        <f t="shared" si="6"/>
        <v>40</v>
      </c>
      <c r="B58" s="199" t="str">
        <f t="shared" si="7"/>
        <v>3#渡槽出</v>
      </c>
      <c r="C58" s="206" t="s">
        <v>599</v>
      </c>
      <c r="D58" s="199">
        <v>57</v>
      </c>
      <c r="E58" s="204">
        <f>中心线!D60</f>
        <v>451091.51370000001</v>
      </c>
      <c r="F58" s="204">
        <f>中心线!E60</f>
        <v>3044851.3760000002</v>
      </c>
      <c r="G58" s="201">
        <v>0</v>
      </c>
      <c r="H58" s="202">
        <f t="shared" si="8"/>
        <v>0</v>
      </c>
      <c r="I58" s="202">
        <f t="shared" si="0"/>
        <v>0</v>
      </c>
      <c r="J58" s="202">
        <f t="shared" si="1"/>
        <v>0</v>
      </c>
      <c r="K58" s="202">
        <f t="shared" si="9"/>
        <v>119.99993709410758</v>
      </c>
      <c r="L58" s="202">
        <f t="shared" si="22"/>
        <v>3826.6331995116684</v>
      </c>
      <c r="M58" s="202">
        <f t="shared" si="23"/>
        <v>3826.6331995116684</v>
      </c>
      <c r="N58" s="202">
        <f t="shared" si="24"/>
        <v>3826.6331995116684</v>
      </c>
      <c r="O58" s="202" t="str">
        <f t="shared" si="4"/>
        <v>circle 451091.5137,3044851.376 1</v>
      </c>
      <c r="Q58" s="208">
        <f t="shared" si="19"/>
        <v>119.99993709410758</v>
      </c>
      <c r="R58" s="202">
        <f t="shared" si="20"/>
        <v>18.248796179674702</v>
      </c>
      <c r="S58" s="202">
        <f t="shared" si="21"/>
        <v>119.99993709410758</v>
      </c>
      <c r="T58" s="199" t="str">
        <f t="shared" si="5"/>
        <v>-text 451091.5137,3044851.376 7 0 3#渡槽出</v>
      </c>
      <c r="U58" s="199" t="str">
        <f t="shared" si="2"/>
        <v>dt 451091.5137,3044851.376 5 0 3#渡槽出(451091.5137,3044851.376)*</v>
      </c>
      <c r="V58" s="211"/>
      <c r="W58" s="209" t="str">
        <f t="shared" si="3"/>
        <v>dt 451081.5137,3044841.376 5 0 R=0*T=0*S=0*α=0*</v>
      </c>
    </row>
    <row r="59" spans="1:23" x14ac:dyDescent="0.25">
      <c r="A59" s="199">
        <f t="shared" si="6"/>
        <v>41</v>
      </c>
      <c r="B59" s="199" t="str">
        <f t="shared" si="7"/>
        <v>IP41</v>
      </c>
      <c r="C59" s="206"/>
      <c r="D59" s="199">
        <v>58</v>
      </c>
      <c r="E59" s="204">
        <f>中心线!D61</f>
        <v>451098.16830000002</v>
      </c>
      <c r="F59" s="204">
        <f>中心线!E61</f>
        <v>3044834.3838</v>
      </c>
      <c r="G59" s="201">
        <v>13</v>
      </c>
      <c r="H59" s="202">
        <f t="shared" si="8"/>
        <v>71.430000000000007</v>
      </c>
      <c r="I59" s="202">
        <f t="shared" si="0"/>
        <v>9.3466093367732626</v>
      </c>
      <c r="J59" s="202">
        <f t="shared" si="1"/>
        <v>16.206952901094144</v>
      </c>
      <c r="K59" s="202">
        <f t="shared" si="9"/>
        <v>18.248796179674702</v>
      </c>
      <c r="L59" s="202">
        <f t="shared" si="22"/>
        <v>3835.5353863545697</v>
      </c>
      <c r="M59" s="202">
        <f t="shared" si="23"/>
        <v>3843.6388628051168</v>
      </c>
      <c r="N59" s="202">
        <f t="shared" si="24"/>
        <v>3851.7423392556639</v>
      </c>
      <c r="O59" s="202" t="str">
        <f t="shared" si="4"/>
        <v>circle 451098.1683,3044834.3838 1</v>
      </c>
      <c r="Q59" s="208">
        <f t="shared" si="19"/>
        <v>8.9021868429014397</v>
      </c>
      <c r="R59" s="202">
        <f t="shared" si="20"/>
        <v>18.76038741239643</v>
      </c>
      <c r="S59" s="202">
        <f t="shared" si="21"/>
        <v>8.9021868429014397</v>
      </c>
      <c r="T59" s="199" t="str">
        <f t="shared" si="5"/>
        <v>-text 451098.1683,3044834.3838 7 0 IP41</v>
      </c>
      <c r="U59" s="199" t="str">
        <f t="shared" si="2"/>
        <v>dt 451098.1683,3044834.3838 5 0 IP41(451098.1683,3044834.3838)*</v>
      </c>
      <c r="V59" s="211"/>
      <c r="W59" s="209" t="str">
        <f t="shared" si="3"/>
        <v>dt 451088.1683,3044824.3838 5 0 R=13*T=9.346*S=16.206*α=71.43*</v>
      </c>
    </row>
    <row r="60" spans="1:23" x14ac:dyDescent="0.25">
      <c r="A60" s="199">
        <f t="shared" si="6"/>
        <v>42</v>
      </c>
      <c r="B60" s="199" t="str">
        <f t="shared" si="7"/>
        <v>IP42</v>
      </c>
      <c r="C60" s="206"/>
      <c r="D60" s="199">
        <v>59</v>
      </c>
      <c r="E60" s="204">
        <f>中心线!D62</f>
        <v>451076.62339999998</v>
      </c>
      <c r="F60" s="204">
        <f>中心线!E62</f>
        <v>3044816.3333000001</v>
      </c>
      <c r="G60" s="201">
        <v>13</v>
      </c>
      <c r="H60" s="202">
        <f t="shared" si="8"/>
        <v>57.707000000000001</v>
      </c>
      <c r="I60" s="202">
        <f t="shared" si="0"/>
        <v>7.1626260678165128</v>
      </c>
      <c r="J60" s="202">
        <f t="shared" si="1"/>
        <v>13.093302968828782</v>
      </c>
      <c r="K60" s="202">
        <f t="shared" si="9"/>
        <v>28.106996749169692</v>
      </c>
      <c r="L60" s="202">
        <f t="shared" si="22"/>
        <v>3863.3401006002441</v>
      </c>
      <c r="M60" s="202">
        <f t="shared" si="23"/>
        <v>3869.8867520846584</v>
      </c>
      <c r="N60" s="202">
        <f t="shared" si="24"/>
        <v>3876.4334035690731</v>
      </c>
      <c r="O60" s="202" t="str">
        <f t="shared" si="4"/>
        <v>circle 451076.6234,3044816.3333 1</v>
      </c>
      <c r="Q60" s="208">
        <f t="shared" si="19"/>
        <v>20.944370681353178</v>
      </c>
      <c r="R60" s="202">
        <f t="shared" si="20"/>
        <v>46.240555794420402</v>
      </c>
      <c r="S60" s="202">
        <f t="shared" si="21"/>
        <v>11.597761344579917</v>
      </c>
      <c r="T60" s="199" t="str">
        <f t="shared" si="5"/>
        <v>-text 451076.6234,3044816.3333 7 0 IP42</v>
      </c>
      <c r="U60" s="199" t="str">
        <f t="shared" si="2"/>
        <v>dt 451076.6234,3044816.3333 5 0 IP42(451076.6234,3044816.3333)*</v>
      </c>
      <c r="V60" s="211"/>
      <c r="W60" s="209" t="str">
        <f t="shared" si="3"/>
        <v>dt 451066.6234,3044806.3333 5 0 R=13*T=7.162*S=13.093*α=57.707*</v>
      </c>
    </row>
    <row r="61" spans="1:23" x14ac:dyDescent="0.25">
      <c r="A61" s="199">
        <f t="shared" si="6"/>
        <v>43</v>
      </c>
      <c r="B61" s="199" t="str">
        <f t="shared" si="7"/>
        <v>IP43</v>
      </c>
      <c r="C61" s="199"/>
      <c r="D61" s="199">
        <v>60</v>
      </c>
      <c r="E61" s="204">
        <f>中心线!D63</f>
        <v>451083.745</v>
      </c>
      <c r="F61" s="204">
        <f>中心线!E63</f>
        <v>3044763.4071</v>
      </c>
      <c r="G61" s="201">
        <v>13</v>
      </c>
      <c r="H61" s="202">
        <f t="shared" si="8"/>
        <v>21.678000000000001</v>
      </c>
      <c r="I61" s="202">
        <f t="shared" si="0"/>
        <v>2.4890546442280317</v>
      </c>
      <c r="J61" s="202">
        <f t="shared" si="1"/>
        <v>4.9185821782153001</v>
      </c>
      <c r="K61" s="202">
        <f t="shared" si="9"/>
        <v>53.403181862236913</v>
      </c>
      <c r="L61" s="202">
        <f t="shared" si="22"/>
        <v>3920.1849047192654</v>
      </c>
      <c r="M61" s="202">
        <f t="shared" si="23"/>
        <v>3922.6441958083733</v>
      </c>
      <c r="N61" s="202">
        <f t="shared" si="24"/>
        <v>3925.1034868974807</v>
      </c>
      <c r="O61" s="202" t="str">
        <f t="shared" si="4"/>
        <v>circle 451083.745,3044763.4071 1</v>
      </c>
      <c r="Q61" s="208">
        <f t="shared" si="19"/>
        <v>50.914127218008879</v>
      </c>
      <c r="R61" s="202">
        <f t="shared" si="20"/>
        <v>2.4934323992699547</v>
      </c>
      <c r="S61" s="202">
        <f t="shared" si="21"/>
        <v>43.751501150192368</v>
      </c>
      <c r="T61" s="199" t="str">
        <f t="shared" si="5"/>
        <v>-text 451083.745,3044763.4071 7 0 IP43</v>
      </c>
      <c r="U61" s="199" t="str">
        <f t="shared" si="2"/>
        <v>dt 451083.745,3044763.4071 5 0 IP43(451083.745,3044763.4071)*</v>
      </c>
      <c r="V61" s="211"/>
      <c r="W61" s="209" t="str">
        <f t="shared" si="3"/>
        <v>dt 451073.745,3044753.4071 5 0 R=13*T=2.489*S=4.918*α=21.678*</v>
      </c>
    </row>
    <row r="62" spans="1:23" x14ac:dyDescent="0.25">
      <c r="A62" s="199">
        <f t="shared" si="6"/>
        <v>43</v>
      </c>
      <c r="B62" s="199" t="str">
        <f t="shared" si="7"/>
        <v>5#倒虹吸进</v>
      </c>
      <c r="C62" s="199" t="s">
        <v>600</v>
      </c>
      <c r="D62" s="199">
        <v>61</v>
      </c>
      <c r="E62" s="204">
        <f>中心线!D64</f>
        <v>451086.18650000001</v>
      </c>
      <c r="F62" s="204">
        <f>中心线!E64</f>
        <v>3044759.0638000001</v>
      </c>
      <c r="G62" s="201">
        <v>0</v>
      </c>
      <c r="H62" s="202">
        <f t="shared" si="8"/>
        <v>1E-3</v>
      </c>
      <c r="I62" s="202">
        <f t="shared" si="0"/>
        <v>0</v>
      </c>
      <c r="J62" s="202">
        <f t="shared" si="1"/>
        <v>0</v>
      </c>
      <c r="K62" s="202">
        <f t="shared" si="9"/>
        <v>4.9824870434979864</v>
      </c>
      <c r="L62" s="202">
        <f t="shared" si="22"/>
        <v>3927.5969192967514</v>
      </c>
      <c r="M62" s="202">
        <f t="shared" si="23"/>
        <v>3927.5969192967514</v>
      </c>
      <c r="N62" s="202">
        <f t="shared" si="24"/>
        <v>3927.5969192967514</v>
      </c>
      <c r="O62" s="202" t="str">
        <f t="shared" si="4"/>
        <v>circle 451086.1865,3044759.0638 1</v>
      </c>
      <c r="Q62" s="208">
        <f t="shared" si="19"/>
        <v>4.9824870434979864</v>
      </c>
      <c r="R62" s="202">
        <f t="shared" si="20"/>
        <v>78.379745052447859</v>
      </c>
      <c r="S62" s="202">
        <f t="shared" si="21"/>
        <v>2.4934323992699547</v>
      </c>
      <c r="T62" s="199" t="str">
        <f t="shared" si="5"/>
        <v>-text 451086.1865,3044759.0638 7 0 5#倒虹吸进</v>
      </c>
      <c r="U62" s="199" t="str">
        <f t="shared" si="2"/>
        <v>dt 451086.1865,3044759.0638 5 0 5#倒虹吸进(451086.1865,3044759.0638)*</v>
      </c>
      <c r="V62" s="211"/>
      <c r="W62" s="209" t="str">
        <f t="shared" si="3"/>
        <v>dt 451076.1865,3044749.0638 5 0 R=0*T=0*S=0*α=0.001*</v>
      </c>
    </row>
    <row r="63" spans="1:23" x14ac:dyDescent="0.25">
      <c r="A63" s="199">
        <f t="shared" si="6"/>
        <v>44</v>
      </c>
      <c r="B63" s="199" t="str">
        <f t="shared" si="7"/>
        <v>IP44</v>
      </c>
      <c r="C63" s="206"/>
      <c r="D63" s="199">
        <v>62</v>
      </c>
      <c r="E63" s="204">
        <f>中心线!D65</f>
        <v>451124.59450000001</v>
      </c>
      <c r="F63" s="204">
        <f>中心线!E65</f>
        <v>3044690.7395000001</v>
      </c>
      <c r="G63" s="205">
        <v>6</v>
      </c>
      <c r="H63" s="202">
        <f t="shared" si="8"/>
        <v>28.672000000000001</v>
      </c>
      <c r="I63" s="202">
        <f t="shared" si="0"/>
        <v>1.5333963174467198</v>
      </c>
      <c r="J63" s="202">
        <f t="shared" si="1"/>
        <v>3.0025248187908851</v>
      </c>
      <c r="K63" s="202">
        <f t="shared" si="9"/>
        <v>78.379745052447859</v>
      </c>
      <c r="L63" s="202">
        <f t="shared" si="22"/>
        <v>4004.4432680317527</v>
      </c>
      <c r="M63" s="202">
        <f t="shared" si="23"/>
        <v>4005.9445304411483</v>
      </c>
      <c r="N63" s="202">
        <f t="shared" si="24"/>
        <v>4007.4457928505435</v>
      </c>
      <c r="O63" s="202" t="str">
        <f t="shared" si="4"/>
        <v>circle 451124.5945,3044690.7395 1</v>
      </c>
      <c r="Q63" s="208">
        <f t="shared" si="19"/>
        <v>76.846348735001143</v>
      </c>
      <c r="R63" s="202">
        <f t="shared" si="20"/>
        <v>54.581142934503539</v>
      </c>
      <c r="S63" s="202">
        <f t="shared" si="21"/>
        <v>76.846348735001143</v>
      </c>
      <c r="T63" s="199" t="str">
        <f t="shared" si="5"/>
        <v>-text 451124.5945,3044690.7395 7 0 IP44</v>
      </c>
      <c r="U63" s="199" t="str">
        <f t="shared" si="2"/>
        <v>dt 451124.5945,3044690.7395 5 0 IP44(451124.5945,3044690.7395)*</v>
      </c>
      <c r="V63" s="211"/>
      <c r="W63" s="209" t="str">
        <f t="shared" si="3"/>
        <v>dt 451114.5945,3044680.7395 5 0 R=6*T=1.533*S=3.002*α=28.672*</v>
      </c>
    </row>
    <row r="64" spans="1:23" x14ac:dyDescent="0.25">
      <c r="A64" s="199">
        <f t="shared" si="6"/>
        <v>44</v>
      </c>
      <c r="B64" s="199" t="str">
        <f t="shared" si="7"/>
        <v>5#倒虹吸出</v>
      </c>
      <c r="C64" s="199" t="s">
        <v>601</v>
      </c>
      <c r="D64" s="199">
        <v>63</v>
      </c>
      <c r="E64" s="204">
        <f>中心线!D66</f>
        <v>451125.25089999998</v>
      </c>
      <c r="F64" s="204">
        <f>中心线!E66</f>
        <v>3044634.6288000001</v>
      </c>
      <c r="G64" s="201">
        <v>0</v>
      </c>
      <c r="H64" s="202">
        <f t="shared" si="8"/>
        <v>0</v>
      </c>
      <c r="I64" s="202">
        <f t="shared" si="0"/>
        <v>0</v>
      </c>
      <c r="J64" s="202">
        <f t="shared" si="1"/>
        <v>0</v>
      </c>
      <c r="K64" s="202">
        <f t="shared" si="9"/>
        <v>56.114539251950262</v>
      </c>
      <c r="L64" s="202">
        <f t="shared" si="22"/>
        <v>4062.0269357850475</v>
      </c>
      <c r="M64" s="202">
        <f t="shared" si="23"/>
        <v>4062.0269357850475</v>
      </c>
      <c r="N64" s="202">
        <f t="shared" si="24"/>
        <v>4062.0269357850475</v>
      </c>
      <c r="O64" s="202" t="str">
        <f t="shared" si="4"/>
        <v>circle 451125.2509,3044634.6288 1</v>
      </c>
      <c r="Q64" s="208">
        <f t="shared" si="19"/>
        <v>56.114539251950262</v>
      </c>
      <c r="R64" s="202">
        <f t="shared" si="20"/>
        <v>55.278381820865469</v>
      </c>
      <c r="S64" s="202">
        <f t="shared" si="21"/>
        <v>54.581142934503539</v>
      </c>
      <c r="T64" s="199" t="str">
        <f t="shared" si="5"/>
        <v>-text 451125.2509,3044634.6288 7 0 5#倒虹吸出</v>
      </c>
      <c r="U64" s="199" t="str">
        <f t="shared" si="2"/>
        <v>dt 451125.2509,3044634.6288 5 0 5#倒虹吸出(451125.2509,3044634.6288)*</v>
      </c>
      <c r="V64" s="211"/>
      <c r="W64" s="209" t="str">
        <f t="shared" si="3"/>
        <v>dt 451115.2509,3044624.6288 5 0 R=0*T=0*S=0*α=0*</v>
      </c>
    </row>
    <row r="65" spans="1:23" x14ac:dyDescent="0.25">
      <c r="A65" s="199">
        <f t="shared" si="6"/>
        <v>45</v>
      </c>
      <c r="B65" s="199" t="str">
        <f t="shared" si="7"/>
        <v>IP45</v>
      </c>
      <c r="C65" s="206"/>
      <c r="D65" s="199">
        <v>64</v>
      </c>
      <c r="E65" s="204">
        <f>中心线!D67</f>
        <v>451125.89750000002</v>
      </c>
      <c r="F65" s="204">
        <f>中心线!E67</f>
        <v>3044579.3541999999</v>
      </c>
      <c r="G65" s="201">
        <v>13</v>
      </c>
      <c r="H65" s="202">
        <f t="shared" si="8"/>
        <v>86.954999999999998</v>
      </c>
      <c r="I65" s="202">
        <f t="shared" si="0"/>
        <v>12.326840588964503</v>
      </c>
      <c r="J65" s="202">
        <f t="shared" si="1"/>
        <v>19.7294636639317</v>
      </c>
      <c r="K65" s="202">
        <f t="shared" si="9"/>
        <v>55.278381820865469</v>
      </c>
      <c r="L65" s="202">
        <f t="shared" si="22"/>
        <v>4104.9784770169481</v>
      </c>
      <c r="M65" s="202">
        <f t="shared" si="23"/>
        <v>4114.8432088489135</v>
      </c>
      <c r="N65" s="202">
        <f t="shared" si="24"/>
        <v>4124.7079406808798</v>
      </c>
      <c r="O65" s="202" t="str">
        <f t="shared" si="4"/>
        <v>circle 451125.8975,3044579.3542 1</v>
      </c>
      <c r="Q65" s="208">
        <f t="shared" si="19"/>
        <v>42.951541231900968</v>
      </c>
      <c r="R65" s="202">
        <f t="shared" si="20"/>
        <v>29.801194830342041</v>
      </c>
      <c r="S65" s="202">
        <f t="shared" si="21"/>
        <v>42.951541231900968</v>
      </c>
      <c r="T65" s="199" t="str">
        <f t="shared" si="5"/>
        <v>-text 451125.8975,3044579.3542 7 0 IP45</v>
      </c>
      <c r="U65" s="199" t="str">
        <f t="shared" si="2"/>
        <v>dt 451125.8975,3044579.3542 5 0 IP45(451125.8975,3044579.3542)*</v>
      </c>
      <c r="V65" s="211"/>
      <c r="W65" s="209" t="str">
        <f t="shared" si="3"/>
        <v>dt 451115.8975,3044569.3542 5 0 R=13*T=12.326*S=19.729*α=86.955*</v>
      </c>
    </row>
    <row r="66" spans="1:23" x14ac:dyDescent="0.25">
      <c r="A66" s="199">
        <f t="shared" si="6"/>
        <v>46</v>
      </c>
      <c r="B66" s="199" t="str">
        <f t="shared" si="7"/>
        <v>IP46</v>
      </c>
      <c r="C66" s="206"/>
      <c r="D66" s="199">
        <v>65</v>
      </c>
      <c r="E66" s="204">
        <f>中心线!D68</f>
        <v>451083.85800000001</v>
      </c>
      <c r="F66" s="204">
        <f>中心线!E68</f>
        <v>3044576.6244000001</v>
      </c>
      <c r="G66" s="201">
        <v>13</v>
      </c>
      <c r="H66" s="202">
        <f t="shared" si="8"/>
        <v>64.733000000000004</v>
      </c>
      <c r="I66" s="202">
        <f t="shared" ref="I66:I129" si="25">G66*TAN(PI()/180*H66/2)</f>
        <v>8.2393927100936839</v>
      </c>
      <c r="J66" s="202">
        <f t="shared" ref="J66:J129" si="26">H66*PI()*G66/180</f>
        <v>14.687451801015364</v>
      </c>
      <c r="K66" s="202">
        <f t="shared" si="9"/>
        <v>42.128035419306542</v>
      </c>
      <c r="L66" s="202">
        <f t="shared" si="22"/>
        <v>4146.269742801127</v>
      </c>
      <c r="M66" s="202">
        <f t="shared" si="23"/>
        <v>4153.6134687016347</v>
      </c>
      <c r="N66" s="202">
        <f t="shared" si="24"/>
        <v>4160.9571946021424</v>
      </c>
      <c r="O66" s="202" t="str">
        <f t="shared" si="4"/>
        <v>circle 451083.858,3044576.6244 1</v>
      </c>
      <c r="Q66" s="208">
        <f t="shared" si="19"/>
        <v>33.88864270921286</v>
      </c>
      <c r="R66" s="202">
        <f t="shared" si="20"/>
        <v>8.7085693199902128</v>
      </c>
      <c r="S66" s="202">
        <f t="shared" si="21"/>
        <v>21.561802120248359</v>
      </c>
      <c r="T66" s="199" t="str">
        <f t="shared" si="5"/>
        <v>-text 451083.858,3044576.6244 7 0 IP46</v>
      </c>
      <c r="U66" s="199" t="str">
        <f t="shared" ref="U66:U129" si="27">"dt"&amp;" "&amp;E66&amp;","&amp;F66&amp;" "&amp;"5"&amp;" "&amp;"0"&amp;" "&amp;B66&amp;"("&amp;E66&amp;","&amp;F66&amp;")*"</f>
        <v>dt 451083.858,3044576.6244 5 0 IP46(451083.858,3044576.6244)*</v>
      </c>
      <c r="V66" s="211"/>
      <c r="W66" s="209" t="str">
        <f t="shared" ref="W66:W129" si="28">"dt"&amp;" "&amp;E66-10&amp;","&amp;F66-10&amp;" "&amp;"5 "&amp;"0 "&amp;"R="&amp;G66&amp;"*"&amp;"T="&amp;INT(I66*1000)/1000&amp;"*"&amp;"S="&amp;INT(J66*1000)/1000&amp;"*"&amp;"α="&amp;INT(H66*1000)/1000&amp;"*"</f>
        <v>dt 451073.858,3044566.6244 5 0 R=13*T=8.239*S=14.687*α=64.733*</v>
      </c>
    </row>
    <row r="67" spans="1:23" x14ac:dyDescent="0.25">
      <c r="A67" s="199">
        <f t="shared" si="6"/>
        <v>47</v>
      </c>
      <c r="B67" s="199" t="str">
        <f t="shared" si="7"/>
        <v>IP47</v>
      </c>
      <c r="C67" s="206"/>
      <c r="D67" s="199">
        <v>66</v>
      </c>
      <c r="E67" s="204">
        <f>中心线!D69</f>
        <v>451077.6324</v>
      </c>
      <c r="F67" s="204">
        <f>中心线!E69</f>
        <v>3044560.8613</v>
      </c>
      <c r="G67" s="201">
        <v>13</v>
      </c>
      <c r="H67" s="202">
        <f t="shared" si="8"/>
        <v>16.738</v>
      </c>
      <c r="I67" s="202">
        <f t="shared" si="25"/>
        <v>1.9124865070238262</v>
      </c>
      <c r="J67" s="202">
        <f t="shared" si="26"/>
        <v>3.7977317325845417</v>
      </c>
      <c r="K67" s="202">
        <f t="shared" si="9"/>
        <v>16.947962030083897</v>
      </c>
      <c r="L67" s="202">
        <f t="shared" si="22"/>
        <v>4167.7532774151086</v>
      </c>
      <c r="M67" s="202">
        <f t="shared" si="23"/>
        <v>4169.6521432814006</v>
      </c>
      <c r="N67" s="202">
        <f t="shared" si="24"/>
        <v>4171.5510091476935</v>
      </c>
      <c r="O67" s="202" t="str">
        <f t="shared" ref="O67:O130" si="29">"circle "&amp;E67&amp;","&amp;F67&amp;" 1"</f>
        <v>circle 451077.6324,3044560.8613 1</v>
      </c>
      <c r="Q67" s="208">
        <f t="shared" si="19"/>
        <v>15.03547552306007</v>
      </c>
      <c r="R67" s="202">
        <f t="shared" si="20"/>
        <v>174.39245229433081</v>
      </c>
      <c r="S67" s="202">
        <f t="shared" si="21"/>
        <v>6.7960828129663868</v>
      </c>
      <c r="T67" s="199" t="str">
        <f t="shared" ref="T67:T130" si="30">"-text"&amp;" "&amp;E67&amp;","&amp;F67&amp;" "&amp;"7"&amp;" "&amp;"0"&amp;" "&amp;B67</f>
        <v>-text 451077.6324,3044560.8613 7 0 IP47</v>
      </c>
      <c r="U67" s="199" t="str">
        <f t="shared" si="27"/>
        <v>dt 451077.6324,3044560.8613 5 0 IP47(451077.6324,3044560.8613)*</v>
      </c>
      <c r="V67" s="211"/>
      <c r="W67" s="209" t="str">
        <f t="shared" si="28"/>
        <v>dt 451067.6324,3044550.8613 5 0 R=13*T=1.912*S=3.797*α=16.738*</v>
      </c>
    </row>
    <row r="68" spans="1:23" x14ac:dyDescent="0.25">
      <c r="A68" s="199">
        <f t="shared" ref="A68:A131" si="31">IF(C68=0,A67+1,A67)</f>
        <v>48</v>
      </c>
      <c r="B68" s="199" t="str">
        <f t="shared" ref="B68:B131" si="32">IF(C68=0,"IP"&amp;A68,C68)</f>
        <v>IP48</v>
      </c>
      <c r="C68" s="199"/>
      <c r="D68" s="199">
        <v>67</v>
      </c>
      <c r="E68" s="204">
        <f>中心线!D70</f>
        <v>451062.83899999998</v>
      </c>
      <c r="F68" s="204">
        <f>中心线!E70</f>
        <v>3044385.1781000001</v>
      </c>
      <c r="G68" s="201">
        <v>13</v>
      </c>
      <c r="H68" s="202">
        <f t="shared" ref="H68:H131" si="33">ROUND(IF((2*SQRT((E67-E68)^2+(F67-F68)^2)*SQRT((E69-E68)^2+(F69-F68)^2))=0,0,180-ACOS(((E67-E68)^2+(F67-F68)^2+(E69-E68)^2+(F69-F68)^2-(E69-E67)^2-(F69-F67)^2)/(2*SQRT((E67-E68)^2+(F67-F68)^2)*SQRT((E69-E68)^2+(F69-F68)^2)))/PI()*180),3)</f>
        <v>32.542000000000002</v>
      </c>
      <c r="I68" s="202">
        <f t="shared" si="25"/>
        <v>3.7943245536314563</v>
      </c>
      <c r="J68" s="202">
        <f t="shared" si="26"/>
        <v>7.3835455873919313</v>
      </c>
      <c r="K68" s="202">
        <f t="shared" ref="K68:K131" si="34">SQRT((E68-E67)^2+(F68-F67)^2)</f>
        <v>176.30493880135464</v>
      </c>
      <c r="L68" s="202">
        <f t="shared" si="22"/>
        <v>4342.1491368883926</v>
      </c>
      <c r="M68" s="202">
        <f t="shared" si="23"/>
        <v>4345.8409096820887</v>
      </c>
      <c r="N68" s="202">
        <f t="shared" si="24"/>
        <v>4349.5326824757849</v>
      </c>
      <c r="O68" s="202" t="str">
        <f t="shared" si="29"/>
        <v>circle 451062.839,3044385.1781 1</v>
      </c>
      <c r="Q68" s="208">
        <f t="shared" si="19"/>
        <v>172.51061424772317</v>
      </c>
      <c r="R68" s="202">
        <f t="shared" si="20"/>
        <v>56.017577351026851</v>
      </c>
      <c r="S68" s="202">
        <f t="shared" si="21"/>
        <v>170.59812774069934</v>
      </c>
      <c r="T68" s="199" t="str">
        <f t="shared" si="30"/>
        <v>-text 451062.839,3044385.1781 7 0 IP48</v>
      </c>
      <c r="U68" s="199" t="str">
        <f t="shared" si="27"/>
        <v>dt 451062.839,3044385.1781 5 0 IP48(451062.839,3044385.1781)*</v>
      </c>
      <c r="V68" s="211"/>
      <c r="W68" s="209" t="str">
        <f t="shared" si="28"/>
        <v>dt 451052.839,3044375.1781 5 0 R=13*T=3.794*S=7.383*α=32.542*</v>
      </c>
    </row>
    <row r="69" spans="1:23" x14ac:dyDescent="0.25">
      <c r="A69" s="199">
        <f t="shared" si="31"/>
        <v>49</v>
      </c>
      <c r="B69" s="199" t="str">
        <f t="shared" si="32"/>
        <v>IP49</v>
      </c>
      <c r="C69" s="206"/>
      <c r="D69" s="199">
        <v>68</v>
      </c>
      <c r="E69" s="204">
        <f>中心线!D71</f>
        <v>451026.54820000002</v>
      </c>
      <c r="F69" s="204">
        <f>中心线!E71</f>
        <v>3044337.6340000001</v>
      </c>
      <c r="G69" s="201">
        <v>13</v>
      </c>
      <c r="H69" s="202">
        <f t="shared" si="33"/>
        <v>60.968000000000004</v>
      </c>
      <c r="I69" s="202">
        <f t="shared" si="25"/>
        <v>7.6526961181475555</v>
      </c>
      <c r="J69" s="202">
        <f t="shared" si="26"/>
        <v>13.833200398626738</v>
      </c>
      <c r="K69" s="202">
        <f t="shared" si="34"/>
        <v>59.811901904658306</v>
      </c>
      <c r="L69" s="202">
        <f t="shared" si="22"/>
        <v>4397.8975637086642</v>
      </c>
      <c r="M69" s="202">
        <f t="shared" si="23"/>
        <v>4404.8141639079777</v>
      </c>
      <c r="N69" s="202">
        <f t="shared" si="24"/>
        <v>4411.7307641072912</v>
      </c>
      <c r="O69" s="202" t="str">
        <f t="shared" si="29"/>
        <v>circle 451026.5482,3044337.634 1</v>
      </c>
      <c r="Q69" s="208">
        <f t="shared" si="19"/>
        <v>52.159205786510753</v>
      </c>
      <c r="R69" s="202">
        <f t="shared" si="20"/>
        <v>66.600026607921549</v>
      </c>
      <c r="S69" s="202">
        <f t="shared" si="21"/>
        <v>48.364881232879299</v>
      </c>
      <c r="T69" s="199" t="str">
        <f t="shared" si="30"/>
        <v>-text 451026.5482,3044337.634 7 0 IP49</v>
      </c>
      <c r="U69" s="199" t="str">
        <f t="shared" si="27"/>
        <v>dt 451026.5482,3044337.634 5 0 IP49(451026.5482,3044337.634)*</v>
      </c>
      <c r="V69" s="211"/>
      <c r="W69" s="209" t="str">
        <f t="shared" si="28"/>
        <v>dt 451016.5482,3044327.634 5 0 R=13*T=7.652*S=13.833*α=60.968*</v>
      </c>
    </row>
    <row r="70" spans="1:23" x14ac:dyDescent="0.25">
      <c r="A70" s="199">
        <f t="shared" si="31"/>
        <v>50</v>
      </c>
      <c r="B70" s="199" t="str">
        <f t="shared" si="32"/>
        <v>IP50</v>
      </c>
      <c r="C70" s="199"/>
      <c r="D70" s="199">
        <v>69</v>
      </c>
      <c r="E70" s="204">
        <f>中心线!D72</f>
        <v>451056.29060000001</v>
      </c>
      <c r="F70" s="204">
        <f>中心线!E72</f>
        <v>3044269.5983000002</v>
      </c>
      <c r="G70" s="201">
        <v>13</v>
      </c>
      <c r="H70" s="202">
        <f t="shared" si="33"/>
        <v>26.521999999999998</v>
      </c>
      <c r="I70" s="202">
        <f t="shared" si="25"/>
        <v>3.0637279873417347</v>
      </c>
      <c r="J70" s="202">
        <f t="shared" si="26"/>
        <v>6.0176509147811679</v>
      </c>
      <c r="K70" s="202">
        <f t="shared" si="34"/>
        <v>74.252722726069109</v>
      </c>
      <c r="L70" s="202">
        <f t="shared" si="22"/>
        <v>4475.2670627278712</v>
      </c>
      <c r="M70" s="202">
        <f t="shared" si="23"/>
        <v>4478.2758881852615</v>
      </c>
      <c r="N70" s="202">
        <f t="shared" si="24"/>
        <v>4481.2847136426526</v>
      </c>
      <c r="O70" s="202" t="str">
        <f t="shared" si="29"/>
        <v>circle 451056.2906,3044269.5983 1</v>
      </c>
      <c r="Q70" s="208">
        <f t="shared" si="19"/>
        <v>71.188994738727374</v>
      </c>
      <c r="R70" s="202">
        <f t="shared" si="20"/>
        <v>85.763876894815212</v>
      </c>
      <c r="S70" s="202">
        <f t="shared" si="21"/>
        <v>63.536298620579814</v>
      </c>
      <c r="T70" s="199" t="str">
        <f t="shared" si="30"/>
        <v>-text 451056.2906,3044269.5983 7 0 IP50</v>
      </c>
      <c r="U70" s="199" t="str">
        <f t="shared" si="27"/>
        <v>dt 451056.2906,3044269.5983 5 0 IP50(451056.2906,3044269.5983)*</v>
      </c>
      <c r="V70" s="211"/>
      <c r="W70" s="209" t="str">
        <f t="shared" si="28"/>
        <v>dt 451046.2906,3044259.5983 5 0 R=13*T=3.063*S=6.017*α=26.522*</v>
      </c>
    </row>
    <row r="71" spans="1:23" x14ac:dyDescent="0.25">
      <c r="A71" s="199">
        <f t="shared" si="31"/>
        <v>50</v>
      </c>
      <c r="B71" s="199" t="str">
        <f t="shared" si="32"/>
        <v>三流量段末(3#斗门)</v>
      </c>
      <c r="C71" s="199" t="s">
        <v>602</v>
      </c>
      <c r="D71" s="199">
        <v>70</v>
      </c>
      <c r="E71" s="204">
        <f>中心线!D73</f>
        <v>451051.7818</v>
      </c>
      <c r="F71" s="204">
        <f>中心线!E73</f>
        <v>3044180.8851999999</v>
      </c>
      <c r="G71" s="201">
        <v>0</v>
      </c>
      <c r="H71" s="202">
        <f t="shared" si="33"/>
        <v>0</v>
      </c>
      <c r="I71" s="202">
        <f t="shared" si="25"/>
        <v>0</v>
      </c>
      <c r="J71" s="202">
        <f t="shared" si="26"/>
        <v>0</v>
      </c>
      <c r="K71" s="202">
        <f t="shared" si="34"/>
        <v>88.827604882156947</v>
      </c>
      <c r="L71" s="202">
        <f t="shared" si="22"/>
        <v>4567.0485905374671</v>
      </c>
      <c r="M71" s="202">
        <f t="shared" si="23"/>
        <v>4567.0485905374671</v>
      </c>
      <c r="N71" s="202">
        <f t="shared" si="24"/>
        <v>4567.0485905374671</v>
      </c>
      <c r="O71" s="202" t="str">
        <f t="shared" si="29"/>
        <v>circle 451051.7818,3044180.8852 1</v>
      </c>
      <c r="Q71" s="208">
        <f t="shared" si="19"/>
        <v>88.827604882156947</v>
      </c>
      <c r="R71" s="202">
        <f t="shared" si="20"/>
        <v>34.021960681398184</v>
      </c>
      <c r="S71" s="202">
        <f t="shared" si="21"/>
        <v>85.763876894815212</v>
      </c>
      <c r="T71" s="199" t="str">
        <f t="shared" si="30"/>
        <v>-text 451051.7818,3044180.8852 7 0 三流量段末(3#斗门)</v>
      </c>
      <c r="U71" s="199" t="str">
        <f t="shared" si="27"/>
        <v>dt 451051.7818,3044180.8852 5 0 三流量段末(3#斗门)(451051.7818,3044180.8852)*</v>
      </c>
      <c r="V71" s="211"/>
      <c r="W71" s="209" t="str">
        <f t="shared" si="28"/>
        <v>dt 451041.7818,3044170.8852 5 0 R=0*T=0*S=0*α=0*</v>
      </c>
    </row>
    <row r="72" spans="1:23" x14ac:dyDescent="0.25">
      <c r="A72" s="199">
        <f t="shared" si="31"/>
        <v>51</v>
      </c>
      <c r="B72" s="199" t="str">
        <f t="shared" si="32"/>
        <v>IP51</v>
      </c>
      <c r="C72" s="206"/>
      <c r="D72" s="199">
        <v>71</v>
      </c>
      <c r="E72" s="204">
        <f>中心线!D74</f>
        <v>451050.05479999998</v>
      </c>
      <c r="F72" s="204">
        <f>中心线!E74</f>
        <v>3044146.9071</v>
      </c>
      <c r="G72" s="201">
        <v>13</v>
      </c>
      <c r="H72" s="202">
        <f t="shared" si="33"/>
        <v>35.354999999999997</v>
      </c>
      <c r="I72" s="202">
        <f t="shared" si="25"/>
        <v>4.1432048811914477</v>
      </c>
      <c r="J72" s="202">
        <f t="shared" si="26"/>
        <v>8.0217950415537373</v>
      </c>
      <c r="K72" s="202">
        <f t="shared" si="34"/>
        <v>34.021960681398184</v>
      </c>
      <c r="L72" s="202">
        <f t="shared" si="22"/>
        <v>4596.927346337674</v>
      </c>
      <c r="M72" s="202">
        <f t="shared" si="23"/>
        <v>4600.9382438584507</v>
      </c>
      <c r="N72" s="202">
        <f t="shared" si="24"/>
        <v>4604.9491413792275</v>
      </c>
      <c r="O72" s="202" t="str">
        <f t="shared" si="29"/>
        <v>circle 451050.0548,3044146.9071 1</v>
      </c>
      <c r="Q72" s="208">
        <f t="shared" si="19"/>
        <v>29.878755800206736</v>
      </c>
      <c r="R72" s="202">
        <f t="shared" si="20"/>
        <v>39.003680439895007</v>
      </c>
      <c r="S72" s="202">
        <f t="shared" si="21"/>
        <v>29.878755800206736</v>
      </c>
      <c r="T72" s="199" t="str">
        <f t="shared" si="30"/>
        <v>-text 451050.0548,3044146.9071 7 0 IP51</v>
      </c>
      <c r="U72" s="199" t="str">
        <f t="shared" si="27"/>
        <v>dt 451050.0548,3044146.9071 5 0 IP51(451050.0548,3044146.9071)*</v>
      </c>
      <c r="V72" s="211"/>
      <c r="W72" s="209" t="str">
        <f t="shared" si="28"/>
        <v>dt 451040.0548,3044136.9071 5 0 R=13*T=4.143*S=8.021*α=35.355*</v>
      </c>
    </row>
    <row r="73" spans="1:23" x14ac:dyDescent="0.25">
      <c r="A73" s="199">
        <f t="shared" si="31"/>
        <v>52</v>
      </c>
      <c r="B73" s="199" t="str">
        <f t="shared" si="32"/>
        <v>IP52</v>
      </c>
      <c r="C73" s="199"/>
      <c r="D73" s="199">
        <v>72</v>
      </c>
      <c r="E73" s="204">
        <f>中心线!D75</f>
        <v>451023.33409999998</v>
      </c>
      <c r="F73" s="204">
        <f>中心线!E75</f>
        <v>3044113.03</v>
      </c>
      <c r="G73" s="201">
        <v>13</v>
      </c>
      <c r="H73" s="202">
        <f t="shared" si="33"/>
        <v>62.375999999999998</v>
      </c>
      <c r="I73" s="202">
        <f t="shared" si="25"/>
        <v>7.8693589792532901</v>
      </c>
      <c r="J73" s="202">
        <f t="shared" si="26"/>
        <v>14.152665464911777</v>
      </c>
      <c r="K73" s="202">
        <f t="shared" si="34"/>
        <v>43.146885321086451</v>
      </c>
      <c r="L73" s="202">
        <f t="shared" si="22"/>
        <v>4636.0834628398698</v>
      </c>
      <c r="M73" s="202">
        <f t="shared" si="23"/>
        <v>4643.1597955723255</v>
      </c>
      <c r="N73" s="202">
        <f t="shared" si="24"/>
        <v>4650.2361283047812</v>
      </c>
      <c r="O73" s="202" t="str">
        <f t="shared" si="29"/>
        <v>circle 451023.3341,3044113.03 1</v>
      </c>
      <c r="Q73" s="208">
        <f t="shared" si="19"/>
        <v>35.277526341833159</v>
      </c>
      <c r="R73" s="202">
        <f t="shared" si="20"/>
        <v>43.942397845829824</v>
      </c>
      <c r="S73" s="202">
        <f t="shared" si="21"/>
        <v>31.134321460641715</v>
      </c>
      <c r="T73" s="199" t="str">
        <f t="shared" si="30"/>
        <v>-text 451023.3341,3044113.03 7 0 IP52</v>
      </c>
      <c r="U73" s="199" t="str">
        <f t="shared" si="27"/>
        <v>dt 451023.3341,3044113.03 5 0 IP52(451023.3341,3044113.03)*</v>
      </c>
      <c r="V73" s="211"/>
      <c r="W73" s="209" t="str">
        <f t="shared" si="28"/>
        <v>dt 451013.3341,3044103.03 5 0 R=13*T=7.869*S=14.152*α=62.376*</v>
      </c>
    </row>
    <row r="74" spans="1:23" x14ac:dyDescent="0.25">
      <c r="A74" s="199">
        <f t="shared" si="31"/>
        <v>53</v>
      </c>
      <c r="B74" s="199" t="str">
        <f t="shared" si="32"/>
        <v>IP53</v>
      </c>
      <c r="C74" s="199"/>
      <c r="D74" s="199">
        <v>73</v>
      </c>
      <c r="E74" s="204">
        <f>中心线!D76</f>
        <v>451044.4999</v>
      </c>
      <c r="F74" s="204">
        <f>中心线!E76</f>
        <v>3044065.7387000001</v>
      </c>
      <c r="G74" s="201">
        <v>13</v>
      </c>
      <c r="H74" s="202">
        <f t="shared" si="33"/>
        <v>30.152000000000001</v>
      </c>
      <c r="I74" s="202">
        <f t="shared" si="25"/>
        <v>3.5018279896031701</v>
      </c>
      <c r="J74" s="202">
        <f t="shared" si="26"/>
        <v>6.8412717887972931</v>
      </c>
      <c r="K74" s="202">
        <f t="shared" si="34"/>
        <v>51.811756825083116</v>
      </c>
      <c r="L74" s="202">
        <f t="shared" si="22"/>
        <v>4690.6766981610081</v>
      </c>
      <c r="M74" s="202">
        <f t="shared" si="23"/>
        <v>4694.0973340554065</v>
      </c>
      <c r="N74" s="202">
        <f t="shared" si="24"/>
        <v>4697.5179699498058</v>
      </c>
      <c r="O74" s="202" t="str">
        <f t="shared" si="29"/>
        <v>circle 451044.4999,3044065.7387 1</v>
      </c>
      <c r="Q74" s="208">
        <f t="shared" si="19"/>
        <v>48.309928835479944</v>
      </c>
      <c r="R74" s="202">
        <f t="shared" si="20"/>
        <v>76.867472455650997</v>
      </c>
      <c r="S74" s="202">
        <f t="shared" si="21"/>
        <v>40.440569856226652</v>
      </c>
      <c r="T74" s="199" t="str">
        <f t="shared" si="30"/>
        <v>-text 451044.4999,3044065.7387 7 0 IP53</v>
      </c>
      <c r="U74" s="199" t="str">
        <f t="shared" si="27"/>
        <v>dt 451044.4999,3044065.7387 5 0 IP53(451044.4999,3044065.7387)*</v>
      </c>
      <c r="V74" s="211"/>
      <c r="W74" s="209" t="str">
        <f t="shared" si="28"/>
        <v>dt 451034.4999,3044055.7387 5 0 R=13*T=3.501*S=6.841*α=30.152*</v>
      </c>
    </row>
    <row r="75" spans="1:23" x14ac:dyDescent="0.25">
      <c r="A75" s="199">
        <f t="shared" si="31"/>
        <v>53</v>
      </c>
      <c r="B75" s="199" t="str">
        <f t="shared" si="32"/>
        <v>6#倒虹吸进</v>
      </c>
      <c r="C75" s="199" t="s">
        <v>603</v>
      </c>
      <c r="D75" s="199">
        <v>74</v>
      </c>
      <c r="E75" s="204">
        <f>中心线!D77</f>
        <v>451036.0428</v>
      </c>
      <c r="F75" s="204">
        <f>中心线!E77</f>
        <v>3043985.8155999999</v>
      </c>
      <c r="G75" s="201">
        <v>0</v>
      </c>
      <c r="H75" s="202">
        <f t="shared" si="33"/>
        <v>0</v>
      </c>
      <c r="I75" s="202">
        <f t="shared" si="25"/>
        <v>0</v>
      </c>
      <c r="J75" s="202">
        <f t="shared" si="26"/>
        <v>0</v>
      </c>
      <c r="K75" s="202">
        <f t="shared" si="34"/>
        <v>80.369300445254169</v>
      </c>
      <c r="L75" s="202">
        <f t="shared" si="22"/>
        <v>4774.3854424054562</v>
      </c>
      <c r="M75" s="202">
        <f t="shared" si="23"/>
        <v>4774.3854424054562</v>
      </c>
      <c r="N75" s="202">
        <f t="shared" si="24"/>
        <v>4774.3854424054562</v>
      </c>
      <c r="O75" s="202" t="str">
        <f t="shared" si="29"/>
        <v>circle 451036.0428,3043985.8156 1</v>
      </c>
      <c r="Q75" s="208">
        <f t="shared" si="19"/>
        <v>80.369300445254169</v>
      </c>
      <c r="R75" s="202">
        <f t="shared" si="20"/>
        <v>500.47748503062326</v>
      </c>
      <c r="S75" s="202">
        <f t="shared" si="21"/>
        <v>76.867472455650997</v>
      </c>
      <c r="T75" s="199" t="str">
        <f t="shared" si="30"/>
        <v>-text 451036.0428,3043985.8156 7 0 6#倒虹吸进</v>
      </c>
      <c r="U75" s="199" t="str">
        <f t="shared" si="27"/>
        <v>dt 451036.0428,3043985.8156 5 0 6#倒虹吸进(451036.0428,3043985.8156)*</v>
      </c>
      <c r="V75" s="211"/>
      <c r="W75" s="209" t="str">
        <f t="shared" si="28"/>
        <v>dt 451026.0428,3043975.8156 5 0 R=0*T=0*S=0*α=0*</v>
      </c>
    </row>
    <row r="76" spans="1:23" x14ac:dyDescent="0.25">
      <c r="A76" s="199">
        <f t="shared" si="31"/>
        <v>53</v>
      </c>
      <c r="B76" s="199" t="str">
        <f t="shared" si="32"/>
        <v>6#倒虹吸出</v>
      </c>
      <c r="C76" s="199" t="s">
        <v>604</v>
      </c>
      <c r="D76" s="199">
        <v>75</v>
      </c>
      <c r="E76" s="204">
        <f>中心线!D78</f>
        <v>450983.3786</v>
      </c>
      <c r="F76" s="204">
        <f>中心线!E78</f>
        <v>3043488.1167000001</v>
      </c>
      <c r="G76" s="201">
        <v>0</v>
      </c>
      <c r="H76" s="202">
        <f t="shared" si="33"/>
        <v>0</v>
      </c>
      <c r="I76" s="202">
        <f t="shared" si="25"/>
        <v>0</v>
      </c>
      <c r="J76" s="202">
        <f t="shared" si="26"/>
        <v>0</v>
      </c>
      <c r="K76" s="202">
        <f t="shared" si="34"/>
        <v>500.47748503062326</v>
      </c>
      <c r="L76" s="202">
        <f t="shared" si="22"/>
        <v>5274.8629274360792</v>
      </c>
      <c r="M76" s="202">
        <f t="shared" si="23"/>
        <v>5274.8629274360792</v>
      </c>
      <c r="N76" s="202">
        <f t="shared" si="24"/>
        <v>5274.8629274360792</v>
      </c>
      <c r="O76" s="202" t="str">
        <f t="shared" si="29"/>
        <v>circle 450983.3786,3043488.1167 1</v>
      </c>
      <c r="Q76" s="208">
        <f t="shared" si="19"/>
        <v>500.47748503062326</v>
      </c>
      <c r="R76" s="202">
        <f t="shared" si="20"/>
        <v>12.067692096462039</v>
      </c>
      <c r="S76" s="202">
        <f t="shared" si="21"/>
        <v>500.47748503062326</v>
      </c>
      <c r="T76" s="199" t="str">
        <f t="shared" si="30"/>
        <v>-text 450983.3786,3043488.1167 7 0 6#倒虹吸出</v>
      </c>
      <c r="U76" s="199" t="str">
        <f t="shared" si="27"/>
        <v>dt 450983.3786,3043488.1167 5 0 6#倒虹吸出(450983.3786,3043488.1167)*</v>
      </c>
      <c r="V76" s="211"/>
      <c r="W76" s="209" t="str">
        <f t="shared" si="28"/>
        <v>dt 450973.3786,3043478.1167 5 0 R=0*T=0*S=0*α=0*</v>
      </c>
    </row>
    <row r="77" spans="1:23" x14ac:dyDescent="0.25">
      <c r="A77" s="199">
        <f t="shared" si="31"/>
        <v>54</v>
      </c>
      <c r="B77" s="199" t="str">
        <f t="shared" si="32"/>
        <v>IP54</v>
      </c>
      <c r="C77" s="206"/>
      <c r="D77" s="199">
        <v>76</v>
      </c>
      <c r="E77" s="204">
        <f>中心线!D79</f>
        <v>450982.10879999999</v>
      </c>
      <c r="F77" s="204">
        <f>中心线!E79</f>
        <v>3043476.1159999999</v>
      </c>
      <c r="G77" s="201">
        <v>13</v>
      </c>
      <c r="H77" s="202">
        <f t="shared" si="33"/>
        <v>71.61</v>
      </c>
      <c r="I77" s="202">
        <f t="shared" si="25"/>
        <v>9.3776203803202467</v>
      </c>
      <c r="J77" s="202">
        <f t="shared" si="26"/>
        <v>16.247793605590815</v>
      </c>
      <c r="K77" s="202">
        <f t="shared" si="34"/>
        <v>12.067692096462039</v>
      </c>
      <c r="L77" s="202">
        <f t="shared" si="22"/>
        <v>5277.5529991522217</v>
      </c>
      <c r="M77" s="202">
        <f t="shared" si="23"/>
        <v>5285.6768959550172</v>
      </c>
      <c r="N77" s="202">
        <f t="shared" si="24"/>
        <v>5293.8007927578128</v>
      </c>
      <c r="O77" s="202" t="str">
        <f t="shared" si="29"/>
        <v>circle 450982.1088,3043476.116 1</v>
      </c>
      <c r="Q77" s="208">
        <f t="shared" si="19"/>
        <v>2.6900717161417926</v>
      </c>
      <c r="R77" s="202">
        <f t="shared" si="20"/>
        <v>77.680465700403829</v>
      </c>
      <c r="S77" s="202">
        <f t="shared" si="21"/>
        <v>2.6900717161417926</v>
      </c>
      <c r="T77" s="199" t="str">
        <f t="shared" si="30"/>
        <v>-text 450982.1088,3043476.116 7 0 IP54</v>
      </c>
      <c r="U77" s="199" t="str">
        <f t="shared" si="27"/>
        <v>dt 450982.1088,3043476.116 5 0 IP54(450982.1088,3043476.116)*</v>
      </c>
      <c r="V77" s="211"/>
      <c r="W77" s="209" t="str">
        <f t="shared" si="28"/>
        <v>dt 450972.1088,3043466.116 5 0 R=13*T=9.377*S=16.247*α=71.61*</v>
      </c>
    </row>
    <row r="78" spans="1:23" x14ac:dyDescent="0.25">
      <c r="A78" s="199">
        <f t="shared" si="31"/>
        <v>55</v>
      </c>
      <c r="B78" s="199" t="str">
        <f t="shared" si="32"/>
        <v>IP55</v>
      </c>
      <c r="C78" s="206"/>
      <c r="D78" s="199">
        <v>77</v>
      </c>
      <c r="E78" s="204">
        <f>中心线!D80</f>
        <v>450897.06540000002</v>
      </c>
      <c r="F78" s="204">
        <f>中心线!E80</f>
        <v>3043457.4953000001</v>
      </c>
      <c r="G78" s="201">
        <v>13</v>
      </c>
      <c r="H78" s="202">
        <f t="shared" si="33"/>
        <v>71.929000000000002</v>
      </c>
      <c r="I78" s="202">
        <f t="shared" si="25"/>
        <v>9.4327519217691105</v>
      </c>
      <c r="J78" s="202">
        <f t="shared" si="26"/>
        <v>16.320172409671017</v>
      </c>
      <c r="K78" s="202">
        <f t="shared" si="34"/>
        <v>87.058086080724081</v>
      </c>
      <c r="L78" s="202">
        <f t="shared" si="22"/>
        <v>5362.0485065364473</v>
      </c>
      <c r="M78" s="202">
        <f t="shared" si="23"/>
        <v>5370.2085927412827</v>
      </c>
      <c r="N78" s="202">
        <f t="shared" si="24"/>
        <v>5378.3686789461181</v>
      </c>
      <c r="O78" s="202" t="str">
        <f t="shared" si="29"/>
        <v>circle 450897.0654,3043457.4953 1</v>
      </c>
      <c r="Q78" s="208">
        <f t="shared" si="19"/>
        <v>77.625334158954971</v>
      </c>
      <c r="R78" s="202">
        <f t="shared" si="20"/>
        <v>40.208092086539608</v>
      </c>
      <c r="S78" s="202">
        <f t="shared" si="21"/>
        <v>68.247713778634719</v>
      </c>
      <c r="T78" s="199" t="str">
        <f t="shared" si="30"/>
        <v>-text 450897.0654,3043457.4953 7 0 IP55</v>
      </c>
      <c r="U78" s="199" t="str">
        <f t="shared" si="27"/>
        <v>dt 450897.0654,3043457.4953 5 0 IP55(450897.0654,3043457.4953)*</v>
      </c>
      <c r="V78" s="211"/>
      <c r="W78" s="209" t="str">
        <f t="shared" si="28"/>
        <v>dt 450887.0654,3043447.4953 5 0 R=13*T=9.432*S=16.32*α=71.929*</v>
      </c>
    </row>
    <row r="79" spans="1:23" x14ac:dyDescent="0.25">
      <c r="A79" s="199">
        <f t="shared" si="31"/>
        <v>56</v>
      </c>
      <c r="B79" s="199" t="str">
        <f t="shared" si="32"/>
        <v>IP56</v>
      </c>
      <c r="C79" s="206"/>
      <c r="D79" s="199">
        <v>78</v>
      </c>
      <c r="E79" s="204">
        <f>中心线!D81</f>
        <v>450892.11709999997</v>
      </c>
      <c r="F79" s="204">
        <f>中心线!E81</f>
        <v>3043408.1017</v>
      </c>
      <c r="G79" s="201">
        <v>13</v>
      </c>
      <c r="H79" s="202">
        <f t="shared" si="33"/>
        <v>51.826999999999998</v>
      </c>
      <c r="I79" s="202">
        <f t="shared" si="25"/>
        <v>6.3162465341646294</v>
      </c>
      <c r="J79" s="202">
        <f t="shared" si="26"/>
        <v>11.759173288604314</v>
      </c>
      <c r="K79" s="202">
        <f t="shared" si="34"/>
        <v>49.640844008308719</v>
      </c>
      <c r="L79" s="202">
        <f t="shared" si="22"/>
        <v>5412.2605244984925</v>
      </c>
      <c r="M79" s="202">
        <f t="shared" si="23"/>
        <v>5418.1401111427949</v>
      </c>
      <c r="N79" s="202">
        <f t="shared" si="24"/>
        <v>5424.0196977870964</v>
      </c>
      <c r="O79" s="202" t="str">
        <f t="shared" si="29"/>
        <v>circle 450892.1171,3043408.1017 1</v>
      </c>
      <c r="Q79" s="208">
        <f t="shared" si="19"/>
        <v>43.324597474144092</v>
      </c>
      <c r="R79" s="202">
        <f t="shared" si="20"/>
        <v>48.137734000089146</v>
      </c>
      <c r="S79" s="202">
        <f t="shared" si="21"/>
        <v>33.891845552374981</v>
      </c>
      <c r="T79" s="199" t="str">
        <f t="shared" si="30"/>
        <v>-text 450892.1171,3043408.1017 7 0 IP56</v>
      </c>
      <c r="U79" s="199" t="str">
        <f t="shared" si="27"/>
        <v>dt 450892.1171,3043408.1017 5 0 IP56(450892.1171,3043408.1017)*</v>
      </c>
      <c r="V79" s="211"/>
      <c r="W79" s="209" t="str">
        <f t="shared" si="28"/>
        <v>dt 450882.1171,3043398.1017 5 0 R=13*T=6.316*S=11.759*α=51.827*</v>
      </c>
    </row>
    <row r="80" spans="1:23" x14ac:dyDescent="0.25">
      <c r="A80" s="199">
        <f t="shared" si="31"/>
        <v>57</v>
      </c>
      <c r="B80" s="199" t="str">
        <f t="shared" si="32"/>
        <v>IP57</v>
      </c>
      <c r="C80" s="199"/>
      <c r="D80" s="199">
        <v>79</v>
      </c>
      <c r="E80" s="204">
        <f>中心线!D82</f>
        <v>450931.35820000002</v>
      </c>
      <c r="F80" s="204">
        <f>中心线!E82</f>
        <v>3043370.3476</v>
      </c>
      <c r="G80" s="201">
        <v>13</v>
      </c>
      <c r="H80" s="202">
        <f t="shared" si="33"/>
        <v>57.619</v>
      </c>
      <c r="I80" s="202">
        <f t="shared" si="25"/>
        <v>7.1496176676357441</v>
      </c>
      <c r="J80" s="202">
        <f t="shared" si="26"/>
        <v>13.073336402185964</v>
      </c>
      <c r="K80" s="202">
        <f t="shared" si="34"/>
        <v>54.453980534253773</v>
      </c>
      <c r="L80" s="202">
        <f t="shared" si="22"/>
        <v>5465.0078141195509</v>
      </c>
      <c r="M80" s="202">
        <f t="shared" si="23"/>
        <v>5471.5444823206435</v>
      </c>
      <c r="N80" s="202">
        <f t="shared" si="24"/>
        <v>5478.0811505217371</v>
      </c>
      <c r="O80" s="202" t="str">
        <f t="shared" si="29"/>
        <v>circle 450931.3582,3043370.3476 1</v>
      </c>
      <c r="Q80" s="208">
        <f t="shared" si="19"/>
        <v>47.304362866618028</v>
      </c>
      <c r="R80" s="202">
        <f t="shared" si="20"/>
        <v>51.945934964598749</v>
      </c>
      <c r="S80" s="202">
        <f t="shared" si="21"/>
        <v>40.988116332453401</v>
      </c>
      <c r="T80" s="199" t="str">
        <f t="shared" si="30"/>
        <v>-text 450931.3582,3043370.3476 7 0 IP57</v>
      </c>
      <c r="U80" s="199" t="str">
        <f t="shared" si="27"/>
        <v>dt 450931.3582,3043370.3476 5 0 IP57(450931.3582,3043370.3476)*</v>
      </c>
      <c r="V80" s="211"/>
      <c r="W80" s="209" t="str">
        <f t="shared" si="28"/>
        <v>dt 450921.3582,3043360.3476 5 0 R=13*T=7.149*S=13.073*α=57.619*</v>
      </c>
    </row>
    <row r="81" spans="1:23" x14ac:dyDescent="0.25">
      <c r="A81" s="199">
        <f t="shared" si="31"/>
        <v>58</v>
      </c>
      <c r="B81" s="199" t="str">
        <f t="shared" si="32"/>
        <v>IP58</v>
      </c>
      <c r="C81" s="199"/>
      <c r="D81" s="199">
        <v>80</v>
      </c>
      <c r="E81" s="204">
        <f>中心线!D83</f>
        <v>450919.56420000002</v>
      </c>
      <c r="F81" s="204">
        <f>中心线!E83</f>
        <v>3043312.4408999998</v>
      </c>
      <c r="G81" s="201">
        <v>13</v>
      </c>
      <c r="H81" s="202">
        <f t="shared" si="33"/>
        <v>43.857999999999997</v>
      </c>
      <c r="I81" s="202">
        <f t="shared" si="25"/>
        <v>5.2336112631124436</v>
      </c>
      <c r="J81" s="202">
        <f t="shared" si="26"/>
        <v>9.9510645434157485</v>
      </c>
      <c r="K81" s="202">
        <f t="shared" si="34"/>
        <v>59.095552632234494</v>
      </c>
      <c r="L81" s="202">
        <f t="shared" si="22"/>
        <v>5524.7934742232219</v>
      </c>
      <c r="M81" s="202">
        <f t="shared" si="23"/>
        <v>5529.7690064949302</v>
      </c>
      <c r="N81" s="202">
        <f t="shared" si="24"/>
        <v>5534.7445387666376</v>
      </c>
      <c r="O81" s="202" t="str">
        <f t="shared" si="29"/>
        <v>circle 450919.5642,3043312.4409 1</v>
      </c>
      <c r="Q81" s="208">
        <f t="shared" si="19"/>
        <v>53.86194136912205</v>
      </c>
      <c r="R81" s="202">
        <f t="shared" si="20"/>
        <v>61.637289494290407</v>
      </c>
      <c r="S81" s="202">
        <f t="shared" si="21"/>
        <v>46.712323701486305</v>
      </c>
      <c r="T81" s="199" t="str">
        <f t="shared" si="30"/>
        <v>-text 450919.5642,3043312.4409 7 0 IP58</v>
      </c>
      <c r="U81" s="199" t="str">
        <f t="shared" si="27"/>
        <v>dt 450919.5642,3043312.4409 5 0 IP58(450919.5642,3043312.4409)*</v>
      </c>
      <c r="V81" s="211"/>
      <c r="W81" s="209" t="str">
        <f t="shared" si="28"/>
        <v>dt 450909.5642,3043302.4409 5 0 R=13*T=5.233*S=9.951*α=43.858*</v>
      </c>
    </row>
    <row r="82" spans="1:23" x14ac:dyDescent="0.25">
      <c r="A82" s="199">
        <f t="shared" si="31"/>
        <v>59</v>
      </c>
      <c r="B82" s="199" t="str">
        <f t="shared" si="32"/>
        <v>IP59</v>
      </c>
      <c r="C82" s="206"/>
      <c r="D82" s="199">
        <v>81</v>
      </c>
      <c r="E82" s="204">
        <f>中心线!D84</f>
        <v>450864.5404</v>
      </c>
      <c r="F82" s="204">
        <f>中心线!E84</f>
        <v>3043274.4396000002</v>
      </c>
      <c r="G82" s="201">
        <v>13</v>
      </c>
      <c r="H82" s="202">
        <f t="shared" si="33"/>
        <v>33.929000000000002</v>
      </c>
      <c r="I82" s="202">
        <f t="shared" si="25"/>
        <v>3.9656929490661281</v>
      </c>
      <c r="J82" s="202">
        <f t="shared" si="26"/>
        <v>7.6982459048190295</v>
      </c>
      <c r="K82" s="202">
        <f t="shared" si="34"/>
        <v>66.87090075740285</v>
      </c>
      <c r="L82" s="202">
        <f t="shared" si="22"/>
        <v>5592.4161353118616</v>
      </c>
      <c r="M82" s="202">
        <f t="shared" si="23"/>
        <v>5596.2652582642713</v>
      </c>
      <c r="N82" s="202">
        <f t="shared" si="24"/>
        <v>5600.1143812166802</v>
      </c>
      <c r="O82" s="202" t="str">
        <f t="shared" si="29"/>
        <v>circle 450864.5404,3043274.4396 1</v>
      </c>
      <c r="Q82" s="208">
        <f t="shared" si="19"/>
        <v>62.905207808336719</v>
      </c>
      <c r="R82" s="202">
        <f t="shared" si="20"/>
        <v>100.53038955436358</v>
      </c>
      <c r="S82" s="202">
        <f t="shared" si="21"/>
        <v>57.671596545224276</v>
      </c>
      <c r="T82" s="199" t="str">
        <f t="shared" si="30"/>
        <v>-text 450864.5404,3043274.4396 7 0 IP59</v>
      </c>
      <c r="U82" s="199" t="str">
        <f t="shared" si="27"/>
        <v>dt 450864.5404,3043274.4396 5 0 IP59(450864.5404,3043274.4396)*</v>
      </c>
      <c r="V82" s="211"/>
      <c r="W82" s="209" t="str">
        <f t="shared" si="28"/>
        <v>dt 450854.5404,3043264.4396 5 0 R=13*T=3.965*S=7.698*α=33.929*</v>
      </c>
    </row>
    <row r="83" spans="1:23" x14ac:dyDescent="0.25">
      <c r="A83" s="199">
        <f t="shared" si="31"/>
        <v>60</v>
      </c>
      <c r="B83" s="199" t="str">
        <f t="shared" si="32"/>
        <v>IP60</v>
      </c>
      <c r="C83" s="206"/>
      <c r="D83" s="199">
        <v>82</v>
      </c>
      <c r="E83" s="204">
        <f>中心线!D85</f>
        <v>450826.34240000002</v>
      </c>
      <c r="F83" s="204">
        <f>中心线!E85</f>
        <v>3043177.1752999998</v>
      </c>
      <c r="G83" s="201">
        <v>13</v>
      </c>
      <c r="H83" s="202">
        <f t="shared" si="33"/>
        <v>40.753999999999998</v>
      </c>
      <c r="I83" s="202">
        <f t="shared" si="25"/>
        <v>4.828717253926877</v>
      </c>
      <c r="J83" s="202">
        <f t="shared" si="26"/>
        <v>9.2467892836509975</v>
      </c>
      <c r="K83" s="202">
        <f t="shared" si="34"/>
        <v>104.4960825034297</v>
      </c>
      <c r="L83" s="202">
        <f t="shared" si="22"/>
        <v>5695.8160535171173</v>
      </c>
      <c r="M83" s="202">
        <f t="shared" si="23"/>
        <v>5700.4394481589425</v>
      </c>
      <c r="N83" s="202">
        <f t="shared" si="24"/>
        <v>5705.0628428007685</v>
      </c>
      <c r="O83" s="202" t="str">
        <f t="shared" si="29"/>
        <v>circle 450826.3424,3043177.1753 1</v>
      </c>
      <c r="Q83" s="208">
        <f t="shared" si="19"/>
        <v>99.667365249502822</v>
      </c>
      <c r="R83" s="202">
        <f t="shared" si="20"/>
        <v>23.049085403273352</v>
      </c>
      <c r="S83" s="202">
        <f t="shared" si="21"/>
        <v>95.701672300436698</v>
      </c>
      <c r="T83" s="199" t="str">
        <f t="shared" si="30"/>
        <v>-text 450826.3424,3043177.1753 7 0 IP60</v>
      </c>
      <c r="U83" s="199" t="str">
        <f t="shared" si="27"/>
        <v>dt 450826.3424,3043177.1753 5 0 IP60(450826.3424,3043177.1753)*</v>
      </c>
      <c r="V83" s="211"/>
      <c r="W83" s="209" t="str">
        <f t="shared" si="28"/>
        <v>dt 450816.3424,3043167.1753 5 0 R=13*T=4.828*S=9.246*α=40.754*</v>
      </c>
    </row>
    <row r="84" spans="1:23" x14ac:dyDescent="0.25">
      <c r="A84" s="199">
        <f t="shared" si="31"/>
        <v>61</v>
      </c>
      <c r="B84" s="199" t="str">
        <f t="shared" si="32"/>
        <v>IP61</v>
      </c>
      <c r="C84" s="199"/>
      <c r="D84" s="199">
        <v>83</v>
      </c>
      <c r="E84" s="204">
        <f>中心线!D86</f>
        <v>450835.5624</v>
      </c>
      <c r="F84" s="204">
        <f>中心线!E86</f>
        <v>3043150.8662999999</v>
      </c>
      <c r="G84" s="201">
        <v>13</v>
      </c>
      <c r="H84" s="202">
        <f t="shared" si="33"/>
        <v>31.888999999999999</v>
      </c>
      <c r="I84" s="202">
        <f t="shared" si="25"/>
        <v>3.7140658480438122</v>
      </c>
      <c r="J84" s="202">
        <f t="shared" si="26"/>
        <v>7.2353845871901319</v>
      </c>
      <c r="K84" s="202">
        <f t="shared" si="34"/>
        <v>27.877802657200231</v>
      </c>
      <c r="L84" s="202">
        <f t="shared" si="22"/>
        <v>5724.3978623559969</v>
      </c>
      <c r="M84" s="202">
        <f t="shared" si="23"/>
        <v>5728.0155546495916</v>
      </c>
      <c r="N84" s="202">
        <f t="shared" si="24"/>
        <v>5731.6332469431873</v>
      </c>
      <c r="O84" s="202" t="str">
        <f t="shared" si="29"/>
        <v>circle 450835.5624,3043150.8663 1</v>
      </c>
      <c r="Q84" s="208">
        <f t="shared" ref="Q84:Q147" si="35">K84-I84</f>
        <v>24.163736809156418</v>
      </c>
      <c r="R84" s="202">
        <f t="shared" ref="R84:R147" si="36">K85-I84</f>
        <v>62.827075537234727</v>
      </c>
      <c r="S84" s="202">
        <f t="shared" ref="S84:S147" si="37">K84-I83-I84</f>
        <v>19.33501955522954</v>
      </c>
      <c r="T84" s="199" t="str">
        <f t="shared" si="30"/>
        <v>-text 450835.5624,3043150.8663 7 0 IP61</v>
      </c>
      <c r="U84" s="199" t="str">
        <f t="shared" si="27"/>
        <v>dt 450835.5624,3043150.8663 5 0 IP61(450835.5624,3043150.8663)*</v>
      </c>
      <c r="V84" s="211"/>
      <c r="W84" s="209" t="str">
        <f t="shared" si="28"/>
        <v>dt 450825.5624,3043140.8663 5 0 R=13*T=3.714*S=7.235*α=31.889*</v>
      </c>
    </row>
    <row r="85" spans="1:23" x14ac:dyDescent="0.25">
      <c r="A85" s="199">
        <f t="shared" si="31"/>
        <v>61</v>
      </c>
      <c r="B85" s="199" t="str">
        <f t="shared" si="32"/>
        <v>7#倒虹吸进</v>
      </c>
      <c r="C85" s="206" t="s">
        <v>605</v>
      </c>
      <c r="D85" s="199">
        <v>84</v>
      </c>
      <c r="E85" s="204">
        <f>中心线!D87</f>
        <v>450821.07370000001</v>
      </c>
      <c r="F85" s="204">
        <f>中心线!E87</f>
        <v>3043085.9216999998</v>
      </c>
      <c r="G85" s="201">
        <v>0</v>
      </c>
      <c r="H85" s="202">
        <f t="shared" si="33"/>
        <v>0</v>
      </c>
      <c r="I85" s="202">
        <f t="shared" si="25"/>
        <v>0</v>
      </c>
      <c r="J85" s="202">
        <f t="shared" si="26"/>
        <v>0</v>
      </c>
      <c r="K85" s="202">
        <f t="shared" si="34"/>
        <v>66.541141385278536</v>
      </c>
      <c r="L85" s="202">
        <f t="shared" si="22"/>
        <v>5794.4603224804214</v>
      </c>
      <c r="M85" s="202">
        <f t="shared" si="23"/>
        <v>5794.4603224804214</v>
      </c>
      <c r="N85" s="202">
        <f t="shared" si="24"/>
        <v>5794.4603224804214</v>
      </c>
      <c r="O85" s="202" t="str">
        <f t="shared" si="29"/>
        <v>circle 450821.0737,3043085.9217 1</v>
      </c>
      <c r="Q85" s="208">
        <f t="shared" si="35"/>
        <v>66.541141385278536</v>
      </c>
      <c r="R85" s="202">
        <f t="shared" si="36"/>
        <v>626.90036535529487</v>
      </c>
      <c r="S85" s="202">
        <f t="shared" si="37"/>
        <v>62.827075537234727</v>
      </c>
      <c r="T85" s="199" t="str">
        <f t="shared" si="30"/>
        <v>-text 450821.0737,3043085.9217 7 0 7#倒虹吸进</v>
      </c>
      <c r="U85" s="199" t="str">
        <f t="shared" si="27"/>
        <v>dt 450821.0737,3043085.9217 5 0 7#倒虹吸进(450821.0737,3043085.9217)*</v>
      </c>
      <c r="V85" s="211"/>
      <c r="W85" s="209" t="str">
        <f t="shared" si="28"/>
        <v>dt 450811.0737,3043075.9217 5 0 R=0*T=0*S=0*α=0*</v>
      </c>
    </row>
    <row r="86" spans="1:23" x14ac:dyDescent="0.25">
      <c r="A86" s="199">
        <f t="shared" si="31"/>
        <v>61</v>
      </c>
      <c r="B86" s="199" t="str">
        <f t="shared" si="32"/>
        <v>7#倒虹吸出</v>
      </c>
      <c r="C86" s="206" t="s">
        <v>606</v>
      </c>
      <c r="D86" s="199">
        <v>85</v>
      </c>
      <c r="E86" s="204">
        <f>中心线!D88</f>
        <v>450684.5723</v>
      </c>
      <c r="F86" s="204">
        <f>中心线!E88</f>
        <v>3042474.0627000001</v>
      </c>
      <c r="G86" s="201">
        <v>0</v>
      </c>
      <c r="H86" s="202">
        <f t="shared" si="33"/>
        <v>0</v>
      </c>
      <c r="I86" s="202">
        <f t="shared" si="25"/>
        <v>0</v>
      </c>
      <c r="J86" s="202">
        <f t="shared" si="26"/>
        <v>0</v>
      </c>
      <c r="K86" s="202">
        <f t="shared" si="34"/>
        <v>626.90036535529487</v>
      </c>
      <c r="L86" s="202">
        <f t="shared" si="22"/>
        <v>6421.3606878357159</v>
      </c>
      <c r="M86" s="202">
        <f t="shared" si="23"/>
        <v>6421.3606878357159</v>
      </c>
      <c r="N86" s="202">
        <f t="shared" si="24"/>
        <v>6421.3606878357159</v>
      </c>
      <c r="O86" s="202" t="str">
        <f t="shared" si="29"/>
        <v>circle 450684.5723,3042474.0627 1</v>
      </c>
      <c r="Q86" s="208">
        <f t="shared" si="35"/>
        <v>626.90036535529487</v>
      </c>
      <c r="R86" s="202">
        <f t="shared" si="36"/>
        <v>209.72059682801961</v>
      </c>
      <c r="S86" s="202">
        <f t="shared" si="37"/>
        <v>626.90036535529487</v>
      </c>
      <c r="T86" s="199" t="str">
        <f t="shared" si="30"/>
        <v>-text 450684.5723,3042474.0627 7 0 7#倒虹吸出</v>
      </c>
      <c r="U86" s="199" t="str">
        <f t="shared" si="27"/>
        <v>dt 450684.5723,3042474.0627 5 0 7#倒虹吸出(450684.5723,3042474.0627)*</v>
      </c>
      <c r="V86" s="211"/>
      <c r="W86" s="209" t="str">
        <f t="shared" si="28"/>
        <v>dt 450674.5723,3042464.0627 5 0 R=0*T=0*S=0*α=0*</v>
      </c>
    </row>
    <row r="87" spans="1:23" x14ac:dyDescent="0.25">
      <c r="A87" s="199">
        <f t="shared" si="31"/>
        <v>61</v>
      </c>
      <c r="B87" s="199" t="str">
        <f t="shared" si="32"/>
        <v>1#新庄节制闸</v>
      </c>
      <c r="C87" s="199" t="s">
        <v>607</v>
      </c>
      <c r="D87" s="199">
        <v>86</v>
      </c>
      <c r="E87" s="204">
        <f>中心线!D89</f>
        <v>450638.90759999998</v>
      </c>
      <c r="F87" s="204">
        <f>中心线!E89</f>
        <v>3042269.3739999998</v>
      </c>
      <c r="G87" s="201">
        <v>0</v>
      </c>
      <c r="H87" s="202">
        <f t="shared" si="33"/>
        <v>0</v>
      </c>
      <c r="I87" s="202">
        <f t="shared" si="25"/>
        <v>0</v>
      </c>
      <c r="J87" s="202">
        <f t="shared" si="26"/>
        <v>0</v>
      </c>
      <c r="K87" s="202">
        <f t="shared" si="34"/>
        <v>209.72059682801961</v>
      </c>
      <c r="L87" s="202">
        <f t="shared" si="22"/>
        <v>6631.0812846637355</v>
      </c>
      <c r="M87" s="202">
        <f t="shared" si="23"/>
        <v>6631.0812846637355</v>
      </c>
      <c r="N87" s="202">
        <f t="shared" si="24"/>
        <v>6631.0812846637355</v>
      </c>
      <c r="O87" s="202" t="str">
        <f t="shared" si="29"/>
        <v>circle 450638.9076,3042269.374 1</v>
      </c>
      <c r="Q87" s="208">
        <f t="shared" si="35"/>
        <v>209.72059682801961</v>
      </c>
      <c r="R87" s="202">
        <f t="shared" si="36"/>
        <v>22.454544445671853</v>
      </c>
      <c r="S87" s="202">
        <f t="shared" si="37"/>
        <v>209.72059682801961</v>
      </c>
      <c r="T87" s="199" t="str">
        <f t="shared" si="30"/>
        <v>-text 450638.9076,3042269.374 7 0 1#新庄节制闸</v>
      </c>
      <c r="U87" s="199" t="str">
        <f t="shared" si="27"/>
        <v>dt 450638.9076,3042269.374 5 0 1#新庄节制闸(450638.9076,3042269.374)*</v>
      </c>
      <c r="V87" s="211"/>
      <c r="W87" s="209" t="str">
        <f t="shared" si="28"/>
        <v>dt 450628.9076,3042259.374 5 0 R=0*T=0*S=0*α=0*</v>
      </c>
    </row>
    <row r="88" spans="1:23" x14ac:dyDescent="0.25">
      <c r="A88" s="199">
        <f t="shared" si="31"/>
        <v>62</v>
      </c>
      <c r="B88" s="199" t="str">
        <f t="shared" si="32"/>
        <v>IP62</v>
      </c>
      <c r="C88" s="199"/>
      <c r="D88" s="199">
        <v>87</v>
      </c>
      <c r="E88" s="204">
        <f>中心线!D90</f>
        <v>450634.0184</v>
      </c>
      <c r="F88" s="204">
        <f>中心线!E90</f>
        <v>3042247.4582000002</v>
      </c>
      <c r="G88" s="201">
        <v>13</v>
      </c>
      <c r="H88" s="202">
        <f t="shared" si="33"/>
        <v>28.887</v>
      </c>
      <c r="I88" s="202">
        <f t="shared" si="25"/>
        <v>3.3483552323629988</v>
      </c>
      <c r="J88" s="202">
        <f t="shared" si="26"/>
        <v>6.5542523933068244</v>
      </c>
      <c r="K88" s="202">
        <f t="shared" si="34"/>
        <v>22.454544445671853</v>
      </c>
      <c r="L88" s="202">
        <f t="shared" si="22"/>
        <v>6650.1874738770439</v>
      </c>
      <c r="M88" s="202">
        <f t="shared" si="23"/>
        <v>6653.4646000736975</v>
      </c>
      <c r="N88" s="202">
        <f t="shared" si="24"/>
        <v>6656.7417262703511</v>
      </c>
      <c r="O88" s="202" t="str">
        <f t="shared" si="29"/>
        <v>circle 450634.0184,3042247.4582 1</v>
      </c>
      <c r="Q88" s="208">
        <f t="shared" si="35"/>
        <v>19.106189213308856</v>
      </c>
      <c r="R88" s="202">
        <f t="shared" si="36"/>
        <v>18.91515646296444</v>
      </c>
      <c r="S88" s="202">
        <f t="shared" si="37"/>
        <v>19.106189213308856</v>
      </c>
      <c r="T88" s="199" t="str">
        <f t="shared" si="30"/>
        <v>-text 450634.0184,3042247.4582 7 0 IP62</v>
      </c>
      <c r="U88" s="199" t="str">
        <f t="shared" si="27"/>
        <v>dt 450634.0184,3042247.4582 5 0 IP62(450634.0184,3042247.4582)*</v>
      </c>
      <c r="V88" s="211"/>
      <c r="W88" s="209" t="str">
        <f t="shared" si="28"/>
        <v>dt 450624.0184,3042237.4582 5 0 R=13*T=3.348*S=6.554*α=28.887*</v>
      </c>
    </row>
    <row r="89" spans="1:23" x14ac:dyDescent="0.25">
      <c r="A89" s="199">
        <f t="shared" si="31"/>
        <v>62</v>
      </c>
      <c r="B89" s="199" t="str">
        <f t="shared" si="32"/>
        <v>8#倒虹吸进</v>
      </c>
      <c r="C89" s="206" t="s">
        <v>608</v>
      </c>
      <c r="D89" s="199">
        <v>88</v>
      </c>
      <c r="E89" s="204">
        <f>中心线!D91</f>
        <v>450619.27679999999</v>
      </c>
      <c r="F89" s="204">
        <f>中心线!E91</f>
        <v>3042230.7744</v>
      </c>
      <c r="G89" s="201">
        <v>0</v>
      </c>
      <c r="H89" s="202">
        <f t="shared" si="33"/>
        <v>0</v>
      </c>
      <c r="I89" s="202">
        <f t="shared" si="25"/>
        <v>0</v>
      </c>
      <c r="J89" s="202">
        <f t="shared" si="26"/>
        <v>0</v>
      </c>
      <c r="K89" s="202">
        <f t="shared" si="34"/>
        <v>22.263511695327438</v>
      </c>
      <c r="L89" s="202">
        <f t="shared" si="22"/>
        <v>6675.6568827333149</v>
      </c>
      <c r="M89" s="202">
        <f t="shared" si="23"/>
        <v>6675.6568827333149</v>
      </c>
      <c r="N89" s="202">
        <f t="shared" si="24"/>
        <v>6675.6568827333149</v>
      </c>
      <c r="O89" s="202" t="str">
        <f t="shared" si="29"/>
        <v>circle 450619.2768,3042230.7744 1</v>
      </c>
      <c r="Q89" s="208">
        <f t="shared" si="35"/>
        <v>22.263511695327438</v>
      </c>
      <c r="R89" s="202">
        <f t="shared" si="36"/>
        <v>572.67860326828429</v>
      </c>
      <c r="S89" s="202">
        <f t="shared" si="37"/>
        <v>18.91515646296444</v>
      </c>
      <c r="T89" s="199" t="str">
        <f t="shared" si="30"/>
        <v>-text 450619.2768,3042230.7744 7 0 8#倒虹吸进</v>
      </c>
      <c r="U89" s="199" t="str">
        <f t="shared" si="27"/>
        <v>dt 450619.2768,3042230.7744 5 0 8#倒虹吸进(450619.2768,3042230.7744)*</v>
      </c>
      <c r="V89" s="211"/>
      <c r="W89" s="209" t="str">
        <f t="shared" si="28"/>
        <v>dt 450609.2768,3042220.7744 5 0 R=0*T=0*S=0*α=0*</v>
      </c>
    </row>
    <row r="90" spans="1:23" x14ac:dyDescent="0.25">
      <c r="A90" s="199">
        <f t="shared" si="31"/>
        <v>63</v>
      </c>
      <c r="B90" s="199" t="str">
        <f t="shared" si="32"/>
        <v>IP63</v>
      </c>
      <c r="C90" s="199"/>
      <c r="D90" s="199">
        <v>89</v>
      </c>
      <c r="E90" s="204">
        <f>中心线!D92</f>
        <v>450240.08590000001</v>
      </c>
      <c r="F90" s="204">
        <f>中心线!E92</f>
        <v>3041801.6181999999</v>
      </c>
      <c r="G90" s="213">
        <v>5.4</v>
      </c>
      <c r="H90" s="202">
        <f t="shared" si="33"/>
        <v>25.042999999999999</v>
      </c>
      <c r="I90" s="202">
        <f t="shared" si="25"/>
        <v>1.1992772734959907</v>
      </c>
      <c r="J90" s="202">
        <f t="shared" si="26"/>
        <v>2.3602471447154758</v>
      </c>
      <c r="K90" s="202">
        <f t="shared" si="34"/>
        <v>572.67860326828429</v>
      </c>
      <c r="L90" s="202">
        <f t="shared" si="22"/>
        <v>7247.1362087281032</v>
      </c>
      <c r="M90" s="202">
        <f t="shared" si="23"/>
        <v>7248.316332300461</v>
      </c>
      <c r="N90" s="202">
        <f t="shared" si="24"/>
        <v>7249.4964558728188</v>
      </c>
      <c r="O90" s="202" t="str">
        <f t="shared" si="29"/>
        <v>circle 450240.0859,3041801.6182 1</v>
      </c>
      <c r="Q90" s="208">
        <f t="shared" si="35"/>
        <v>571.47932599478827</v>
      </c>
      <c r="R90" s="202">
        <f t="shared" si="36"/>
        <v>210.78570934463698</v>
      </c>
      <c r="S90" s="202">
        <f t="shared" si="37"/>
        <v>571.47932599478827</v>
      </c>
      <c r="T90" s="199" t="str">
        <f t="shared" si="30"/>
        <v>-text 450240.0859,3041801.6182 7 0 IP63</v>
      </c>
      <c r="U90" s="199" t="str">
        <f t="shared" si="27"/>
        <v>dt 450240.0859,3041801.6182 5 0 IP63(450240.0859,3041801.6182)*</v>
      </c>
      <c r="V90" s="211"/>
      <c r="W90" s="209" t="str">
        <f t="shared" si="28"/>
        <v>dt 450230.0859,3041791.6182 5 0 R=5.4*T=1.199*S=2.36*α=25.043*</v>
      </c>
    </row>
    <row r="91" spans="1:23" x14ac:dyDescent="0.25">
      <c r="A91" s="199">
        <f t="shared" si="31"/>
        <v>64</v>
      </c>
      <c r="B91" s="199" t="str">
        <f t="shared" si="32"/>
        <v>IP64</v>
      </c>
      <c r="C91" s="206"/>
      <c r="D91" s="199">
        <v>90</v>
      </c>
      <c r="E91" s="204">
        <f>中心线!D93</f>
        <v>450045.6741</v>
      </c>
      <c r="F91" s="204">
        <f>中心线!E93</f>
        <v>3041717.1096999999</v>
      </c>
      <c r="G91" s="213">
        <v>5.4</v>
      </c>
      <c r="H91" s="202">
        <f t="shared" si="33"/>
        <v>45.49</v>
      </c>
      <c r="I91" s="202">
        <f t="shared" si="25"/>
        <v>2.2638538474342367</v>
      </c>
      <c r="J91" s="202">
        <f t="shared" si="26"/>
        <v>4.2873314943539915</v>
      </c>
      <c r="K91" s="202">
        <f t="shared" si="34"/>
        <v>211.98498661813298</v>
      </c>
      <c r="L91" s="202">
        <f t="shared" si="22"/>
        <v>7458.0183113700223</v>
      </c>
      <c r="M91" s="202">
        <f t="shared" si="23"/>
        <v>7460.1619771171991</v>
      </c>
      <c r="N91" s="202">
        <f t="shared" si="24"/>
        <v>7462.3056428643758</v>
      </c>
      <c r="O91" s="202" t="str">
        <f t="shared" si="29"/>
        <v>circle 450045.6741,3041717.1097 1</v>
      </c>
      <c r="Q91" s="208">
        <f t="shared" si="35"/>
        <v>209.72113277069874</v>
      </c>
      <c r="R91" s="202">
        <f t="shared" si="36"/>
        <v>253.62585030403739</v>
      </c>
      <c r="S91" s="202">
        <f t="shared" si="37"/>
        <v>208.52185549720275</v>
      </c>
      <c r="T91" s="199" t="str">
        <f t="shared" si="30"/>
        <v>-text 450045.6741,3041717.1097 7 0 IP64</v>
      </c>
      <c r="U91" s="199" t="str">
        <f t="shared" si="27"/>
        <v>dt 450045.6741,3041717.1097 5 0 IP64(450045.6741,3041717.1097)*</v>
      </c>
      <c r="V91" s="211"/>
      <c r="W91" s="209" t="str">
        <f t="shared" si="28"/>
        <v>dt 450035.6741,3041707.1097 5 0 R=5.4*T=2.263*S=4.287*α=45.49*</v>
      </c>
    </row>
    <row r="92" spans="1:23" x14ac:dyDescent="0.25">
      <c r="A92" s="199">
        <f t="shared" si="31"/>
        <v>65</v>
      </c>
      <c r="B92" s="199" t="str">
        <f t="shared" si="32"/>
        <v>IP65</v>
      </c>
      <c r="C92" s="206"/>
      <c r="D92" s="199">
        <v>91</v>
      </c>
      <c r="E92" s="204">
        <f>中心线!D94</f>
        <v>449953.90549999999</v>
      </c>
      <c r="F92" s="204">
        <f>中心线!E94</f>
        <v>3041478.2414000002</v>
      </c>
      <c r="G92" s="213">
        <v>5.4</v>
      </c>
      <c r="H92" s="202">
        <f t="shared" si="33"/>
        <v>8.9990000000000006</v>
      </c>
      <c r="I92" s="202">
        <f t="shared" si="25"/>
        <v>0.42494180111227464</v>
      </c>
      <c r="J92" s="202">
        <f t="shared" si="26"/>
        <v>0.84813576868963658</v>
      </c>
      <c r="K92" s="202">
        <f t="shared" si="34"/>
        <v>255.88970415147162</v>
      </c>
      <c r="L92" s="202">
        <f t="shared" si="22"/>
        <v>7715.5065513673017</v>
      </c>
      <c r="M92" s="202">
        <f t="shared" si="23"/>
        <v>7715.930619251646</v>
      </c>
      <c r="N92" s="202">
        <f t="shared" si="24"/>
        <v>7716.3546871359913</v>
      </c>
      <c r="O92" s="202" t="str">
        <f t="shared" si="29"/>
        <v>circle 449953.9055,3041478.2414 1</v>
      </c>
      <c r="Q92" s="208">
        <f t="shared" si="35"/>
        <v>255.46476235035934</v>
      </c>
      <c r="R92" s="202">
        <f t="shared" si="36"/>
        <v>1305.6591008998914</v>
      </c>
      <c r="S92" s="202">
        <f t="shared" si="37"/>
        <v>253.2009085029251</v>
      </c>
      <c r="T92" s="199" t="str">
        <f t="shared" si="30"/>
        <v>-text 449953.9055,3041478.2414 7 0 IP65</v>
      </c>
      <c r="U92" s="199" t="str">
        <f t="shared" si="27"/>
        <v>dt 449953.9055,3041478.2414 5 0 IP65(449953.9055,3041478.2414)*</v>
      </c>
      <c r="V92" s="211"/>
      <c r="W92" s="209" t="str">
        <f t="shared" si="28"/>
        <v>dt 449943.9055,3041468.2414 5 0 R=5.4*T=0.424*S=0.848*α=8.999*</v>
      </c>
    </row>
    <row r="93" spans="1:23" x14ac:dyDescent="0.25">
      <c r="A93" s="199">
        <f t="shared" si="31"/>
        <v>66</v>
      </c>
      <c r="B93" s="199" t="str">
        <f t="shared" si="32"/>
        <v>IP66</v>
      </c>
      <c r="C93" s="199"/>
      <c r="D93" s="199">
        <v>92</v>
      </c>
      <c r="E93" s="204">
        <f>中心线!D95</f>
        <v>449300.57939999999</v>
      </c>
      <c r="F93" s="204">
        <f>中心线!E95</f>
        <v>3040347.3034999999</v>
      </c>
      <c r="G93" s="213">
        <v>5.4</v>
      </c>
      <c r="H93" s="202">
        <f t="shared" si="33"/>
        <v>18.683</v>
      </c>
      <c r="I93" s="202">
        <f t="shared" si="25"/>
        <v>0.88830055788096574</v>
      </c>
      <c r="J93" s="202">
        <f t="shared" si="26"/>
        <v>1.7608312664105432</v>
      </c>
      <c r="K93" s="202">
        <f t="shared" si="34"/>
        <v>1306.0840427010037</v>
      </c>
      <c r="L93" s="202">
        <f t="shared" si="22"/>
        <v>9021.1254874780007</v>
      </c>
      <c r="M93" s="202">
        <f t="shared" si="23"/>
        <v>9022.005903111205</v>
      </c>
      <c r="N93" s="202">
        <f t="shared" si="24"/>
        <v>9022.8863187444113</v>
      </c>
      <c r="O93" s="202" t="str">
        <f t="shared" si="29"/>
        <v>circle 449300.5794,3040347.3035 1</v>
      </c>
      <c r="Q93" s="208">
        <f t="shared" si="35"/>
        <v>1305.1957421431227</v>
      </c>
      <c r="R93" s="202">
        <f t="shared" si="36"/>
        <v>247.67169926137308</v>
      </c>
      <c r="S93" s="202">
        <f t="shared" si="37"/>
        <v>1304.7708003420105</v>
      </c>
      <c r="T93" s="199" t="str">
        <f t="shared" si="30"/>
        <v>-text 449300.5794,3040347.3035 7 0 IP66</v>
      </c>
      <c r="U93" s="199" t="str">
        <f t="shared" si="27"/>
        <v>dt 449300.5794,3040347.3035 5 0 IP66(449300.5794,3040347.3035)*</v>
      </c>
      <c r="V93" s="211"/>
      <c r="W93" s="209" t="str">
        <f t="shared" si="28"/>
        <v>dt 449290.5794,3040337.3035 5 0 R=5.4*T=0.888*S=1.76*α=18.683*</v>
      </c>
    </row>
    <row r="94" spans="1:23" x14ac:dyDescent="0.25">
      <c r="A94" s="199">
        <f t="shared" si="31"/>
        <v>66</v>
      </c>
      <c r="B94" s="199" t="str">
        <f t="shared" si="32"/>
        <v>8#倒虹吸出</v>
      </c>
      <c r="C94" s="206" t="s">
        <v>609</v>
      </c>
      <c r="D94" s="199">
        <v>93</v>
      </c>
      <c r="E94" s="204">
        <f>中心线!D96</f>
        <v>449113.85149999999</v>
      </c>
      <c r="F94" s="204">
        <f>中心线!E96</f>
        <v>3040183.2463000002</v>
      </c>
      <c r="G94" s="201">
        <v>0</v>
      </c>
      <c r="H94" s="202">
        <f t="shared" si="33"/>
        <v>0</v>
      </c>
      <c r="I94" s="202">
        <f t="shared" si="25"/>
        <v>0</v>
      </c>
      <c r="J94" s="202">
        <f t="shared" si="26"/>
        <v>0</v>
      </c>
      <c r="K94" s="202">
        <f t="shared" si="34"/>
        <v>248.55999981925405</v>
      </c>
      <c r="L94" s="202">
        <f t="shared" si="22"/>
        <v>9270.5580180057823</v>
      </c>
      <c r="M94" s="202">
        <f t="shared" si="23"/>
        <v>9270.5580180057823</v>
      </c>
      <c r="N94" s="202">
        <f t="shared" si="24"/>
        <v>9270.5580180057823</v>
      </c>
      <c r="O94" s="202" t="str">
        <f t="shared" si="29"/>
        <v>circle 449113.8515,3040183.2463 1</v>
      </c>
      <c r="Q94" s="208">
        <f t="shared" si="35"/>
        <v>248.55999981925405</v>
      </c>
      <c r="R94" s="202">
        <f t="shared" si="36"/>
        <v>196.43317542653944</v>
      </c>
      <c r="S94" s="202">
        <f t="shared" si="37"/>
        <v>247.67169926137308</v>
      </c>
      <c r="T94" s="199" t="str">
        <f t="shared" si="30"/>
        <v>-text 449113.8515,3040183.2463 7 0 8#倒虹吸出</v>
      </c>
      <c r="U94" s="199" t="str">
        <f t="shared" si="27"/>
        <v>dt 449113.8515,3040183.2463 5 0 8#倒虹吸出(449113.8515,3040183.2463)*</v>
      </c>
      <c r="V94" s="211"/>
      <c r="W94" s="209" t="str">
        <f t="shared" si="28"/>
        <v>dt 449103.8515,3040173.2463 5 0 R=0*T=0*S=0*α=0*</v>
      </c>
    </row>
    <row r="95" spans="1:23" x14ac:dyDescent="0.25">
      <c r="A95" s="199">
        <f t="shared" si="31"/>
        <v>66</v>
      </c>
      <c r="B95" s="199" t="str">
        <f t="shared" si="32"/>
        <v>四流量段末(4#斗门)</v>
      </c>
      <c r="C95" s="206" t="s">
        <v>610</v>
      </c>
      <c r="D95" s="199">
        <v>94</v>
      </c>
      <c r="E95" s="204">
        <f>中心线!D97</f>
        <v>448966.28320000001</v>
      </c>
      <c r="F95" s="204">
        <f>中心线!E97</f>
        <v>3040053.5945000001</v>
      </c>
      <c r="G95" s="201">
        <v>0</v>
      </c>
      <c r="H95" s="202">
        <f t="shared" si="33"/>
        <v>0</v>
      </c>
      <c r="I95" s="202">
        <f t="shared" si="25"/>
        <v>0</v>
      </c>
      <c r="J95" s="202">
        <f t="shared" si="26"/>
        <v>0</v>
      </c>
      <c r="K95" s="202">
        <f t="shared" si="34"/>
        <v>196.43317542653944</v>
      </c>
      <c r="L95" s="202">
        <f t="shared" si="22"/>
        <v>9466.9911934323209</v>
      </c>
      <c r="M95" s="202">
        <f t="shared" si="23"/>
        <v>9466.9911934323209</v>
      </c>
      <c r="N95" s="202">
        <f t="shared" si="24"/>
        <v>9466.9911934323209</v>
      </c>
      <c r="O95" s="202" t="str">
        <f t="shared" si="29"/>
        <v>circle 448966.2832,3040053.5945 1</v>
      </c>
      <c r="Q95" s="208">
        <f t="shared" si="35"/>
        <v>196.43317542653944</v>
      </c>
      <c r="R95" s="202">
        <f t="shared" si="36"/>
        <v>34.204314350258329</v>
      </c>
      <c r="S95" s="202">
        <f t="shared" si="37"/>
        <v>196.43317542653944</v>
      </c>
      <c r="T95" s="199" t="str">
        <f t="shared" si="30"/>
        <v>-text 448966.2832,3040053.5945 7 0 四流量段末(4#斗门)</v>
      </c>
      <c r="U95" s="199" t="str">
        <f t="shared" si="27"/>
        <v>dt 448966.2832,3040053.5945 5 0 四流量段末(4#斗门)(448966.2832,3040053.5945)*</v>
      </c>
      <c r="V95" s="211"/>
      <c r="W95" s="209" t="str">
        <f t="shared" si="28"/>
        <v>dt 448956.2832,3040043.5945 5 0 R=0*T=0*S=0*α=0*</v>
      </c>
    </row>
    <row r="96" spans="1:23" x14ac:dyDescent="0.25">
      <c r="A96" s="199">
        <f t="shared" si="31"/>
        <v>67</v>
      </c>
      <c r="B96" s="199" t="str">
        <f t="shared" si="32"/>
        <v>IP67</v>
      </c>
      <c r="C96" s="206"/>
      <c r="D96" s="199">
        <v>95</v>
      </c>
      <c r="E96" s="204">
        <f>中心线!D98</f>
        <v>448940.58760000003</v>
      </c>
      <c r="F96" s="204">
        <f>中心线!E98</f>
        <v>3040031.0186000001</v>
      </c>
      <c r="G96" s="201">
        <v>12</v>
      </c>
      <c r="H96" s="202">
        <f t="shared" si="33"/>
        <v>34.332999999999998</v>
      </c>
      <c r="I96" s="202">
        <f t="shared" si="25"/>
        <v>3.7069333704313365</v>
      </c>
      <c r="J96" s="202">
        <f t="shared" si="26"/>
        <v>7.1906867050465575</v>
      </c>
      <c r="K96" s="202">
        <f t="shared" si="34"/>
        <v>34.204314350258329</v>
      </c>
      <c r="L96" s="202">
        <f t="shared" si="22"/>
        <v>9497.4885744121475</v>
      </c>
      <c r="M96" s="202">
        <f t="shared" si="23"/>
        <v>9501.0839177646703</v>
      </c>
      <c r="N96" s="202">
        <f t="shared" si="24"/>
        <v>9504.6792611171932</v>
      </c>
      <c r="O96" s="202" t="str">
        <f t="shared" si="29"/>
        <v>circle 448940.5876,3040031.0186 1</v>
      </c>
      <c r="Q96" s="208">
        <f t="shared" si="35"/>
        <v>30.497380979826993</v>
      </c>
      <c r="R96" s="202">
        <f t="shared" si="36"/>
        <v>38.188769703403551</v>
      </c>
      <c r="S96" s="202">
        <f t="shared" si="37"/>
        <v>30.497380979826993</v>
      </c>
      <c r="T96" s="199" t="str">
        <f t="shared" si="30"/>
        <v>-text 448940.5876,3040031.0186 7 0 IP67</v>
      </c>
      <c r="U96" s="199" t="str">
        <f t="shared" si="27"/>
        <v>dt 448940.5876,3040031.0186 5 0 IP67(448940.5876,3040031.0186)*</v>
      </c>
      <c r="V96" s="211"/>
      <c r="W96" s="209" t="str">
        <f t="shared" si="28"/>
        <v>dt 448930.5876,3040021.0186 5 0 R=12*T=3.706*S=7.19*α=34.333*</v>
      </c>
    </row>
    <row r="97" spans="1:23" x14ac:dyDescent="0.25">
      <c r="A97" s="199">
        <f t="shared" si="31"/>
        <v>67</v>
      </c>
      <c r="B97" s="199" t="str">
        <f t="shared" si="32"/>
        <v>1#隧洞进</v>
      </c>
      <c r="C97" s="206" t="s">
        <v>611</v>
      </c>
      <c r="D97" s="199">
        <v>96</v>
      </c>
      <c r="E97" s="204">
        <f>中心线!D99</f>
        <v>448899.00140000001</v>
      </c>
      <c r="F97" s="204">
        <f>中心线!E99</f>
        <v>3040025.9355000001</v>
      </c>
      <c r="G97" s="201">
        <v>0</v>
      </c>
      <c r="H97" s="202">
        <f t="shared" si="33"/>
        <v>0</v>
      </c>
      <c r="I97" s="202">
        <f t="shared" si="25"/>
        <v>0</v>
      </c>
      <c r="J97" s="202">
        <f t="shared" si="26"/>
        <v>0</v>
      </c>
      <c r="K97" s="202">
        <f t="shared" si="34"/>
        <v>41.895703073834888</v>
      </c>
      <c r="L97" s="202">
        <f t="shared" si="22"/>
        <v>9542.8680308205967</v>
      </c>
      <c r="M97" s="202">
        <f t="shared" si="23"/>
        <v>9542.8680308205967</v>
      </c>
      <c r="N97" s="202">
        <f t="shared" si="24"/>
        <v>9542.8680308205967</v>
      </c>
      <c r="O97" s="202" t="str">
        <f t="shared" si="29"/>
        <v>circle 448899.0014,3040025.9355 1</v>
      </c>
      <c r="Q97" s="208">
        <f t="shared" si="35"/>
        <v>41.895703073834888</v>
      </c>
      <c r="R97" s="202">
        <f t="shared" si="36"/>
        <v>204.82233299899752</v>
      </c>
      <c r="S97" s="202">
        <f t="shared" si="37"/>
        <v>38.188769703403551</v>
      </c>
      <c r="T97" s="199" t="str">
        <f t="shared" si="30"/>
        <v>-text 448899.0014,3040025.9355 7 0 1#隧洞进</v>
      </c>
      <c r="U97" s="199" t="str">
        <f t="shared" si="27"/>
        <v>dt 448899.0014,3040025.9355 5 0 1#隧洞进(448899.0014,3040025.9355)*</v>
      </c>
      <c r="V97" s="211"/>
      <c r="W97" s="209" t="str">
        <f t="shared" si="28"/>
        <v>dt 448889.0014,3040015.9355 5 0 R=0*T=0*S=0*α=0*</v>
      </c>
    </row>
    <row r="98" spans="1:23" x14ac:dyDescent="0.25">
      <c r="A98" s="199">
        <f t="shared" si="31"/>
        <v>68</v>
      </c>
      <c r="B98" s="199" t="str">
        <f t="shared" si="32"/>
        <v>IP68</v>
      </c>
      <c r="C98" s="206"/>
      <c r="D98" s="199">
        <v>97</v>
      </c>
      <c r="E98" s="204">
        <f>中心线!D100</f>
        <v>448695.69219999999</v>
      </c>
      <c r="F98" s="204">
        <f>中心线!E100</f>
        <v>3040001.0847999998</v>
      </c>
      <c r="G98" s="201">
        <v>12</v>
      </c>
      <c r="H98" s="202">
        <f t="shared" si="33"/>
        <v>8.7949999999999999</v>
      </c>
      <c r="I98" s="202">
        <f t="shared" si="25"/>
        <v>0.92282298074707425</v>
      </c>
      <c r="J98" s="202">
        <f t="shared" si="26"/>
        <v>1.8420204925548154</v>
      </c>
      <c r="K98" s="202">
        <f t="shared" si="34"/>
        <v>204.82233299899752</v>
      </c>
      <c r="L98" s="202">
        <f t="shared" si="22"/>
        <v>9746.7675408388477</v>
      </c>
      <c r="M98" s="202">
        <f t="shared" si="23"/>
        <v>9747.6885510851243</v>
      </c>
      <c r="N98" s="202">
        <f t="shared" si="24"/>
        <v>9748.6095613314028</v>
      </c>
      <c r="O98" s="202" t="str">
        <f t="shared" si="29"/>
        <v>circle 448695.6922,3040001.0848 1</v>
      </c>
      <c r="Q98" s="208">
        <f t="shared" si="35"/>
        <v>203.89951001825045</v>
      </c>
      <c r="R98" s="202">
        <f t="shared" si="36"/>
        <v>362.56077518732548</v>
      </c>
      <c r="S98" s="202">
        <f t="shared" si="37"/>
        <v>203.89951001825045</v>
      </c>
      <c r="T98" s="199" t="str">
        <f t="shared" si="30"/>
        <v>-text 448695.6922,3040001.0848 7 0 IP68</v>
      </c>
      <c r="U98" s="199" t="str">
        <f t="shared" si="27"/>
        <v>dt 448695.6922,3040001.0848 5 0 IP68(448695.6922,3040001.0848)*</v>
      </c>
      <c r="V98" s="211"/>
      <c r="W98" s="209" t="str">
        <f t="shared" si="28"/>
        <v>dt 448685.6922,3039991.0848 5 0 R=12*T=0.922*S=1.842*α=8.795*</v>
      </c>
    </row>
    <row r="99" spans="1:23" x14ac:dyDescent="0.25">
      <c r="A99" s="199">
        <f t="shared" si="31"/>
        <v>69</v>
      </c>
      <c r="B99" s="199" t="str">
        <f t="shared" si="32"/>
        <v>IP69</v>
      </c>
      <c r="C99" s="206"/>
      <c r="D99" s="199">
        <v>98</v>
      </c>
      <c r="E99" s="204">
        <f>中心线!D101</f>
        <v>448332.3933</v>
      </c>
      <c r="F99" s="204">
        <f>中心线!E101</f>
        <v>3040012.6708</v>
      </c>
      <c r="G99" s="201">
        <v>12</v>
      </c>
      <c r="H99" s="202">
        <f t="shared" si="33"/>
        <v>59.088000000000001</v>
      </c>
      <c r="I99" s="202">
        <f t="shared" si="25"/>
        <v>6.8014437860567476</v>
      </c>
      <c r="J99" s="202">
        <f t="shared" si="26"/>
        <v>12.375361781020914</v>
      </c>
      <c r="K99" s="202">
        <f t="shared" si="34"/>
        <v>363.48359816807255</v>
      </c>
      <c r="L99" s="202">
        <f t="shared" si="22"/>
        <v>10104.368892732669</v>
      </c>
      <c r="M99" s="202">
        <f t="shared" si="23"/>
        <v>10110.55657362318</v>
      </c>
      <c r="N99" s="202">
        <f t="shared" si="24"/>
        <v>10116.744254513691</v>
      </c>
      <c r="O99" s="202" t="str">
        <f t="shared" si="29"/>
        <v>circle 448332.3933,3040012.6708 1</v>
      </c>
      <c r="Q99" s="208">
        <f t="shared" si="35"/>
        <v>356.68215438201582</v>
      </c>
      <c r="R99" s="202">
        <f t="shared" si="36"/>
        <v>43.898471400117884</v>
      </c>
      <c r="S99" s="202">
        <f t="shared" si="37"/>
        <v>355.75933140126875</v>
      </c>
      <c r="T99" s="199" t="str">
        <f t="shared" si="30"/>
        <v>-text 448332.3933,3040012.6708 7 0 IP69</v>
      </c>
      <c r="U99" s="199" t="str">
        <f t="shared" si="27"/>
        <v>dt 448332.3933,3040012.6708 5 0 IP69(448332.3933,3040012.6708)*</v>
      </c>
      <c r="V99" s="211"/>
      <c r="W99" s="209" t="str">
        <f t="shared" si="28"/>
        <v>dt 448322.3933,3040002.6708 5 0 R=12*T=6.801*S=12.375*α=59.088*</v>
      </c>
    </row>
    <row r="100" spans="1:23" x14ac:dyDescent="0.25">
      <c r="A100" s="199">
        <f t="shared" si="31"/>
        <v>69</v>
      </c>
      <c r="B100" s="199" t="str">
        <f t="shared" si="32"/>
        <v>1#隧洞出</v>
      </c>
      <c r="C100" s="206" t="s">
        <v>612</v>
      </c>
      <c r="D100" s="199">
        <v>99</v>
      </c>
      <c r="E100" s="204">
        <f>中心线!D102</f>
        <v>448307.7475</v>
      </c>
      <c r="F100" s="204">
        <f>中心线!E102</f>
        <v>3040056.9772999999</v>
      </c>
      <c r="G100" s="201">
        <v>0</v>
      </c>
      <c r="H100" s="202">
        <f t="shared" si="33"/>
        <v>0</v>
      </c>
      <c r="I100" s="202">
        <f t="shared" si="25"/>
        <v>0</v>
      </c>
      <c r="J100" s="202">
        <f t="shared" si="26"/>
        <v>0</v>
      </c>
      <c r="K100" s="202">
        <f t="shared" si="34"/>
        <v>50.699915186174628</v>
      </c>
      <c r="L100" s="202">
        <f t="shared" si="22"/>
        <v>10160.642725913809</v>
      </c>
      <c r="M100" s="202">
        <f t="shared" si="23"/>
        <v>10160.642725913809</v>
      </c>
      <c r="N100" s="202">
        <f t="shared" si="24"/>
        <v>10160.642725913809</v>
      </c>
      <c r="O100" s="202" t="str">
        <f t="shared" si="29"/>
        <v>circle 448307.7475,3040056.9773 1</v>
      </c>
      <c r="Q100" s="208">
        <f t="shared" si="35"/>
        <v>50.699915186174628</v>
      </c>
      <c r="R100" s="202">
        <f t="shared" si="36"/>
        <v>14.507195706067851</v>
      </c>
      <c r="S100" s="202">
        <f t="shared" si="37"/>
        <v>43.898471400117884</v>
      </c>
      <c r="T100" s="199" t="str">
        <f t="shared" si="30"/>
        <v>-text 448307.7475,3040056.9773 7 0 1#隧洞出</v>
      </c>
      <c r="U100" s="199" t="str">
        <f t="shared" si="27"/>
        <v>dt 448307.7475,3040056.9773 5 0 1#隧洞出(448307.7475,3040056.9773)*</v>
      </c>
      <c r="V100" s="211"/>
      <c r="W100" s="209" t="str">
        <f t="shared" si="28"/>
        <v>dt 448297.7475,3040046.9773 5 0 R=0*T=0*S=0*α=0*</v>
      </c>
    </row>
    <row r="101" spans="1:23" x14ac:dyDescent="0.25">
      <c r="A101" s="199">
        <f t="shared" si="31"/>
        <v>70</v>
      </c>
      <c r="B101" s="199" t="str">
        <f t="shared" si="32"/>
        <v>IP70</v>
      </c>
      <c r="C101" s="199"/>
      <c r="D101" s="199">
        <v>100</v>
      </c>
      <c r="E101" s="204">
        <f>中心线!D103</f>
        <v>448300.69540000003</v>
      </c>
      <c r="F101" s="204">
        <f>中心线!E103</f>
        <v>3040069.6551000001</v>
      </c>
      <c r="G101" s="201">
        <v>12</v>
      </c>
      <c r="H101" s="202">
        <f t="shared" si="33"/>
        <v>66.444999999999993</v>
      </c>
      <c r="I101" s="202">
        <f t="shared" si="25"/>
        <v>7.8593119999894032</v>
      </c>
      <c r="J101" s="202">
        <f t="shared" si="26"/>
        <v>13.916208257851586</v>
      </c>
      <c r="K101" s="202">
        <f t="shared" si="34"/>
        <v>14.507195706067851</v>
      </c>
      <c r="L101" s="202">
        <f t="shared" si="22"/>
        <v>10167.290609619888</v>
      </c>
      <c r="M101" s="202">
        <f t="shared" si="23"/>
        <v>10174.248713748813</v>
      </c>
      <c r="N101" s="202">
        <f t="shared" si="24"/>
        <v>10181.206817877739</v>
      </c>
      <c r="O101" s="202" t="str">
        <f t="shared" si="29"/>
        <v>circle 448300.6954,3040069.6551 1</v>
      </c>
      <c r="Q101" s="208">
        <f t="shared" si="35"/>
        <v>6.6478837060784475</v>
      </c>
      <c r="R101" s="202">
        <f t="shared" si="36"/>
        <v>116.21226821417926</v>
      </c>
      <c r="S101" s="202">
        <f t="shared" si="37"/>
        <v>6.6478837060784475</v>
      </c>
      <c r="T101" s="199" t="str">
        <f t="shared" si="30"/>
        <v>-text 448300.6954,3040069.6551 7 0 IP70</v>
      </c>
      <c r="U101" s="199" t="str">
        <f t="shared" si="27"/>
        <v>dt 448300.6954,3040069.6551 5 0 IP70(448300.6954,3040069.6551)*</v>
      </c>
      <c r="V101" s="211"/>
      <c r="W101" s="209" t="str">
        <f t="shared" si="28"/>
        <v>dt 448290.6954,3040059.6551 5 0 R=12*T=7.859*S=13.916*α=66.445*</v>
      </c>
    </row>
    <row r="102" spans="1:23" x14ac:dyDescent="0.25">
      <c r="A102" s="199">
        <f t="shared" si="31"/>
        <v>71</v>
      </c>
      <c r="B102" s="199" t="str">
        <f t="shared" si="32"/>
        <v>IP71</v>
      </c>
      <c r="C102" s="206"/>
      <c r="D102" s="199">
        <v>101</v>
      </c>
      <c r="E102" s="204">
        <f>中心线!D104</f>
        <v>448177.20140000002</v>
      </c>
      <c r="F102" s="204">
        <f>中心线!E104</f>
        <v>3040057.6973000001</v>
      </c>
      <c r="G102" s="201">
        <v>12</v>
      </c>
      <c r="H102" s="202">
        <f t="shared" si="33"/>
        <v>27.663</v>
      </c>
      <c r="I102" s="202">
        <f t="shared" si="25"/>
        <v>2.9544790155777245</v>
      </c>
      <c r="J102" s="202">
        <f t="shared" si="26"/>
        <v>5.7937251717502969</v>
      </c>
      <c r="K102" s="202">
        <f t="shared" si="34"/>
        <v>124.07158021416866</v>
      </c>
      <c r="L102" s="202">
        <f t="shared" ref="L102:L165" si="38">M102-J102/2</f>
        <v>10294.464607076341</v>
      </c>
      <c r="M102" s="202">
        <f t="shared" ref="M102:M165" si="39">M101+K102-I102+J102/2+J101/2-I101</f>
        <v>10297.361469662215</v>
      </c>
      <c r="N102" s="202">
        <f t="shared" ref="N102:N165" si="40">L102+J102</f>
        <v>10300.258332248091</v>
      </c>
      <c r="O102" s="202" t="str">
        <f t="shared" si="29"/>
        <v>circle 448177.2014,3040057.6973 1</v>
      </c>
      <c r="Q102" s="208">
        <f t="shared" si="35"/>
        <v>121.11710119859094</v>
      </c>
      <c r="R102" s="202">
        <f t="shared" si="36"/>
        <v>72.956831214827105</v>
      </c>
      <c r="S102" s="202">
        <f t="shared" si="37"/>
        <v>113.25778919860154</v>
      </c>
      <c r="T102" s="199" t="str">
        <f t="shared" si="30"/>
        <v>-text 448177.2014,3040057.6973 7 0 IP71</v>
      </c>
      <c r="U102" s="199" t="str">
        <f t="shared" si="27"/>
        <v>dt 448177.2014,3040057.6973 5 0 IP71(448177.2014,3040057.6973)*</v>
      </c>
      <c r="V102" s="211"/>
      <c r="W102" s="209" t="str">
        <f t="shared" si="28"/>
        <v>dt 448167.2014,3040047.6973 5 0 R=12*T=2.954*S=5.793*α=27.663*</v>
      </c>
    </row>
    <row r="103" spans="1:23" x14ac:dyDescent="0.25">
      <c r="A103" s="199">
        <f t="shared" si="31"/>
        <v>72</v>
      </c>
      <c r="B103" s="199" t="str">
        <f t="shared" si="32"/>
        <v>IP72</v>
      </c>
      <c r="C103" s="206"/>
      <c r="D103" s="199">
        <v>102</v>
      </c>
      <c r="E103" s="204">
        <f>中心线!D105</f>
        <v>448106.8835</v>
      </c>
      <c r="F103" s="204">
        <f>中心线!E105</f>
        <v>3040086.2966</v>
      </c>
      <c r="G103" s="201">
        <v>12</v>
      </c>
      <c r="H103" s="202">
        <f t="shared" si="33"/>
        <v>49.683</v>
      </c>
      <c r="I103" s="202">
        <f t="shared" si="25"/>
        <v>5.5553294312866885</v>
      </c>
      <c r="J103" s="202">
        <f t="shared" si="26"/>
        <v>10.405583187220113</v>
      </c>
      <c r="K103" s="202">
        <f t="shared" si="34"/>
        <v>75.911310230404823</v>
      </c>
      <c r="L103" s="202">
        <f t="shared" si="38"/>
        <v>10367.65983403163</v>
      </c>
      <c r="M103" s="202">
        <f t="shared" si="39"/>
        <v>10372.862625625241</v>
      </c>
      <c r="N103" s="202">
        <f t="shared" si="40"/>
        <v>10378.06541721885</v>
      </c>
      <c r="O103" s="202" t="str">
        <f t="shared" si="29"/>
        <v>circle 448106.8835,3040086.2966 1</v>
      </c>
      <c r="Q103" s="208">
        <f t="shared" si="35"/>
        <v>70.355980799118129</v>
      </c>
      <c r="R103" s="202">
        <f t="shared" si="36"/>
        <v>140.09575489455503</v>
      </c>
      <c r="S103" s="202">
        <f t="shared" si="37"/>
        <v>67.401501783540411</v>
      </c>
      <c r="T103" s="199" t="str">
        <f t="shared" si="30"/>
        <v>-text 448106.8835,3040086.2966 7 0 IP72</v>
      </c>
      <c r="U103" s="199" t="str">
        <f t="shared" si="27"/>
        <v>dt 448106.8835,3040086.2966 5 0 IP72(448106.8835,3040086.2966)*</v>
      </c>
      <c r="V103" s="211"/>
      <c r="W103" s="209" t="str">
        <f t="shared" si="28"/>
        <v>dt 448096.8835,3040076.2966 5 0 R=12*T=5.555*S=10.405*α=49.683*</v>
      </c>
    </row>
    <row r="104" spans="1:23" x14ac:dyDescent="0.25">
      <c r="A104" s="199">
        <f t="shared" si="31"/>
        <v>73</v>
      </c>
      <c r="B104" s="199" t="str">
        <f t="shared" si="32"/>
        <v>IP73</v>
      </c>
      <c r="C104" s="206"/>
      <c r="D104" s="199">
        <v>103</v>
      </c>
      <c r="E104" s="204">
        <f>中心线!D106</f>
        <v>447977.74939999997</v>
      </c>
      <c r="F104" s="204">
        <f>中心线!E106</f>
        <v>3040018.9273000001</v>
      </c>
      <c r="G104" s="201">
        <v>12</v>
      </c>
      <c r="H104" s="202">
        <f t="shared" si="33"/>
        <v>16.57</v>
      </c>
      <c r="I104" s="202">
        <f t="shared" si="25"/>
        <v>1.7474023472891629</v>
      </c>
      <c r="J104" s="202">
        <f t="shared" si="26"/>
        <v>3.4704126846655248</v>
      </c>
      <c r="K104" s="202">
        <f t="shared" si="34"/>
        <v>145.65108432584171</v>
      </c>
      <c r="L104" s="202">
        <f t="shared" si="38"/>
        <v>10516.413769766117</v>
      </c>
      <c r="M104" s="202">
        <f t="shared" si="39"/>
        <v>10518.14897610845</v>
      </c>
      <c r="N104" s="202">
        <f t="shared" si="40"/>
        <v>10519.884182450784</v>
      </c>
      <c r="O104" s="202" t="str">
        <f t="shared" si="29"/>
        <v>circle 447977.7494,3040018.9273 1</v>
      </c>
      <c r="Q104" s="208">
        <f t="shared" si="35"/>
        <v>143.90368197855256</v>
      </c>
      <c r="R104" s="202">
        <f t="shared" si="36"/>
        <v>107.92926478838361</v>
      </c>
      <c r="S104" s="202">
        <f t="shared" si="37"/>
        <v>138.34835254726588</v>
      </c>
      <c r="T104" s="199" t="str">
        <f t="shared" si="30"/>
        <v>-text 447977.7494,3040018.9273 7 0 IP73</v>
      </c>
      <c r="U104" s="199" t="str">
        <f t="shared" si="27"/>
        <v>dt 447977.7494,3040018.9273 5 0 IP73(447977.7494,3040018.9273)*</v>
      </c>
      <c r="V104" s="211"/>
      <c r="W104" s="209" t="str">
        <f t="shared" si="28"/>
        <v>dt 447967.7494,3040008.9273 5 0 R=12*T=1.747*S=3.47*α=16.57*</v>
      </c>
    </row>
    <row r="105" spans="1:23" x14ac:dyDescent="0.25">
      <c r="A105" s="199">
        <f t="shared" si="31"/>
        <v>74</v>
      </c>
      <c r="B105" s="199" t="str">
        <f t="shared" si="32"/>
        <v>IP74</v>
      </c>
      <c r="C105" s="206"/>
      <c r="D105" s="199">
        <v>104</v>
      </c>
      <c r="E105" s="204">
        <f>中心线!D107</f>
        <v>447899.01640000002</v>
      </c>
      <c r="F105" s="204">
        <f>中心线!E107</f>
        <v>3039942.5723000001</v>
      </c>
      <c r="G105" s="201">
        <v>12</v>
      </c>
      <c r="H105" s="202">
        <f t="shared" si="33"/>
        <v>38.744</v>
      </c>
      <c r="I105" s="202">
        <f t="shared" si="25"/>
        <v>4.2192766573449862</v>
      </c>
      <c r="J105" s="202">
        <f t="shared" si="26"/>
        <v>8.1145243847121975</v>
      </c>
      <c r="K105" s="202">
        <f t="shared" si="34"/>
        <v>109.67666713567277</v>
      </c>
      <c r="L105" s="202">
        <f t="shared" si="38"/>
        <v>10623.594170581822</v>
      </c>
      <c r="M105" s="202">
        <f t="shared" si="39"/>
        <v>10627.651432774179</v>
      </c>
      <c r="N105" s="202">
        <f t="shared" si="40"/>
        <v>10631.708694966534</v>
      </c>
      <c r="O105" s="202" t="str">
        <f t="shared" si="29"/>
        <v>circle 447899.0164,3039942.5723 1</v>
      </c>
      <c r="Q105" s="208">
        <f t="shared" si="35"/>
        <v>105.45739047832778</v>
      </c>
      <c r="R105" s="202">
        <f t="shared" si="36"/>
        <v>51.269399169248715</v>
      </c>
      <c r="S105" s="202">
        <f t="shared" si="37"/>
        <v>103.70998813103861</v>
      </c>
      <c r="T105" s="199" t="str">
        <f t="shared" si="30"/>
        <v>-text 447899.0164,3039942.5723 7 0 IP74</v>
      </c>
      <c r="U105" s="199" t="str">
        <f t="shared" si="27"/>
        <v>dt 447899.0164,3039942.5723 5 0 IP74(447899.0164,3039942.5723)*</v>
      </c>
      <c r="V105" s="211"/>
      <c r="W105" s="209" t="str">
        <f t="shared" si="28"/>
        <v>dt 447889.0164,3039932.5723 5 0 R=12*T=4.219*S=8.114*α=38.744*</v>
      </c>
    </row>
    <row r="106" spans="1:23" x14ac:dyDescent="0.25">
      <c r="A106" s="199">
        <f t="shared" si="31"/>
        <v>75</v>
      </c>
      <c r="B106" s="199" t="str">
        <f t="shared" si="32"/>
        <v>IP75</v>
      </c>
      <c r="C106" s="206"/>
      <c r="D106" s="199">
        <v>105</v>
      </c>
      <c r="E106" s="204">
        <f>中心线!D108</f>
        <v>447892.12439999997</v>
      </c>
      <c r="F106" s="204">
        <f>中心线!E108</f>
        <v>3039887.5133000002</v>
      </c>
      <c r="G106" s="201">
        <v>12</v>
      </c>
      <c r="H106" s="202">
        <f t="shared" si="33"/>
        <v>53.51</v>
      </c>
      <c r="I106" s="202">
        <f t="shared" si="25"/>
        <v>6.0498112359530758</v>
      </c>
      <c r="J106" s="202">
        <f t="shared" si="26"/>
        <v>11.207108192905988</v>
      </c>
      <c r="K106" s="202">
        <f t="shared" si="34"/>
        <v>55.488675826593699</v>
      </c>
      <c r="L106" s="202">
        <f t="shared" si="38"/>
        <v>10676.928282899831</v>
      </c>
      <c r="M106" s="202">
        <f t="shared" si="39"/>
        <v>10682.531836996284</v>
      </c>
      <c r="N106" s="202">
        <f t="shared" si="40"/>
        <v>10688.135391092737</v>
      </c>
      <c r="O106" s="202" t="str">
        <f t="shared" si="29"/>
        <v>circle 447892.1244,3039887.5133 1</v>
      </c>
      <c r="Q106" s="208">
        <f t="shared" si="35"/>
        <v>49.43886459064062</v>
      </c>
      <c r="R106" s="202">
        <f t="shared" si="36"/>
        <v>27.360708455053537</v>
      </c>
      <c r="S106" s="202">
        <f t="shared" si="37"/>
        <v>45.219587933295642</v>
      </c>
      <c r="T106" s="199" t="str">
        <f t="shared" si="30"/>
        <v>-text 447892.1244,3039887.5133 7 0 IP75</v>
      </c>
      <c r="U106" s="199" t="str">
        <f t="shared" si="27"/>
        <v>dt 447892.1244,3039887.5133 5 0 IP75(447892.1244,3039887.5133)*</v>
      </c>
      <c r="V106" s="211"/>
      <c r="W106" s="209" t="str">
        <f t="shared" si="28"/>
        <v>dt 447882.1244,3039877.5133 5 0 R=12*T=6.049*S=11.207*α=53.51*</v>
      </c>
    </row>
    <row r="107" spans="1:23" x14ac:dyDescent="0.25">
      <c r="A107" s="199">
        <f t="shared" si="31"/>
        <v>76</v>
      </c>
      <c r="B107" s="199" t="str">
        <f t="shared" si="32"/>
        <v>IP76</v>
      </c>
      <c r="C107" s="199"/>
      <c r="D107" s="199">
        <v>106</v>
      </c>
      <c r="E107" s="204">
        <f>中心线!D109</f>
        <v>447916.30940000003</v>
      </c>
      <c r="F107" s="204">
        <f>中心线!E109</f>
        <v>3039864.4622999998</v>
      </c>
      <c r="G107" s="201">
        <v>12</v>
      </c>
      <c r="H107" s="202">
        <f t="shared" si="33"/>
        <v>77.388999999999996</v>
      </c>
      <c r="I107" s="202">
        <f t="shared" si="25"/>
        <v>9.6119217247263435</v>
      </c>
      <c r="J107" s="202">
        <f t="shared" si="26"/>
        <v>16.208314257910697</v>
      </c>
      <c r="K107" s="202">
        <f t="shared" si="34"/>
        <v>33.410519691006613</v>
      </c>
      <c r="L107" s="202">
        <f t="shared" si="38"/>
        <v>10705.884177823064</v>
      </c>
      <c r="M107" s="202">
        <f t="shared" si="39"/>
        <v>10713.988334952019</v>
      </c>
      <c r="N107" s="202">
        <f t="shared" si="40"/>
        <v>10722.092492080974</v>
      </c>
      <c r="O107" s="202" t="str">
        <f t="shared" si="29"/>
        <v>circle 447916.3094,3039864.4623 1</v>
      </c>
      <c r="Q107" s="208">
        <f t="shared" si="35"/>
        <v>23.798597966280269</v>
      </c>
      <c r="R107" s="202">
        <f t="shared" si="36"/>
        <v>140.52921187435908</v>
      </c>
      <c r="S107" s="202">
        <f t="shared" si="37"/>
        <v>17.748786730327193</v>
      </c>
      <c r="T107" s="199" t="str">
        <f t="shared" si="30"/>
        <v>-text 447916.3094,3039864.4623 7 0 IP76</v>
      </c>
      <c r="U107" s="199" t="str">
        <f t="shared" si="27"/>
        <v>dt 447916.3094,3039864.4623 5 0 IP76(447916.3094,3039864.4623)*</v>
      </c>
      <c r="V107" s="211"/>
      <c r="W107" s="209" t="str">
        <f t="shared" si="28"/>
        <v>dt 447906.3094,3039854.4623 5 0 R=12*T=9.611*S=16.208*α=77.389*</v>
      </c>
    </row>
    <row r="108" spans="1:23" x14ac:dyDescent="0.25">
      <c r="A108" s="199">
        <f t="shared" si="31"/>
        <v>76</v>
      </c>
      <c r="B108" s="199" t="str">
        <f t="shared" si="32"/>
        <v>五流量段末(5#斗门)</v>
      </c>
      <c r="C108" s="199" t="s">
        <v>613</v>
      </c>
      <c r="D108" s="199">
        <v>107</v>
      </c>
      <c r="E108" s="204">
        <f>中心线!D110</f>
        <v>447838.95110000001</v>
      </c>
      <c r="F108" s="204">
        <f>中心线!E110</f>
        <v>3039735.7842000001</v>
      </c>
      <c r="G108" s="201">
        <v>0</v>
      </c>
      <c r="H108" s="202">
        <f t="shared" si="33"/>
        <v>1E-3</v>
      </c>
      <c r="I108" s="202">
        <f t="shared" si="25"/>
        <v>0</v>
      </c>
      <c r="J108" s="202">
        <f t="shared" si="26"/>
        <v>0</v>
      </c>
      <c r="K108" s="202">
        <f t="shared" si="34"/>
        <v>150.14113359908541</v>
      </c>
      <c r="L108" s="202">
        <f t="shared" si="38"/>
        <v>10862.621703955332</v>
      </c>
      <c r="M108" s="202">
        <f t="shared" si="39"/>
        <v>10862.621703955332</v>
      </c>
      <c r="N108" s="202">
        <f t="shared" si="40"/>
        <v>10862.621703955332</v>
      </c>
      <c r="O108" s="202" t="str">
        <f t="shared" si="29"/>
        <v>circle 447838.9511,3039735.7842 1</v>
      </c>
      <c r="Q108" s="208">
        <f t="shared" si="35"/>
        <v>150.14113359908541</v>
      </c>
      <c r="R108" s="202">
        <f t="shared" si="36"/>
        <v>9.4732766044199685</v>
      </c>
      <c r="S108" s="202">
        <f t="shared" si="37"/>
        <v>140.52921187435908</v>
      </c>
      <c r="T108" s="199" t="str">
        <f t="shared" si="30"/>
        <v>-text 447838.9511,3039735.7842 7 0 五流量段末(5#斗门)</v>
      </c>
      <c r="U108" s="199" t="str">
        <f t="shared" si="27"/>
        <v>dt 447838.9511,3039735.7842 5 0 五流量段末(5#斗门)(447838.9511,3039735.7842)*</v>
      </c>
      <c r="V108" s="211"/>
      <c r="W108" s="209" t="str">
        <f t="shared" si="28"/>
        <v>dt 447828.9511,3039725.7842 5 0 R=0*T=0*S=0*α=0.001*</v>
      </c>
    </row>
    <row r="109" spans="1:23" x14ac:dyDescent="0.25">
      <c r="A109" s="199">
        <f t="shared" si="31"/>
        <v>77</v>
      </c>
      <c r="B109" s="199" t="str">
        <f t="shared" si="32"/>
        <v>IP77</v>
      </c>
      <c r="C109" s="206"/>
      <c r="D109" s="199">
        <v>108</v>
      </c>
      <c r="E109" s="204">
        <f>中心线!D111</f>
        <v>447834.07020000002</v>
      </c>
      <c r="F109" s="204">
        <f>中心线!E111</f>
        <v>3039727.6650999999</v>
      </c>
      <c r="G109" s="201">
        <v>12</v>
      </c>
      <c r="H109" s="202">
        <f t="shared" si="33"/>
        <v>21.3</v>
      </c>
      <c r="I109" s="202">
        <f t="shared" si="25"/>
        <v>2.2565794695481123</v>
      </c>
      <c r="J109" s="202">
        <f t="shared" si="26"/>
        <v>4.4610615680975068</v>
      </c>
      <c r="K109" s="202">
        <f t="shared" si="34"/>
        <v>9.4732766044199685</v>
      </c>
      <c r="L109" s="202">
        <f t="shared" si="38"/>
        <v>10869.838401090205</v>
      </c>
      <c r="M109" s="202">
        <f t="shared" si="39"/>
        <v>10872.068931874253</v>
      </c>
      <c r="N109" s="202">
        <f t="shared" si="40"/>
        <v>10874.299462658302</v>
      </c>
      <c r="O109" s="202" t="str">
        <f t="shared" si="29"/>
        <v>circle 447834.0702,3039727.6651 1</v>
      </c>
      <c r="Q109" s="208">
        <f t="shared" si="35"/>
        <v>7.2166971348718558</v>
      </c>
      <c r="R109" s="202">
        <f t="shared" si="36"/>
        <v>41.932579344095871</v>
      </c>
      <c r="S109" s="202">
        <f t="shared" si="37"/>
        <v>7.2166971348718558</v>
      </c>
      <c r="T109" s="199" t="str">
        <f t="shared" si="30"/>
        <v>-text 447834.0702,3039727.6651 7 0 IP77</v>
      </c>
      <c r="U109" s="199" t="str">
        <f t="shared" si="27"/>
        <v>dt 447834.0702,3039727.6651 5 0 IP77(447834.0702,3039727.6651)*</v>
      </c>
      <c r="V109" s="211"/>
      <c r="W109" s="209" t="str">
        <f t="shared" si="28"/>
        <v>dt 447824.0702,3039717.6651 5 0 R=12*T=2.256*S=4.461*α=21.3*</v>
      </c>
    </row>
    <row r="110" spans="1:23" x14ac:dyDescent="0.25">
      <c r="A110" s="199">
        <f t="shared" si="31"/>
        <v>78</v>
      </c>
      <c r="B110" s="199" t="str">
        <f t="shared" si="32"/>
        <v>IP78</v>
      </c>
      <c r="C110" s="206"/>
      <c r="D110" s="199">
        <v>109</v>
      </c>
      <c r="E110" s="204">
        <f>中心线!D112</f>
        <v>447826.61540000001</v>
      </c>
      <c r="F110" s="204">
        <f>中心线!E112</f>
        <v>3039684.1093000001</v>
      </c>
      <c r="G110" s="201">
        <v>12</v>
      </c>
      <c r="H110" s="202">
        <f t="shared" si="33"/>
        <v>36.36</v>
      </c>
      <c r="I110" s="202">
        <f t="shared" si="25"/>
        <v>3.9407581932376878</v>
      </c>
      <c r="J110" s="202">
        <f t="shared" si="26"/>
        <v>7.6152205923016583</v>
      </c>
      <c r="K110" s="202">
        <f t="shared" si="34"/>
        <v>44.189158813643985</v>
      </c>
      <c r="L110" s="202">
        <f t="shared" si="38"/>
        <v>10912.291283809162</v>
      </c>
      <c r="M110" s="202">
        <f t="shared" si="39"/>
        <v>10916.098894105313</v>
      </c>
      <c r="N110" s="202">
        <f t="shared" si="40"/>
        <v>10919.906504401462</v>
      </c>
      <c r="O110" s="202" t="str">
        <f t="shared" si="29"/>
        <v>circle 447826.6154,3039684.1093 1</v>
      </c>
      <c r="Q110" s="208">
        <f t="shared" si="35"/>
        <v>40.248400620406301</v>
      </c>
      <c r="R110" s="202">
        <f t="shared" si="36"/>
        <v>57.552659015431374</v>
      </c>
      <c r="S110" s="202">
        <f t="shared" si="37"/>
        <v>37.991821150858186</v>
      </c>
      <c r="T110" s="199" t="str">
        <f t="shared" si="30"/>
        <v>-text 447826.6154,3039684.1093 7 0 IP78</v>
      </c>
      <c r="U110" s="199" t="str">
        <f t="shared" si="27"/>
        <v>dt 447826.6154,3039684.1093 5 0 IP78(447826.6154,3039684.1093)*</v>
      </c>
      <c r="V110" s="211"/>
      <c r="W110" s="209" t="str">
        <f t="shared" si="28"/>
        <v>dt 447816.6154,3039674.1093 5 0 R=12*T=3.94*S=7.615*α=36.36*</v>
      </c>
    </row>
    <row r="111" spans="1:23" x14ac:dyDescent="0.25">
      <c r="A111" s="199">
        <f t="shared" si="31"/>
        <v>79</v>
      </c>
      <c r="B111" s="199" t="str">
        <f t="shared" si="32"/>
        <v>IP79</v>
      </c>
      <c r="C111" s="199"/>
      <c r="D111" s="199">
        <v>110</v>
      </c>
      <c r="E111" s="204">
        <f>中心线!D113</f>
        <v>447782.32699999999</v>
      </c>
      <c r="F111" s="204">
        <f>中心线!E113</f>
        <v>3039641.4481000002</v>
      </c>
      <c r="G111" s="201">
        <v>12</v>
      </c>
      <c r="H111" s="202">
        <f t="shared" si="33"/>
        <v>56.789000000000001</v>
      </c>
      <c r="I111" s="202">
        <f t="shared" si="25"/>
        <v>6.4868871875892866</v>
      </c>
      <c r="J111" s="202">
        <f t="shared" si="26"/>
        <v>11.893860346980718</v>
      </c>
      <c r="K111" s="202">
        <f t="shared" si="34"/>
        <v>61.493417208669058</v>
      </c>
      <c r="L111" s="202">
        <f t="shared" si="38"/>
        <v>10970.972276229306</v>
      </c>
      <c r="M111" s="202">
        <f t="shared" si="39"/>
        <v>10976.919206402796</v>
      </c>
      <c r="N111" s="202">
        <f t="shared" si="40"/>
        <v>10982.866136576287</v>
      </c>
      <c r="O111" s="202" t="str">
        <f t="shared" si="29"/>
        <v>circle 447782.327,3039641.4481 1</v>
      </c>
      <c r="Q111" s="208">
        <f t="shared" si="35"/>
        <v>55.006530021079769</v>
      </c>
      <c r="R111" s="202">
        <f t="shared" si="36"/>
        <v>46.029474296764256</v>
      </c>
      <c r="S111" s="202">
        <f t="shared" si="37"/>
        <v>51.065771827842084</v>
      </c>
      <c r="T111" s="199" t="str">
        <f t="shared" si="30"/>
        <v>-text 447782.327,3039641.4481 7 0 IP79</v>
      </c>
      <c r="U111" s="199" t="str">
        <f t="shared" si="27"/>
        <v>dt 447782.327,3039641.4481 5 0 IP79(447782.327,3039641.4481)*</v>
      </c>
      <c r="V111" s="211"/>
      <c r="W111" s="209" t="str">
        <f t="shared" si="28"/>
        <v>dt 447772.327,3039631.4481 5 0 R=12*T=6.486*S=11.893*α=56.789*</v>
      </c>
    </row>
    <row r="112" spans="1:23" x14ac:dyDescent="0.25">
      <c r="A112" s="199">
        <f t="shared" si="31"/>
        <v>80</v>
      </c>
      <c r="B112" s="199" t="str">
        <f t="shared" si="32"/>
        <v>IP80</v>
      </c>
      <c r="C112" s="206"/>
      <c r="D112" s="199">
        <v>111</v>
      </c>
      <c r="E112" s="204">
        <f>中心线!D114</f>
        <v>447792.09259999997</v>
      </c>
      <c r="F112" s="204">
        <f>中心线!E114</f>
        <v>3039589.8476999998</v>
      </c>
      <c r="G112" s="201">
        <v>12</v>
      </c>
      <c r="H112" s="202">
        <f t="shared" si="33"/>
        <v>47.374000000000002</v>
      </c>
      <c r="I112" s="202">
        <f t="shared" si="25"/>
        <v>5.2643846772118348</v>
      </c>
      <c r="J112" s="202">
        <f t="shared" si="26"/>
        <v>9.9219873580775246</v>
      </c>
      <c r="K112" s="202">
        <f t="shared" si="34"/>
        <v>52.516361484353546</v>
      </c>
      <c r="L112" s="202">
        <f t="shared" si="38"/>
        <v>11023.631226195837</v>
      </c>
      <c r="M112" s="202">
        <f t="shared" si="39"/>
        <v>11028.592219874876</v>
      </c>
      <c r="N112" s="202">
        <f t="shared" si="40"/>
        <v>11033.553213553914</v>
      </c>
      <c r="O112" s="202" t="str">
        <f t="shared" si="29"/>
        <v>circle 447792.0926,3039589.8477 1</v>
      </c>
      <c r="Q112" s="208">
        <f t="shared" si="35"/>
        <v>47.251976807141709</v>
      </c>
      <c r="R112" s="202">
        <f t="shared" si="36"/>
        <v>36.214061652794314</v>
      </c>
      <c r="S112" s="202">
        <f t="shared" si="37"/>
        <v>40.76508961955242</v>
      </c>
      <c r="T112" s="199" t="str">
        <f t="shared" si="30"/>
        <v>-text 447792.0926,3039589.8477 7 0 IP80</v>
      </c>
      <c r="U112" s="199" t="str">
        <f t="shared" si="27"/>
        <v>dt 447792.0926,3039589.8477 5 0 IP80(447792.0926,3039589.8477)*</v>
      </c>
      <c r="V112" s="211"/>
      <c r="W112" s="209" t="str">
        <f t="shared" si="28"/>
        <v>dt 447782.0926,3039579.8477 5 0 R=12*T=5.264*S=9.921*α=47.374*</v>
      </c>
    </row>
    <row r="113" spans="1:23" x14ac:dyDescent="0.25">
      <c r="A113" s="199">
        <f t="shared" si="31"/>
        <v>81</v>
      </c>
      <c r="B113" s="199" t="str">
        <f t="shared" si="32"/>
        <v>IP81</v>
      </c>
      <c r="C113" s="199"/>
      <c r="D113" s="199">
        <v>112</v>
      </c>
      <c r="E113" s="204">
        <f>中心线!D115</f>
        <v>447767.32900000003</v>
      </c>
      <c r="F113" s="204">
        <f>中心线!E115</f>
        <v>3039556.5726999999</v>
      </c>
      <c r="G113" s="201">
        <v>12</v>
      </c>
      <c r="H113" s="202">
        <f t="shared" si="33"/>
        <v>40.201000000000001</v>
      </c>
      <c r="I113" s="202">
        <f t="shared" si="25"/>
        <v>4.3914951429290046</v>
      </c>
      <c r="J113" s="202">
        <f t="shared" si="26"/>
        <v>8.4196777511308856</v>
      </c>
      <c r="K113" s="202">
        <f t="shared" si="34"/>
        <v>41.47844633000615</v>
      </c>
      <c r="L113" s="202">
        <f t="shared" si="38"/>
        <v>11065.37578006378</v>
      </c>
      <c r="M113" s="202">
        <f t="shared" si="39"/>
        <v>11069.585618939345</v>
      </c>
      <c r="N113" s="202">
        <f t="shared" si="40"/>
        <v>11073.795457814911</v>
      </c>
      <c r="O113" s="202" t="str">
        <f t="shared" si="29"/>
        <v>circle 447767.329,3039556.5727 1</v>
      </c>
      <c r="Q113" s="208">
        <f t="shared" si="35"/>
        <v>37.086951187077148</v>
      </c>
      <c r="R113" s="202">
        <f t="shared" si="36"/>
        <v>28.79896452745006</v>
      </c>
      <c r="S113" s="202">
        <f t="shared" si="37"/>
        <v>31.822566509865311</v>
      </c>
      <c r="T113" s="199" t="str">
        <f t="shared" si="30"/>
        <v>-text 447767.329,3039556.5727 7 0 IP81</v>
      </c>
      <c r="U113" s="199" t="str">
        <f t="shared" si="27"/>
        <v>dt 447767.329,3039556.5727 5 0 IP81(447767.329,3039556.5727)*</v>
      </c>
      <c r="V113" s="211"/>
      <c r="W113" s="209" t="str">
        <f t="shared" si="28"/>
        <v>dt 447757.329,3039546.5727 5 0 R=12*T=4.391*S=8.419*α=40.201*</v>
      </c>
    </row>
    <row r="114" spans="1:23" x14ac:dyDescent="0.25">
      <c r="A114" s="199">
        <f t="shared" si="31"/>
        <v>82</v>
      </c>
      <c r="B114" s="199" t="str">
        <f t="shared" si="32"/>
        <v>IP82</v>
      </c>
      <c r="C114" s="199"/>
      <c r="D114" s="199">
        <v>113</v>
      </c>
      <c r="E114" s="204">
        <f>中心线!D116</f>
        <v>447735.00780000002</v>
      </c>
      <c r="F114" s="204">
        <f>中心线!E116</f>
        <v>3039549.0263999999</v>
      </c>
      <c r="G114" s="201">
        <v>12</v>
      </c>
      <c r="H114" s="202">
        <f t="shared" si="33"/>
        <v>49.746000000000002</v>
      </c>
      <c r="I114" s="202">
        <f t="shared" si="25"/>
        <v>5.5633427409847425</v>
      </c>
      <c r="J114" s="202">
        <f t="shared" si="26"/>
        <v>10.418777876365191</v>
      </c>
      <c r="K114" s="202">
        <f t="shared" si="34"/>
        <v>33.190459670379063</v>
      </c>
      <c r="L114" s="202">
        <f t="shared" si="38"/>
        <v>11097.031079601376</v>
      </c>
      <c r="M114" s="202">
        <f t="shared" si="39"/>
        <v>11102.24046853956</v>
      </c>
      <c r="N114" s="202">
        <f t="shared" si="40"/>
        <v>11107.449857477741</v>
      </c>
      <c r="O114" s="202" t="str">
        <f t="shared" si="29"/>
        <v>circle 447735.0078,3039549.0264 1</v>
      </c>
      <c r="Q114" s="208">
        <f t="shared" si="35"/>
        <v>27.627116929394319</v>
      </c>
      <c r="R114" s="202">
        <f t="shared" si="36"/>
        <v>0.65643015260495474</v>
      </c>
      <c r="S114" s="202">
        <f t="shared" si="37"/>
        <v>23.235621786465316</v>
      </c>
      <c r="T114" s="199" t="str">
        <f t="shared" si="30"/>
        <v>-text 447735.0078,3039549.0264 7 0 IP82</v>
      </c>
      <c r="U114" s="199" t="str">
        <f t="shared" si="27"/>
        <v>dt 447735.0078,3039549.0264 5 0 IP82(447735.0078,3039549.0264)*</v>
      </c>
      <c r="V114" s="211"/>
      <c r="W114" s="209" t="str">
        <f t="shared" si="28"/>
        <v>dt 447725.0078,3039539.0264 5 0 R=12*T=5.563*S=10.418*α=49.746*</v>
      </c>
    </row>
    <row r="115" spans="1:23" x14ac:dyDescent="0.25">
      <c r="A115" s="199">
        <f t="shared" si="31"/>
        <v>83</v>
      </c>
      <c r="B115" s="199" t="str">
        <f t="shared" si="32"/>
        <v>IP83</v>
      </c>
      <c r="C115" s="206"/>
      <c r="D115" s="199">
        <v>114</v>
      </c>
      <c r="E115" s="204">
        <f>中心线!D117</f>
        <v>447732.17320000002</v>
      </c>
      <c r="F115" s="204">
        <f>中心线!E117</f>
        <v>3039543.4901000001</v>
      </c>
      <c r="G115" s="201">
        <v>0</v>
      </c>
      <c r="H115" s="202">
        <f t="shared" si="33"/>
        <v>1E-3</v>
      </c>
      <c r="I115" s="202">
        <f t="shared" si="25"/>
        <v>0</v>
      </c>
      <c r="J115" s="202">
        <f t="shared" si="26"/>
        <v>0</v>
      </c>
      <c r="K115" s="202">
        <f t="shared" si="34"/>
        <v>6.2197728935896972</v>
      </c>
      <c r="L115" s="202">
        <f t="shared" si="38"/>
        <v>11108.106287630348</v>
      </c>
      <c r="M115" s="202">
        <f t="shared" si="39"/>
        <v>11108.106287630348</v>
      </c>
      <c r="N115" s="202">
        <f t="shared" si="40"/>
        <v>11108.106287630348</v>
      </c>
      <c r="O115" s="202" t="str">
        <f t="shared" si="29"/>
        <v>circle 447732.1732,3039543.4901 1</v>
      </c>
      <c r="Q115" s="208">
        <f t="shared" si="35"/>
        <v>6.2197728935896972</v>
      </c>
      <c r="R115" s="202">
        <f t="shared" si="36"/>
        <v>5.9987490863463124</v>
      </c>
      <c r="S115" s="202">
        <f t="shared" si="37"/>
        <v>0.65643015260495474</v>
      </c>
      <c r="T115" s="199" t="str">
        <f t="shared" si="30"/>
        <v>-text 447732.1732,3039543.4901 7 0 IP83</v>
      </c>
      <c r="U115" s="199" t="str">
        <f t="shared" si="27"/>
        <v>dt 447732.1732,3039543.4901 5 0 IP83(447732.1732,3039543.4901)*</v>
      </c>
      <c r="V115" s="211"/>
      <c r="W115" s="209" t="str">
        <f t="shared" si="28"/>
        <v>dt 447722.1732,3039533.4901 5 0 R=0*T=0*S=0*α=0.001*</v>
      </c>
    </row>
    <row r="116" spans="1:23" x14ac:dyDescent="0.25">
      <c r="A116" s="199">
        <f t="shared" si="31"/>
        <v>83</v>
      </c>
      <c r="B116" s="199" t="str">
        <f t="shared" si="32"/>
        <v>4#渡槽进</v>
      </c>
      <c r="C116" s="199" t="s">
        <v>614</v>
      </c>
      <c r="D116" s="199">
        <v>115</v>
      </c>
      <c r="E116" s="204">
        <f>中心线!D118</f>
        <v>447729.43939999997</v>
      </c>
      <c r="F116" s="204">
        <f>中心线!E118</f>
        <v>3039538.1505</v>
      </c>
      <c r="G116" s="201">
        <v>0</v>
      </c>
      <c r="H116" s="202">
        <f t="shared" si="33"/>
        <v>0</v>
      </c>
      <c r="I116" s="202">
        <f t="shared" si="25"/>
        <v>0</v>
      </c>
      <c r="J116" s="202">
        <f t="shared" si="26"/>
        <v>0</v>
      </c>
      <c r="K116" s="202">
        <f t="shared" si="34"/>
        <v>5.9987490863463124</v>
      </c>
      <c r="L116" s="202">
        <f t="shared" si="38"/>
        <v>11114.105036716694</v>
      </c>
      <c r="M116" s="202">
        <f t="shared" si="39"/>
        <v>11114.105036716694</v>
      </c>
      <c r="N116" s="202">
        <f t="shared" si="40"/>
        <v>11114.105036716694</v>
      </c>
      <c r="O116" s="202" t="str">
        <f t="shared" si="29"/>
        <v>circle 447729.4394,3039538.1505 1</v>
      </c>
      <c r="Q116" s="208">
        <f t="shared" si="35"/>
        <v>5.9987490863463124</v>
      </c>
      <c r="R116" s="202">
        <f t="shared" si="36"/>
        <v>114.00056763383178</v>
      </c>
      <c r="S116" s="202">
        <f t="shared" si="37"/>
        <v>5.9987490863463124</v>
      </c>
      <c r="T116" s="199" t="str">
        <f t="shared" si="30"/>
        <v>-text 447729.4394,3039538.1505 7 0 4#渡槽进</v>
      </c>
      <c r="U116" s="199" t="str">
        <f t="shared" si="27"/>
        <v>dt 447729.4394,3039538.1505 5 0 4#渡槽进(447729.4394,3039538.1505)*</v>
      </c>
      <c r="V116" s="211"/>
      <c r="W116" s="209" t="str">
        <f t="shared" si="28"/>
        <v>dt 447719.4394,3039528.1505 5 0 R=0*T=0*S=0*α=0*</v>
      </c>
    </row>
    <row r="117" spans="1:23" x14ac:dyDescent="0.25">
      <c r="A117" s="199">
        <f t="shared" si="31"/>
        <v>83</v>
      </c>
      <c r="B117" s="199" t="str">
        <f t="shared" si="32"/>
        <v>4#渡槽出</v>
      </c>
      <c r="C117" s="199" t="s">
        <v>615</v>
      </c>
      <c r="D117" s="199">
        <v>116</v>
      </c>
      <c r="E117" s="204">
        <f>中心线!D119</f>
        <v>447677.48560000001</v>
      </c>
      <c r="F117" s="204">
        <f>中心线!E119</f>
        <v>3039436.6767000002</v>
      </c>
      <c r="G117" s="201">
        <v>0</v>
      </c>
      <c r="H117" s="202">
        <f t="shared" si="33"/>
        <v>0</v>
      </c>
      <c r="I117" s="202">
        <f t="shared" si="25"/>
        <v>0</v>
      </c>
      <c r="J117" s="202">
        <f t="shared" si="26"/>
        <v>0</v>
      </c>
      <c r="K117" s="202">
        <f t="shared" si="34"/>
        <v>114.00056763383178</v>
      </c>
      <c r="L117" s="202">
        <f t="shared" si="38"/>
        <v>11228.105604350525</v>
      </c>
      <c r="M117" s="202">
        <f t="shared" si="39"/>
        <v>11228.105604350525</v>
      </c>
      <c r="N117" s="202">
        <f t="shared" si="40"/>
        <v>11228.105604350525</v>
      </c>
      <c r="O117" s="202" t="str">
        <f t="shared" si="29"/>
        <v>circle 447677.4856,3039436.6767 1</v>
      </c>
      <c r="Q117" s="208">
        <f t="shared" si="35"/>
        <v>114.00056763383178</v>
      </c>
      <c r="R117" s="202">
        <f t="shared" si="36"/>
        <v>11.320520322634495</v>
      </c>
      <c r="S117" s="202">
        <f t="shared" si="37"/>
        <v>114.00056763383178</v>
      </c>
      <c r="T117" s="199" t="str">
        <f t="shared" si="30"/>
        <v>-text 447677.4856,3039436.6767 7 0 4#渡槽出</v>
      </c>
      <c r="U117" s="199" t="str">
        <f t="shared" si="27"/>
        <v>dt 447677.4856,3039436.6767 5 0 4#渡槽出(447677.4856,3039436.6767)*</v>
      </c>
      <c r="V117" s="211"/>
      <c r="W117" s="209" t="str">
        <f t="shared" si="28"/>
        <v>dt 447667.4856,3039426.6767 5 0 R=0*T=0*S=0*α=0*</v>
      </c>
    </row>
    <row r="118" spans="1:23" x14ac:dyDescent="0.25">
      <c r="A118" s="199">
        <f t="shared" si="31"/>
        <v>83</v>
      </c>
      <c r="B118" s="199" t="str">
        <f t="shared" si="32"/>
        <v>2#隧洞进</v>
      </c>
      <c r="C118" s="206" t="s">
        <v>616</v>
      </c>
      <c r="D118" s="199">
        <v>117</v>
      </c>
      <c r="E118" s="204">
        <f>中心线!D120</f>
        <v>447672.32650000002</v>
      </c>
      <c r="F118" s="204">
        <f>中心线!E120</f>
        <v>3039426.6000999999</v>
      </c>
      <c r="G118" s="201">
        <v>0</v>
      </c>
      <c r="H118" s="202">
        <f t="shared" si="33"/>
        <v>0</v>
      </c>
      <c r="I118" s="202">
        <f t="shared" si="25"/>
        <v>0</v>
      </c>
      <c r="J118" s="202">
        <f t="shared" si="26"/>
        <v>0</v>
      </c>
      <c r="K118" s="202">
        <f t="shared" si="34"/>
        <v>11.320520322634495</v>
      </c>
      <c r="L118" s="202">
        <f t="shared" si="38"/>
        <v>11239.42612467316</v>
      </c>
      <c r="M118" s="202">
        <f t="shared" si="39"/>
        <v>11239.42612467316</v>
      </c>
      <c r="N118" s="202">
        <f t="shared" si="40"/>
        <v>11239.42612467316</v>
      </c>
      <c r="O118" s="202" t="str">
        <f t="shared" si="29"/>
        <v>circle 447672.3265,3039426.6001 1</v>
      </c>
      <c r="Q118" s="208">
        <f t="shared" si="35"/>
        <v>11.320520322634495</v>
      </c>
      <c r="R118" s="202">
        <f t="shared" si="36"/>
        <v>95.444248651443232</v>
      </c>
      <c r="S118" s="202">
        <f t="shared" si="37"/>
        <v>11.320520322634495</v>
      </c>
      <c r="T118" s="199" t="str">
        <f t="shared" si="30"/>
        <v>-text 447672.3265,3039426.6001 7 0 2#隧洞进</v>
      </c>
      <c r="U118" s="199" t="str">
        <f t="shared" si="27"/>
        <v>dt 447672.3265,3039426.6001 5 0 2#隧洞进(447672.3265,3039426.6001)*</v>
      </c>
      <c r="V118" s="211"/>
      <c r="W118" s="209" t="str">
        <f t="shared" si="28"/>
        <v>dt 447662.3265,3039416.6001 5 0 R=0*T=0*S=0*α=0*</v>
      </c>
    </row>
    <row r="119" spans="1:23" x14ac:dyDescent="0.25">
      <c r="A119" s="199">
        <f t="shared" si="31"/>
        <v>83</v>
      </c>
      <c r="B119" s="199" t="str">
        <f t="shared" si="32"/>
        <v>2#隧洞出</v>
      </c>
      <c r="C119" s="199" t="s">
        <v>617</v>
      </c>
      <c r="D119" s="199">
        <v>118</v>
      </c>
      <c r="E119" s="204">
        <f>中心线!D121</f>
        <v>447628.82939999999</v>
      </c>
      <c r="F119" s="204">
        <f>中心线!E121</f>
        <v>3039341.6436000001</v>
      </c>
      <c r="G119" s="201">
        <v>0</v>
      </c>
      <c r="H119" s="202">
        <f t="shared" si="33"/>
        <v>0</v>
      </c>
      <c r="I119" s="202">
        <f t="shared" si="25"/>
        <v>0</v>
      </c>
      <c r="J119" s="202">
        <f t="shared" si="26"/>
        <v>0</v>
      </c>
      <c r="K119" s="202">
        <f t="shared" si="34"/>
        <v>95.444248651443232</v>
      </c>
      <c r="L119" s="202">
        <f t="shared" si="38"/>
        <v>11334.870373324604</v>
      </c>
      <c r="M119" s="202">
        <f t="shared" si="39"/>
        <v>11334.870373324604</v>
      </c>
      <c r="N119" s="202">
        <f t="shared" si="40"/>
        <v>11334.870373324604</v>
      </c>
      <c r="O119" s="202" t="str">
        <f t="shared" si="29"/>
        <v>circle 447628.8294,3039341.6436 1</v>
      </c>
      <c r="Q119" s="208">
        <f t="shared" si="35"/>
        <v>95.444248651443232</v>
      </c>
      <c r="R119" s="202">
        <f t="shared" si="36"/>
        <v>14.660866139815534</v>
      </c>
      <c r="S119" s="202">
        <f t="shared" si="37"/>
        <v>95.444248651443232</v>
      </c>
      <c r="T119" s="199" t="str">
        <f t="shared" si="30"/>
        <v>-text 447628.8294,3039341.6436 7 0 2#隧洞出</v>
      </c>
      <c r="U119" s="199" t="str">
        <f t="shared" si="27"/>
        <v>dt 447628.8294,3039341.6436 5 0 2#隧洞出(447628.8294,3039341.6436)*</v>
      </c>
      <c r="V119" s="211"/>
      <c r="W119" s="209" t="str">
        <f t="shared" si="28"/>
        <v>dt 447618.8294,3039331.6436 5 0 R=0*T=0*S=0*α=0*</v>
      </c>
    </row>
    <row r="120" spans="1:23" x14ac:dyDescent="0.25">
      <c r="A120" s="199">
        <f t="shared" si="31"/>
        <v>83</v>
      </c>
      <c r="B120" s="199" t="str">
        <f t="shared" si="32"/>
        <v>5#渡槽进</v>
      </c>
      <c r="C120" s="199" t="s">
        <v>618</v>
      </c>
      <c r="D120" s="199">
        <v>119</v>
      </c>
      <c r="E120" s="204">
        <f>中心线!D122</f>
        <v>447622.14799999999</v>
      </c>
      <c r="F120" s="204">
        <f>中心线!E122</f>
        <v>3039328.5937000001</v>
      </c>
      <c r="G120" s="201">
        <v>0</v>
      </c>
      <c r="H120" s="202">
        <f t="shared" si="33"/>
        <v>0</v>
      </c>
      <c r="I120" s="202">
        <f t="shared" si="25"/>
        <v>0</v>
      </c>
      <c r="J120" s="202">
        <f t="shared" si="26"/>
        <v>0</v>
      </c>
      <c r="K120" s="202">
        <f t="shared" si="34"/>
        <v>14.660866139815534</v>
      </c>
      <c r="L120" s="202">
        <f t="shared" si="38"/>
        <v>11349.531239464419</v>
      </c>
      <c r="M120" s="202">
        <f t="shared" si="39"/>
        <v>11349.531239464419</v>
      </c>
      <c r="N120" s="202">
        <f t="shared" si="40"/>
        <v>11349.531239464419</v>
      </c>
      <c r="O120" s="202" t="str">
        <f t="shared" si="29"/>
        <v>circle 447622.148,3039328.5937 1</v>
      </c>
      <c r="Q120" s="208">
        <f t="shared" si="35"/>
        <v>14.660866139815534</v>
      </c>
      <c r="R120" s="202">
        <f t="shared" si="36"/>
        <v>149.99995234273692</v>
      </c>
      <c r="S120" s="202">
        <f t="shared" si="37"/>
        <v>14.660866139815534</v>
      </c>
      <c r="T120" s="199" t="str">
        <f t="shared" si="30"/>
        <v>-text 447622.148,3039328.5937 7 0 5#渡槽进</v>
      </c>
      <c r="U120" s="199" t="str">
        <f t="shared" si="27"/>
        <v>dt 447622.148,3039328.5937 5 0 5#渡槽进(447622.148,3039328.5937)*</v>
      </c>
      <c r="V120" s="211"/>
      <c r="W120" s="209" t="str">
        <f t="shared" si="28"/>
        <v>dt 447612.148,3039318.5937 5 0 R=0*T=0*S=0*α=0*</v>
      </c>
    </row>
    <row r="121" spans="1:23" x14ac:dyDescent="0.25">
      <c r="A121" s="199">
        <f t="shared" si="31"/>
        <v>83</v>
      </c>
      <c r="B121" s="199" t="str">
        <f t="shared" si="32"/>
        <v>5#渡槽出</v>
      </c>
      <c r="C121" s="206" t="s">
        <v>619</v>
      </c>
      <c r="D121" s="199">
        <v>120</v>
      </c>
      <c r="E121" s="204">
        <f>中心线!D123</f>
        <v>447553.788</v>
      </c>
      <c r="F121" s="204">
        <f>中心线!E123</f>
        <v>3039195.0762999998</v>
      </c>
      <c r="G121" s="201">
        <v>0</v>
      </c>
      <c r="H121" s="202">
        <f t="shared" si="33"/>
        <v>0</v>
      </c>
      <c r="I121" s="202">
        <f t="shared" si="25"/>
        <v>0</v>
      </c>
      <c r="J121" s="202">
        <f t="shared" si="26"/>
        <v>0</v>
      </c>
      <c r="K121" s="202">
        <f t="shared" si="34"/>
        <v>149.99995234273692</v>
      </c>
      <c r="L121" s="202">
        <f t="shared" si="38"/>
        <v>11499.531191807157</v>
      </c>
      <c r="M121" s="202">
        <f t="shared" si="39"/>
        <v>11499.531191807157</v>
      </c>
      <c r="N121" s="202">
        <f t="shared" si="40"/>
        <v>11499.531191807157</v>
      </c>
      <c r="O121" s="202" t="str">
        <f t="shared" si="29"/>
        <v>circle 447553.788,3039195.0763 1</v>
      </c>
      <c r="Q121" s="208">
        <f t="shared" si="35"/>
        <v>149.99995234273692</v>
      </c>
      <c r="R121" s="202">
        <f t="shared" si="36"/>
        <v>10.999987485617014</v>
      </c>
      <c r="S121" s="202">
        <f t="shared" si="37"/>
        <v>149.99995234273692</v>
      </c>
      <c r="T121" s="199" t="str">
        <f t="shared" si="30"/>
        <v>-text 447553.788,3039195.0763 7 0 5#渡槽出</v>
      </c>
      <c r="U121" s="199" t="str">
        <f t="shared" si="27"/>
        <v>dt 447553.788,3039195.0763 5 0 5#渡槽出(447553.788,3039195.0763)*</v>
      </c>
      <c r="V121" s="211"/>
      <c r="W121" s="209" t="str">
        <f t="shared" si="28"/>
        <v>dt 447543.788,3039185.0763 5 0 R=0*T=0*S=0*α=0*</v>
      </c>
    </row>
    <row r="122" spans="1:23" x14ac:dyDescent="0.25">
      <c r="A122" s="199">
        <f t="shared" si="31"/>
        <v>83</v>
      </c>
      <c r="B122" s="199" t="str">
        <f t="shared" si="32"/>
        <v>3#隧洞进</v>
      </c>
      <c r="C122" s="199" t="s">
        <v>620</v>
      </c>
      <c r="D122" s="199">
        <v>121</v>
      </c>
      <c r="E122" s="204">
        <f>中心线!D124</f>
        <v>447548.77500000002</v>
      </c>
      <c r="F122" s="204">
        <f>中心线!E124</f>
        <v>3039185.2850000001</v>
      </c>
      <c r="G122" s="201">
        <v>0</v>
      </c>
      <c r="H122" s="202">
        <f t="shared" si="33"/>
        <v>0</v>
      </c>
      <c r="I122" s="202">
        <f t="shared" si="25"/>
        <v>0</v>
      </c>
      <c r="J122" s="202">
        <f t="shared" si="26"/>
        <v>0</v>
      </c>
      <c r="K122" s="202">
        <f t="shared" si="34"/>
        <v>10.999987485617014</v>
      </c>
      <c r="L122" s="202">
        <f t="shared" si="38"/>
        <v>11510.531179292773</v>
      </c>
      <c r="M122" s="202">
        <f t="shared" si="39"/>
        <v>11510.531179292773</v>
      </c>
      <c r="N122" s="202">
        <f t="shared" si="40"/>
        <v>11510.531179292773</v>
      </c>
      <c r="O122" s="202" t="str">
        <f t="shared" si="29"/>
        <v>circle 447548.775,3039185.285 1</v>
      </c>
      <c r="Q122" s="208">
        <f t="shared" si="35"/>
        <v>10.999987485617014</v>
      </c>
      <c r="R122" s="202">
        <f t="shared" si="36"/>
        <v>58.292029817694839</v>
      </c>
      <c r="S122" s="202">
        <f t="shared" si="37"/>
        <v>10.999987485617014</v>
      </c>
      <c r="T122" s="199" t="str">
        <f t="shared" si="30"/>
        <v>-text 447548.775,3039185.285 7 0 3#隧洞进</v>
      </c>
      <c r="U122" s="199" t="str">
        <f t="shared" si="27"/>
        <v>dt 447548.775,3039185.285 5 0 3#隧洞进(447548.775,3039185.285)*</v>
      </c>
      <c r="V122" s="211"/>
      <c r="W122" s="209" t="str">
        <f t="shared" si="28"/>
        <v>dt 447538.775,3039175.285 5 0 R=0*T=0*S=0*α=0*</v>
      </c>
    </row>
    <row r="123" spans="1:23" x14ac:dyDescent="0.25">
      <c r="A123" s="199">
        <f t="shared" si="31"/>
        <v>84</v>
      </c>
      <c r="B123" s="199" t="str">
        <f t="shared" si="32"/>
        <v>IP84</v>
      </c>
      <c r="C123" s="206"/>
      <c r="D123" s="199">
        <v>122</v>
      </c>
      <c r="E123" s="204">
        <f>中心线!D125</f>
        <v>447522.20939999999</v>
      </c>
      <c r="F123" s="204">
        <f>中心线!E125</f>
        <v>3039133.3983</v>
      </c>
      <c r="G123" s="201">
        <v>12</v>
      </c>
      <c r="H123" s="202">
        <f t="shared" si="33"/>
        <v>16.311</v>
      </c>
      <c r="I123" s="202">
        <f t="shared" si="25"/>
        <v>1.7197138854260328</v>
      </c>
      <c r="J123" s="202">
        <f t="shared" si="26"/>
        <v>3.4161678515135412</v>
      </c>
      <c r="K123" s="202">
        <f t="shared" si="34"/>
        <v>58.292029817694839</v>
      </c>
      <c r="L123" s="202">
        <f t="shared" si="38"/>
        <v>11567.103495225041</v>
      </c>
      <c r="M123" s="202">
        <f t="shared" si="39"/>
        <v>11568.811579150797</v>
      </c>
      <c r="N123" s="202">
        <f t="shared" si="40"/>
        <v>11570.519663076555</v>
      </c>
      <c r="O123" s="202" t="str">
        <f t="shared" si="29"/>
        <v>circle 447522.2094,3039133.3983 1</v>
      </c>
      <c r="Q123" s="208">
        <f t="shared" si="35"/>
        <v>56.572315932268808</v>
      </c>
      <c r="R123" s="202">
        <f t="shared" si="36"/>
        <v>92.758641703740011</v>
      </c>
      <c r="S123" s="202">
        <f t="shared" si="37"/>
        <v>56.572315932268808</v>
      </c>
      <c r="T123" s="199" t="str">
        <f t="shared" si="30"/>
        <v>-text 447522.2094,3039133.3983 7 0 IP84</v>
      </c>
      <c r="U123" s="199" t="str">
        <f t="shared" si="27"/>
        <v>dt 447522.2094,3039133.3983 5 0 IP84(447522.2094,3039133.3983)*</v>
      </c>
      <c r="V123" s="211"/>
      <c r="W123" s="209" t="str">
        <f t="shared" si="28"/>
        <v>dt 447512.2094,3039123.3983 5 0 R=12*T=1.719*S=3.416*α=16.311*</v>
      </c>
    </row>
    <row r="124" spans="1:23" x14ac:dyDescent="0.25">
      <c r="A124" s="199">
        <f t="shared" si="31"/>
        <v>84</v>
      </c>
      <c r="B124" s="199" t="str">
        <f t="shared" si="32"/>
        <v>3#隧洞出</v>
      </c>
      <c r="C124" s="206" t="s">
        <v>621</v>
      </c>
      <c r="D124" s="199">
        <v>123</v>
      </c>
      <c r="E124" s="204">
        <f>中心线!D126</f>
        <v>447457.26630000002</v>
      </c>
      <c r="F124" s="204">
        <f>中心线!E126</f>
        <v>3039064.7793999999</v>
      </c>
      <c r="G124" s="201">
        <v>0</v>
      </c>
      <c r="H124" s="202">
        <f t="shared" si="33"/>
        <v>0</v>
      </c>
      <c r="I124" s="202">
        <f t="shared" si="25"/>
        <v>0</v>
      </c>
      <c r="J124" s="202">
        <f t="shared" si="26"/>
        <v>0</v>
      </c>
      <c r="K124" s="202">
        <f t="shared" si="34"/>
        <v>94.478355589166043</v>
      </c>
      <c r="L124" s="202">
        <f t="shared" si="38"/>
        <v>11663.278304780293</v>
      </c>
      <c r="M124" s="202">
        <f t="shared" si="39"/>
        <v>11663.278304780293</v>
      </c>
      <c r="N124" s="202">
        <f t="shared" si="40"/>
        <v>11663.278304780293</v>
      </c>
      <c r="O124" s="202" t="str">
        <f t="shared" si="29"/>
        <v>circle 447457.2663,3039064.7794 1</v>
      </c>
      <c r="Q124" s="208">
        <f t="shared" si="35"/>
        <v>94.478355589166043</v>
      </c>
      <c r="R124" s="202">
        <f t="shared" si="36"/>
        <v>44.378272426537542</v>
      </c>
      <c r="S124" s="202">
        <f t="shared" si="37"/>
        <v>92.758641703740011</v>
      </c>
      <c r="T124" s="199" t="str">
        <f t="shared" si="30"/>
        <v>-text 447457.2663,3039064.7794 7 0 3#隧洞出</v>
      </c>
      <c r="U124" s="199" t="str">
        <f t="shared" si="27"/>
        <v>dt 447457.2663,3039064.7794 5 0 3#隧洞出(447457.2663,3039064.7794)*</v>
      </c>
      <c r="V124" s="211"/>
      <c r="W124" s="209" t="str">
        <f t="shared" si="28"/>
        <v>dt 447447.2663,3039054.7794 5 0 R=0*T=0*S=0*α=0*</v>
      </c>
    </row>
    <row r="125" spans="1:23" x14ac:dyDescent="0.25">
      <c r="A125" s="199">
        <f t="shared" si="31"/>
        <v>84</v>
      </c>
      <c r="B125" s="199" t="str">
        <f t="shared" si="32"/>
        <v>9#倒虹吸进</v>
      </c>
      <c r="C125" s="206" t="s">
        <v>622</v>
      </c>
      <c r="D125" s="199">
        <v>124</v>
      </c>
      <c r="E125" s="204">
        <f>中心线!D127</f>
        <v>447426.76130000001</v>
      </c>
      <c r="F125" s="204">
        <f>中心线!E127</f>
        <v>3039032.5477999998</v>
      </c>
      <c r="G125" s="201">
        <v>0</v>
      </c>
      <c r="H125" s="202">
        <f t="shared" si="33"/>
        <v>0</v>
      </c>
      <c r="I125" s="202">
        <f t="shared" si="25"/>
        <v>0</v>
      </c>
      <c r="J125" s="202">
        <f t="shared" si="26"/>
        <v>0</v>
      </c>
      <c r="K125" s="202">
        <f t="shared" si="34"/>
        <v>44.378272426537542</v>
      </c>
      <c r="L125" s="202">
        <f t="shared" si="38"/>
        <v>11707.656577206832</v>
      </c>
      <c r="M125" s="202">
        <f t="shared" si="39"/>
        <v>11707.656577206832</v>
      </c>
      <c r="N125" s="202">
        <f t="shared" si="40"/>
        <v>11707.656577206832</v>
      </c>
      <c r="O125" s="202" t="str">
        <f t="shared" si="29"/>
        <v>circle 447426.7613,3039032.5478 1</v>
      </c>
      <c r="Q125" s="208">
        <f t="shared" si="35"/>
        <v>44.378272426537542</v>
      </c>
      <c r="R125" s="202">
        <f t="shared" si="36"/>
        <v>337.79588142119474</v>
      </c>
      <c r="S125" s="202">
        <f t="shared" si="37"/>
        <v>44.378272426537542</v>
      </c>
      <c r="T125" s="199" t="str">
        <f t="shared" si="30"/>
        <v>-text 447426.7613,3039032.5478 7 0 9#倒虹吸进</v>
      </c>
      <c r="U125" s="199" t="str">
        <f t="shared" si="27"/>
        <v>dt 447426.7613,3039032.5478 5 0 9#倒虹吸进(447426.7613,3039032.5478)*</v>
      </c>
      <c r="V125" s="211"/>
      <c r="W125" s="209" t="str">
        <f t="shared" si="28"/>
        <v>dt 447416.7613,3039022.5478 5 0 R=0*T=0*S=0*α=0*</v>
      </c>
    </row>
    <row r="126" spans="1:23" x14ac:dyDescent="0.25">
      <c r="A126" s="199">
        <f t="shared" si="31"/>
        <v>85</v>
      </c>
      <c r="B126" s="199" t="str">
        <f t="shared" si="32"/>
        <v>IP85</v>
      </c>
      <c r="C126" s="206"/>
      <c r="D126" s="199">
        <v>125</v>
      </c>
      <c r="E126" s="204">
        <f>中心线!D128</f>
        <v>447194.56520000001</v>
      </c>
      <c r="F126" s="204">
        <f>中心线!E128</f>
        <v>3038787.2091999999</v>
      </c>
      <c r="G126" s="213">
        <v>5.4</v>
      </c>
      <c r="H126" s="202">
        <f t="shared" si="33"/>
        <v>5.6319999999999997</v>
      </c>
      <c r="I126" s="202">
        <f t="shared" si="25"/>
        <v>0.26561565309367607</v>
      </c>
      <c r="J126" s="202">
        <f t="shared" si="26"/>
        <v>0.53080349475053146</v>
      </c>
      <c r="K126" s="202">
        <f t="shared" si="34"/>
        <v>337.79588142119474</v>
      </c>
      <c r="L126" s="202">
        <f t="shared" si="38"/>
        <v>12045.186842974932</v>
      </c>
      <c r="M126" s="202">
        <f t="shared" si="39"/>
        <v>12045.452244722308</v>
      </c>
      <c r="N126" s="202">
        <f t="shared" si="40"/>
        <v>12045.717646469682</v>
      </c>
      <c r="O126" s="202" t="str">
        <f t="shared" si="29"/>
        <v>circle 447194.5652,3038787.2092 1</v>
      </c>
      <c r="Q126" s="208">
        <f t="shared" si="35"/>
        <v>337.53026576810106</v>
      </c>
      <c r="R126" s="202">
        <f t="shared" si="36"/>
        <v>268.51739068173782</v>
      </c>
      <c r="S126" s="202">
        <f t="shared" si="37"/>
        <v>337.53026576810106</v>
      </c>
      <c r="T126" s="199" t="str">
        <f t="shared" si="30"/>
        <v>-text 447194.5652,3038787.2092 7 0 IP85</v>
      </c>
      <c r="U126" s="199" t="str">
        <f t="shared" si="27"/>
        <v>dt 447194.5652,3038787.2092 5 0 IP85(447194.5652,3038787.2092)*</v>
      </c>
      <c r="V126" s="211"/>
      <c r="W126" s="209" t="str">
        <f t="shared" si="28"/>
        <v>dt 447184.5652,3038777.2092 5 0 R=5.4*T=0.265*S=0.53*α=5.632*</v>
      </c>
    </row>
    <row r="127" spans="1:23" x14ac:dyDescent="0.25">
      <c r="A127" s="199">
        <f t="shared" si="31"/>
        <v>85</v>
      </c>
      <c r="B127" s="199" t="str">
        <f t="shared" si="32"/>
        <v>9#倒虹吸出</v>
      </c>
      <c r="C127" s="199" t="s">
        <v>623</v>
      </c>
      <c r="D127" s="199">
        <v>126</v>
      </c>
      <c r="E127" s="204">
        <f>中心线!D129</f>
        <v>446991.5416</v>
      </c>
      <c r="F127" s="204">
        <f>中心线!E129</f>
        <v>3038611.068</v>
      </c>
      <c r="G127" s="201">
        <v>0</v>
      </c>
      <c r="H127" s="202">
        <f t="shared" si="33"/>
        <v>0</v>
      </c>
      <c r="I127" s="202">
        <f t="shared" si="25"/>
        <v>0</v>
      </c>
      <c r="J127" s="202">
        <f t="shared" si="26"/>
        <v>0</v>
      </c>
      <c r="K127" s="202">
        <f t="shared" si="34"/>
        <v>268.7830063348315</v>
      </c>
      <c r="L127" s="202">
        <f t="shared" si="38"/>
        <v>12314.235037151422</v>
      </c>
      <c r="M127" s="202">
        <f t="shared" si="39"/>
        <v>12314.235037151422</v>
      </c>
      <c r="N127" s="202">
        <f t="shared" si="40"/>
        <v>12314.235037151422</v>
      </c>
      <c r="O127" s="202" t="str">
        <f t="shared" si="29"/>
        <v>circle 446991.5416,3038611.068 1</v>
      </c>
      <c r="Q127" s="208">
        <f t="shared" si="35"/>
        <v>268.7830063348315</v>
      </c>
      <c r="R127" s="202">
        <f t="shared" si="36"/>
        <v>25.92224499931924</v>
      </c>
      <c r="S127" s="202">
        <f t="shared" si="37"/>
        <v>268.51739068173782</v>
      </c>
      <c r="T127" s="199" t="str">
        <f t="shared" si="30"/>
        <v>-text 446991.5416,3038611.068 7 0 9#倒虹吸出</v>
      </c>
      <c r="U127" s="199" t="str">
        <f t="shared" si="27"/>
        <v>dt 446991.5416,3038611.068 5 0 9#倒虹吸出(446991.5416,3038611.068)*</v>
      </c>
      <c r="V127" s="211"/>
      <c r="W127" s="209" t="str">
        <f t="shared" si="28"/>
        <v>dt 446981.5416,3038601.068 5 0 R=0*T=0*S=0*α=0*</v>
      </c>
    </row>
    <row r="128" spans="1:23" x14ac:dyDescent="0.25">
      <c r="A128" s="199">
        <f t="shared" si="31"/>
        <v>85</v>
      </c>
      <c r="B128" s="199" t="str">
        <f t="shared" si="32"/>
        <v>4#隧洞进</v>
      </c>
      <c r="C128" s="206" t="s">
        <v>624</v>
      </c>
      <c r="D128" s="199">
        <v>127</v>
      </c>
      <c r="E128" s="204">
        <f>中心线!D130</f>
        <v>446971.96139999997</v>
      </c>
      <c r="F128" s="204">
        <f>中心线!E130</f>
        <v>3038594.0803999999</v>
      </c>
      <c r="G128" s="201">
        <v>0</v>
      </c>
      <c r="H128" s="202">
        <f t="shared" si="33"/>
        <v>0</v>
      </c>
      <c r="I128" s="202">
        <f t="shared" si="25"/>
        <v>0</v>
      </c>
      <c r="J128" s="202">
        <f t="shared" si="26"/>
        <v>0</v>
      </c>
      <c r="K128" s="202">
        <f t="shared" si="34"/>
        <v>25.92224499931924</v>
      </c>
      <c r="L128" s="202">
        <f t="shared" si="38"/>
        <v>12340.157282150742</v>
      </c>
      <c r="M128" s="202">
        <f t="shared" si="39"/>
        <v>12340.157282150742</v>
      </c>
      <c r="N128" s="202">
        <f t="shared" si="40"/>
        <v>12340.157282150742</v>
      </c>
      <c r="O128" s="202" t="str">
        <f t="shared" si="29"/>
        <v>circle 446971.9614,3038594.0804 1</v>
      </c>
      <c r="Q128" s="208">
        <f t="shared" si="35"/>
        <v>25.92224499931924</v>
      </c>
      <c r="R128" s="202">
        <f t="shared" si="36"/>
        <v>1449.1642579652278</v>
      </c>
      <c r="S128" s="202">
        <f t="shared" si="37"/>
        <v>25.92224499931924</v>
      </c>
      <c r="T128" s="199" t="str">
        <f t="shared" si="30"/>
        <v>-text 446971.9614,3038594.0804 7 0 4#隧洞进</v>
      </c>
      <c r="U128" s="199" t="str">
        <f t="shared" si="27"/>
        <v>dt 446971.9614,3038594.0804 5 0 4#隧洞进(446971.9614,3038594.0804)*</v>
      </c>
      <c r="V128" s="211"/>
      <c r="W128" s="209" t="str">
        <f t="shared" si="28"/>
        <v>dt 446961.9614,3038584.0804 5 0 R=0*T=0*S=0*α=0*</v>
      </c>
    </row>
    <row r="129" spans="1:23" x14ac:dyDescent="0.25">
      <c r="A129" s="199">
        <f t="shared" si="31"/>
        <v>86</v>
      </c>
      <c r="B129" s="199" t="str">
        <f t="shared" si="32"/>
        <v>IP86</v>
      </c>
      <c r="C129" s="206"/>
      <c r="D129" s="199">
        <v>128</v>
      </c>
      <c r="E129" s="204">
        <f>中心线!D131</f>
        <v>445877.34409999999</v>
      </c>
      <c r="F129" s="204">
        <f>中心线!E131</f>
        <v>3037644.4015000002</v>
      </c>
      <c r="G129" s="201">
        <v>12</v>
      </c>
      <c r="H129" s="202">
        <f t="shared" si="33"/>
        <v>20.507000000000001</v>
      </c>
      <c r="I129" s="202">
        <f t="shared" si="25"/>
        <v>2.1707105060012437</v>
      </c>
      <c r="J129" s="202">
        <f t="shared" si="26"/>
        <v>4.2949760364777259</v>
      </c>
      <c r="K129" s="202">
        <f t="shared" si="34"/>
        <v>1449.1642579652278</v>
      </c>
      <c r="L129" s="202">
        <f t="shared" si="38"/>
        <v>13787.150829609967</v>
      </c>
      <c r="M129" s="202">
        <f t="shared" si="39"/>
        <v>13789.298317628207</v>
      </c>
      <c r="N129" s="202">
        <f t="shared" si="40"/>
        <v>13791.445805646445</v>
      </c>
      <c r="O129" s="202" t="str">
        <f t="shared" si="29"/>
        <v>circle 445877.3441,3037644.4015 1</v>
      </c>
      <c r="Q129" s="208">
        <f t="shared" si="35"/>
        <v>1446.9935474592264</v>
      </c>
      <c r="R129" s="202">
        <f t="shared" si="36"/>
        <v>100.07709938957849</v>
      </c>
      <c r="S129" s="202">
        <f t="shared" si="37"/>
        <v>1446.9935474592264</v>
      </c>
      <c r="T129" s="199" t="str">
        <f t="shared" si="30"/>
        <v>-text 445877.3441,3037644.4015 7 0 IP86</v>
      </c>
      <c r="U129" s="199" t="str">
        <f t="shared" si="27"/>
        <v>dt 445877.3441,3037644.4015 5 0 IP86(445877.3441,3037644.4015)*</v>
      </c>
      <c r="V129" s="211"/>
      <c r="W129" s="209" t="str">
        <f t="shared" si="28"/>
        <v>dt 445867.3441,3037634.4015 5 0 R=12*T=2.17*S=4.294*α=20.507*</v>
      </c>
    </row>
    <row r="130" spans="1:23" x14ac:dyDescent="0.25">
      <c r="A130" s="199">
        <f t="shared" si="31"/>
        <v>86</v>
      </c>
      <c r="B130" s="199" t="str">
        <f t="shared" si="32"/>
        <v>4#隧洞出</v>
      </c>
      <c r="C130" s="214" t="s">
        <v>625</v>
      </c>
      <c r="D130" s="199">
        <v>129</v>
      </c>
      <c r="E130" s="204">
        <f>中心线!D132</f>
        <v>445781.53240000003</v>
      </c>
      <c r="F130" s="204">
        <f>中心线!E132</f>
        <v>3037608.6981000002</v>
      </c>
      <c r="G130" s="201">
        <v>0</v>
      </c>
      <c r="H130" s="202">
        <f t="shared" si="33"/>
        <v>0</v>
      </c>
      <c r="I130" s="202">
        <f t="shared" ref="I130:I193" si="41">G130*TAN(PI()/180*H130/2)</f>
        <v>0</v>
      </c>
      <c r="J130" s="202">
        <f t="shared" ref="J130:J193" si="42">H130*PI()*G130/180</f>
        <v>0</v>
      </c>
      <c r="K130" s="202">
        <f t="shared" si="34"/>
        <v>102.24780989557973</v>
      </c>
      <c r="L130" s="202">
        <f t="shared" si="38"/>
        <v>13891.522905036025</v>
      </c>
      <c r="M130" s="202">
        <f t="shared" si="39"/>
        <v>13891.522905036025</v>
      </c>
      <c r="N130" s="202">
        <f t="shared" si="40"/>
        <v>13891.522905036025</v>
      </c>
      <c r="O130" s="202" t="str">
        <f t="shared" si="29"/>
        <v>circle 445781.5324,3037608.6981 1</v>
      </c>
      <c r="Q130" s="208">
        <f t="shared" si="35"/>
        <v>102.24780989557973</v>
      </c>
      <c r="R130" s="202">
        <f t="shared" si="36"/>
        <v>91.307903511872667</v>
      </c>
      <c r="S130" s="202">
        <f t="shared" si="37"/>
        <v>100.07709938957849</v>
      </c>
      <c r="T130" s="199" t="str">
        <f t="shared" si="30"/>
        <v>-text 445781.5324,3037608.6981 7 0 4#隧洞出</v>
      </c>
      <c r="U130" s="199" t="str">
        <f t="shared" ref="U130:U193" si="43">"dt"&amp;" "&amp;E130&amp;","&amp;F130&amp;" "&amp;"5"&amp;" "&amp;"0"&amp;" "&amp;B130&amp;"("&amp;E130&amp;","&amp;F130&amp;")*"</f>
        <v>dt 445781.5324,3037608.6981 5 0 4#隧洞出(445781.5324,3037608.6981)*</v>
      </c>
      <c r="V130" s="211"/>
      <c r="W130" s="209" t="str">
        <f t="shared" ref="W130:W193" si="44">"dt"&amp;" "&amp;E130-10&amp;","&amp;F130-10&amp;" "&amp;"5 "&amp;"0 "&amp;"R="&amp;G130&amp;"*"&amp;"T="&amp;INT(I130*1000)/1000&amp;"*"&amp;"S="&amp;INT(J130*1000)/1000&amp;"*"&amp;"α="&amp;INT(H130*1000)/1000&amp;"*"</f>
        <v>dt 445771.5324,3037598.6981 5 0 R=0*T=0*S=0*α=0*</v>
      </c>
    </row>
    <row r="131" spans="1:23" x14ac:dyDescent="0.25">
      <c r="A131" s="199">
        <f t="shared" si="31"/>
        <v>86</v>
      </c>
      <c r="B131" s="199" t="str">
        <f t="shared" si="32"/>
        <v>六流量段末(6#斗门）</v>
      </c>
      <c r="C131" s="199" t="s">
        <v>626</v>
      </c>
      <c r="D131" s="199">
        <v>130</v>
      </c>
      <c r="E131" s="204">
        <f>中心线!D133</f>
        <v>445695.97200000001</v>
      </c>
      <c r="F131" s="204">
        <f>中心线!E133</f>
        <v>3037576.8147</v>
      </c>
      <c r="G131" s="201">
        <v>0</v>
      </c>
      <c r="H131" s="202">
        <f t="shared" si="33"/>
        <v>0</v>
      </c>
      <c r="I131" s="202">
        <f t="shared" si="41"/>
        <v>0</v>
      </c>
      <c r="J131" s="202">
        <f t="shared" si="42"/>
        <v>0</v>
      </c>
      <c r="K131" s="202">
        <f t="shared" si="34"/>
        <v>91.307903511872667</v>
      </c>
      <c r="L131" s="202">
        <f t="shared" si="38"/>
        <v>13982.830808547898</v>
      </c>
      <c r="M131" s="202">
        <f t="shared" si="39"/>
        <v>13982.830808547898</v>
      </c>
      <c r="N131" s="202">
        <f t="shared" si="40"/>
        <v>13982.830808547898</v>
      </c>
      <c r="O131" s="202" t="str">
        <f t="shared" ref="O131:O194" si="45">"circle "&amp;E131&amp;","&amp;F131&amp;" 1"</f>
        <v>circle 445695.972,3037576.8147 1</v>
      </c>
      <c r="Q131" s="208">
        <f t="shared" si="35"/>
        <v>91.307903511872667</v>
      </c>
      <c r="R131" s="202">
        <f t="shared" si="36"/>
        <v>31.024572999204089</v>
      </c>
      <c r="S131" s="202">
        <f t="shared" si="37"/>
        <v>91.307903511872667</v>
      </c>
      <c r="T131" s="199" t="str">
        <f t="shared" ref="T131:T194" si="46">"-text"&amp;" "&amp;E131&amp;","&amp;F131&amp;" "&amp;"7"&amp;" "&amp;"0"&amp;" "&amp;B131</f>
        <v>-text 445695.972,3037576.8147 7 0 六流量段末(6#斗门）</v>
      </c>
      <c r="U131" s="199" t="str">
        <f t="shared" si="43"/>
        <v>dt 445695.972,3037576.8147 5 0 六流量段末(6#斗门）(445695.972,3037576.8147)*</v>
      </c>
      <c r="V131" s="211"/>
      <c r="W131" s="209" t="str">
        <f t="shared" si="44"/>
        <v>dt 445685.972,3037566.8147 5 0 R=0*T=0*S=0*α=0*</v>
      </c>
    </row>
    <row r="132" spans="1:23" x14ac:dyDescent="0.25">
      <c r="A132" s="199">
        <f t="shared" ref="A132:A195" si="47">IF(C132=0,A131+1,A131)</f>
        <v>86</v>
      </c>
      <c r="B132" s="199" t="str">
        <f t="shared" ref="B132:B195" si="48">IF(C132=0,"IP"&amp;A132,C132)</f>
        <v>2#姚家湾节制闸</v>
      </c>
      <c r="C132" s="206" t="s">
        <v>627</v>
      </c>
      <c r="D132" s="199">
        <v>131</v>
      </c>
      <c r="E132" s="204">
        <f>中心线!D134</f>
        <v>445666.90029999998</v>
      </c>
      <c r="F132" s="204">
        <f>中心线!E134</f>
        <v>3037565.9813999999</v>
      </c>
      <c r="G132" s="201">
        <v>0</v>
      </c>
      <c r="H132" s="202">
        <f t="shared" ref="H132:H195" si="49">ROUND(IF((2*SQRT((E131-E132)^2+(F131-F132)^2)*SQRT((E133-E132)^2+(F133-F132)^2))=0,0,180-ACOS(((E131-E132)^2+(F131-F132)^2+(E133-E132)^2+(F133-F132)^2-(E133-E131)^2-(F133-F131)^2)/(2*SQRT((E131-E132)^2+(F131-F132)^2)*SQRT((E133-E132)^2+(F133-F132)^2)))/PI()*180),3)</f>
        <v>0</v>
      </c>
      <c r="I132" s="202">
        <f t="shared" si="41"/>
        <v>0</v>
      </c>
      <c r="J132" s="202">
        <f t="shared" si="42"/>
        <v>0</v>
      </c>
      <c r="K132" s="202">
        <f t="shared" ref="K132:K195" si="50">SQRT((E132-E131)^2+(F132-F131)^2)</f>
        <v>31.024572999204089</v>
      </c>
      <c r="L132" s="202">
        <f t="shared" si="38"/>
        <v>14013.855381547102</v>
      </c>
      <c r="M132" s="202">
        <f t="shared" si="39"/>
        <v>14013.855381547102</v>
      </c>
      <c r="N132" s="202">
        <f t="shared" si="40"/>
        <v>14013.855381547102</v>
      </c>
      <c r="O132" s="202" t="str">
        <f t="shared" si="45"/>
        <v>circle 445666.9003,3037565.9814 1</v>
      </c>
      <c r="Q132" s="208">
        <f t="shared" si="35"/>
        <v>31.024572999204089</v>
      </c>
      <c r="R132" s="202">
        <f t="shared" si="36"/>
        <v>48.97488442141659</v>
      </c>
      <c r="S132" s="202">
        <f t="shared" si="37"/>
        <v>31.024572999204089</v>
      </c>
      <c r="T132" s="199" t="str">
        <f t="shared" si="46"/>
        <v>-text 445666.9003,3037565.9814 7 0 2#姚家湾节制闸</v>
      </c>
      <c r="U132" s="199" t="str">
        <f t="shared" si="43"/>
        <v>dt 445666.9003,3037565.9814 5 0 2#姚家湾节制闸(445666.9003,3037565.9814)*</v>
      </c>
      <c r="V132" s="211"/>
      <c r="W132" s="209" t="str">
        <f t="shared" si="44"/>
        <v>dt 445656.9003,3037555.9814 5 0 R=0*T=0*S=0*α=0*</v>
      </c>
    </row>
    <row r="133" spans="1:23" x14ac:dyDescent="0.25">
      <c r="A133" s="199">
        <f t="shared" si="47"/>
        <v>86</v>
      </c>
      <c r="B133" s="199" t="str">
        <f t="shared" si="48"/>
        <v>10#倒虹吸进</v>
      </c>
      <c r="C133" s="199" t="s">
        <v>628</v>
      </c>
      <c r="D133" s="199">
        <v>132</v>
      </c>
      <c r="E133" s="204">
        <f>中心线!D135</f>
        <v>445621.00819999998</v>
      </c>
      <c r="F133" s="204">
        <f>中心线!E135</f>
        <v>3037548.8801000002</v>
      </c>
      <c r="G133" s="201">
        <v>0</v>
      </c>
      <c r="H133" s="202">
        <f t="shared" si="49"/>
        <v>0</v>
      </c>
      <c r="I133" s="202">
        <f t="shared" si="41"/>
        <v>0</v>
      </c>
      <c r="J133" s="202">
        <f t="shared" si="42"/>
        <v>0</v>
      </c>
      <c r="K133" s="202">
        <f t="shared" si="50"/>
        <v>48.97488442141659</v>
      </c>
      <c r="L133" s="202">
        <f t="shared" si="38"/>
        <v>14062.83026596852</v>
      </c>
      <c r="M133" s="202">
        <f t="shared" si="39"/>
        <v>14062.83026596852</v>
      </c>
      <c r="N133" s="202">
        <f t="shared" si="40"/>
        <v>14062.83026596852</v>
      </c>
      <c r="O133" s="202" t="str">
        <f t="shared" si="45"/>
        <v>circle 445621.0082,3037548.8801 1</v>
      </c>
      <c r="Q133" s="208">
        <f t="shared" si="35"/>
        <v>48.97488442141659</v>
      </c>
      <c r="R133" s="202">
        <f t="shared" si="36"/>
        <v>365.55935390353642</v>
      </c>
      <c r="S133" s="202">
        <f t="shared" si="37"/>
        <v>48.97488442141659</v>
      </c>
      <c r="T133" s="199" t="str">
        <f t="shared" si="46"/>
        <v>-text 445621.0082,3037548.8801 7 0 10#倒虹吸进</v>
      </c>
      <c r="U133" s="199" t="str">
        <f t="shared" si="43"/>
        <v>dt 445621.0082,3037548.8801 5 0 10#倒虹吸进(445621.0082,3037548.8801)*</v>
      </c>
      <c r="V133" s="211"/>
      <c r="W133" s="209" t="str">
        <f t="shared" si="44"/>
        <v>dt 445611.0082,3037538.8801 5 0 R=0*T=0*S=0*α=0*</v>
      </c>
    </row>
    <row r="134" spans="1:23" x14ac:dyDescent="0.25">
      <c r="A134" s="199">
        <f t="shared" si="47"/>
        <v>87</v>
      </c>
      <c r="B134" s="199" t="str">
        <f t="shared" si="48"/>
        <v>IP87</v>
      </c>
      <c r="C134" s="206"/>
      <c r="D134" s="199">
        <v>133</v>
      </c>
      <c r="E134" s="204">
        <f>中心线!D136</f>
        <v>445278.45939999999</v>
      </c>
      <c r="F134" s="204">
        <f>中心线!E136</f>
        <v>3037421.2322999998</v>
      </c>
      <c r="G134" s="213">
        <v>4.8</v>
      </c>
      <c r="H134" s="202">
        <f t="shared" si="49"/>
        <v>24.1</v>
      </c>
      <c r="I134" s="202">
        <f t="shared" si="41"/>
        <v>1.0246503503329345</v>
      </c>
      <c r="J134" s="202">
        <f t="shared" si="42"/>
        <v>2.0189968787070405</v>
      </c>
      <c r="K134" s="202">
        <f t="shared" si="50"/>
        <v>365.55935390353642</v>
      </c>
      <c r="L134" s="202">
        <f t="shared" si="38"/>
        <v>14427.364969521723</v>
      </c>
      <c r="M134" s="202">
        <f t="shared" si="39"/>
        <v>14428.374467961075</v>
      </c>
      <c r="N134" s="202">
        <f t="shared" si="40"/>
        <v>14429.38396640043</v>
      </c>
      <c r="O134" s="202" t="str">
        <f t="shared" si="45"/>
        <v>circle 445278.4594,3037421.2323 1</v>
      </c>
      <c r="Q134" s="208">
        <f t="shared" si="35"/>
        <v>364.53470355320349</v>
      </c>
      <c r="R134" s="202">
        <f t="shared" si="36"/>
        <v>153.42966167384239</v>
      </c>
      <c r="S134" s="202">
        <f t="shared" si="37"/>
        <v>364.53470355320349</v>
      </c>
      <c r="T134" s="199" t="str">
        <f t="shared" si="46"/>
        <v>-text 445278.4594,3037421.2323 7 0 IP87</v>
      </c>
      <c r="U134" s="199" t="str">
        <f t="shared" si="43"/>
        <v>dt 445278.4594,3037421.2323 5 0 IP87(445278.4594,3037421.2323)*</v>
      </c>
      <c r="V134" s="211"/>
      <c r="W134" s="209" t="str">
        <f t="shared" si="44"/>
        <v>dt 445268.4594,3037411.2323 5 0 R=4.8*T=1.024*S=2.018*α=24.1*</v>
      </c>
    </row>
    <row r="135" spans="1:23" x14ac:dyDescent="0.25">
      <c r="A135" s="199">
        <f t="shared" si="47"/>
        <v>88</v>
      </c>
      <c r="B135" s="199" t="str">
        <f t="shared" si="48"/>
        <v>IP88</v>
      </c>
      <c r="C135" s="206"/>
      <c r="D135" s="199">
        <v>134</v>
      </c>
      <c r="E135" s="204">
        <f>中心线!D137</f>
        <v>445124.32049999997</v>
      </c>
      <c r="F135" s="204">
        <f>中心线!E137</f>
        <v>3037431.0981000001</v>
      </c>
      <c r="G135" s="213">
        <v>4.8</v>
      </c>
      <c r="H135" s="202">
        <f t="shared" si="49"/>
        <v>8.4480000000000004</v>
      </c>
      <c r="I135" s="202">
        <f t="shared" si="41"/>
        <v>0.3545114904304158</v>
      </c>
      <c r="J135" s="202">
        <f t="shared" si="42"/>
        <v>0.70773799300070861</v>
      </c>
      <c r="K135" s="202">
        <f t="shared" si="50"/>
        <v>154.45431202417532</v>
      </c>
      <c r="L135" s="202">
        <f t="shared" si="38"/>
        <v>14582.459116583841</v>
      </c>
      <c r="M135" s="202">
        <f t="shared" si="39"/>
        <v>14582.812985580342</v>
      </c>
      <c r="N135" s="202">
        <f t="shared" si="40"/>
        <v>14583.166854576843</v>
      </c>
      <c r="O135" s="202" t="str">
        <f t="shared" si="45"/>
        <v>circle 445124.3205,3037431.0981 1</v>
      </c>
      <c r="Q135" s="208">
        <f t="shared" si="35"/>
        <v>154.09980053374491</v>
      </c>
      <c r="R135" s="202">
        <f t="shared" si="36"/>
        <v>434.7113145007844</v>
      </c>
      <c r="S135" s="202">
        <f t="shared" si="37"/>
        <v>153.07515018341198</v>
      </c>
      <c r="T135" s="199" t="str">
        <f t="shared" si="46"/>
        <v>-text 445124.3205,3037431.0981 7 0 IP88</v>
      </c>
      <c r="U135" s="199" t="str">
        <f t="shared" si="43"/>
        <v>dt 445124.3205,3037431.0981 5 0 IP88(445124.3205,3037431.0981)*</v>
      </c>
      <c r="V135" s="211"/>
      <c r="W135" s="209" t="str">
        <f t="shared" si="44"/>
        <v>dt 445114.3205,3037421.0981 5 0 R=4.8*T=0.354*S=0.707*α=8.448*</v>
      </c>
    </row>
    <row r="136" spans="1:23" x14ac:dyDescent="0.25">
      <c r="A136" s="199">
        <f t="shared" si="47"/>
        <v>89</v>
      </c>
      <c r="B136" s="199" t="str">
        <f t="shared" si="48"/>
        <v>IP89</v>
      </c>
      <c r="C136" s="206"/>
      <c r="D136" s="199">
        <v>135</v>
      </c>
      <c r="E136" s="204">
        <f>中心线!D138</f>
        <v>444690.77149999997</v>
      </c>
      <c r="F136" s="204">
        <f>中心线!E138</f>
        <v>3037394.8001999999</v>
      </c>
      <c r="G136" s="213">
        <v>4.8</v>
      </c>
      <c r="H136" s="202">
        <f t="shared" si="49"/>
        <v>31.51</v>
      </c>
      <c r="I136" s="202">
        <f t="shared" si="41"/>
        <v>1.3541922158280901</v>
      </c>
      <c r="J136" s="202">
        <f t="shared" si="42"/>
        <v>2.6397755870563837</v>
      </c>
      <c r="K136" s="202">
        <f t="shared" si="50"/>
        <v>435.06582599121481</v>
      </c>
      <c r="L136" s="202">
        <f t="shared" si="38"/>
        <v>15016.523976861799</v>
      </c>
      <c r="M136" s="202">
        <f t="shared" si="39"/>
        <v>15017.843864655328</v>
      </c>
      <c r="N136" s="202">
        <f t="shared" si="40"/>
        <v>15019.163752448856</v>
      </c>
      <c r="O136" s="202" t="str">
        <f t="shared" si="45"/>
        <v>circle 444690.7715,3037394.8002 1</v>
      </c>
      <c r="Q136" s="208">
        <f t="shared" si="35"/>
        <v>433.7116337753867</v>
      </c>
      <c r="R136" s="202">
        <f t="shared" si="36"/>
        <v>299.88896522469668</v>
      </c>
      <c r="S136" s="202">
        <f t="shared" si="37"/>
        <v>433.35712228495629</v>
      </c>
      <c r="T136" s="199" t="str">
        <f t="shared" si="46"/>
        <v>-text 444690.7715,3037394.8002 7 0 IP89</v>
      </c>
      <c r="U136" s="199" t="str">
        <f t="shared" si="43"/>
        <v>dt 444690.7715,3037394.8002 5 0 IP89(444690.7715,3037394.8002)*</v>
      </c>
      <c r="V136" s="211"/>
      <c r="W136" s="209" t="str">
        <f t="shared" si="44"/>
        <v>dt 444680.7715,3037384.8002 5 0 R=4.8*T=1.354*S=2.639*α=31.51*</v>
      </c>
    </row>
    <row r="137" spans="1:23" x14ac:dyDescent="0.25">
      <c r="A137" s="199">
        <f t="shared" si="47"/>
        <v>90</v>
      </c>
      <c r="B137" s="199" t="str">
        <f t="shared" si="48"/>
        <v>IP90</v>
      </c>
      <c r="C137" s="206"/>
      <c r="D137" s="199">
        <v>136</v>
      </c>
      <c r="E137" s="204">
        <f>中心线!D139</f>
        <v>444447.97950000002</v>
      </c>
      <c r="F137" s="204">
        <f>中心线!E139</f>
        <v>3037216.4761000001</v>
      </c>
      <c r="G137" s="213">
        <v>4.8</v>
      </c>
      <c r="H137" s="202">
        <f t="shared" si="49"/>
        <v>27.581</v>
      </c>
      <c r="I137" s="202">
        <f t="shared" si="41"/>
        <v>1.1781492292635432</v>
      </c>
      <c r="J137" s="202">
        <f t="shared" si="42"/>
        <v>2.3106204527642689</v>
      </c>
      <c r="K137" s="202">
        <f t="shared" si="50"/>
        <v>301.24315744052478</v>
      </c>
      <c r="L137" s="202">
        <f t="shared" si="38"/>
        <v>15317.874568444291</v>
      </c>
      <c r="M137" s="202">
        <f t="shared" si="39"/>
        <v>15319.029878670673</v>
      </c>
      <c r="N137" s="202">
        <f t="shared" si="40"/>
        <v>15320.185188897056</v>
      </c>
      <c r="O137" s="202" t="str">
        <f t="shared" si="45"/>
        <v>circle 444447.9795,3037216.4761 1</v>
      </c>
      <c r="Q137" s="208">
        <f t="shared" si="35"/>
        <v>300.06500821126122</v>
      </c>
      <c r="R137" s="202">
        <f t="shared" si="36"/>
        <v>117.32181831248944</v>
      </c>
      <c r="S137" s="202">
        <f t="shared" si="37"/>
        <v>298.71081599543311</v>
      </c>
      <c r="T137" s="199" t="str">
        <f t="shared" si="46"/>
        <v>-text 444447.9795,3037216.4761 7 0 IP90</v>
      </c>
      <c r="U137" s="199" t="str">
        <f t="shared" si="43"/>
        <v>dt 444447.9795,3037216.4761 5 0 IP90(444447.9795,3037216.4761)*</v>
      </c>
      <c r="V137" s="211"/>
      <c r="W137" s="209" t="str">
        <f t="shared" si="44"/>
        <v>dt 444437.9795,3037206.4761 5 0 R=4.8*T=1.178*S=2.31*α=27.581*</v>
      </c>
    </row>
    <row r="138" spans="1:23" x14ac:dyDescent="0.25">
      <c r="A138" s="199">
        <f t="shared" si="47"/>
        <v>90</v>
      </c>
      <c r="B138" s="199" t="str">
        <f t="shared" si="48"/>
        <v>10#倒虹吸出</v>
      </c>
      <c r="C138" s="206" t="s">
        <v>629</v>
      </c>
      <c r="D138" s="199">
        <v>137</v>
      </c>
      <c r="E138" s="204">
        <f>中心线!D140</f>
        <v>444330.84779999999</v>
      </c>
      <c r="F138" s="204">
        <f>中心线!E140</f>
        <v>3037198.5203999998</v>
      </c>
      <c r="G138" s="201">
        <v>0</v>
      </c>
      <c r="H138" s="202">
        <f t="shared" si="49"/>
        <v>0</v>
      </c>
      <c r="I138" s="202">
        <f t="shared" si="41"/>
        <v>0</v>
      </c>
      <c r="J138" s="202">
        <f t="shared" si="42"/>
        <v>0</v>
      </c>
      <c r="K138" s="202">
        <f t="shared" si="50"/>
        <v>118.49996754175298</v>
      </c>
      <c r="L138" s="202">
        <f t="shared" si="38"/>
        <v>15437.507007209546</v>
      </c>
      <c r="M138" s="202">
        <f t="shared" si="39"/>
        <v>15437.507007209546</v>
      </c>
      <c r="N138" s="202">
        <f t="shared" si="40"/>
        <v>15437.507007209546</v>
      </c>
      <c r="O138" s="202" t="str">
        <f t="shared" si="45"/>
        <v>circle 444330.8478,3037198.5204 1</v>
      </c>
      <c r="Q138" s="208">
        <f t="shared" si="35"/>
        <v>118.49996754175298</v>
      </c>
      <c r="R138" s="202">
        <f t="shared" si="36"/>
        <v>9.698391058279034</v>
      </c>
      <c r="S138" s="202">
        <f t="shared" si="37"/>
        <v>117.32181831248944</v>
      </c>
      <c r="T138" s="199" t="str">
        <f t="shared" si="46"/>
        <v>-text 444330.8478,3037198.5204 7 0 10#倒虹吸出</v>
      </c>
      <c r="U138" s="199" t="str">
        <f t="shared" si="43"/>
        <v>dt 444330.8478,3037198.5204 5 0 10#倒虹吸出(444330.8478,3037198.5204)*</v>
      </c>
      <c r="V138" s="211"/>
      <c r="W138" s="209" t="str">
        <f t="shared" si="44"/>
        <v>dt 444320.8478,3037188.5204 5 0 R=0*T=0*S=0*α=0*</v>
      </c>
    </row>
    <row r="139" spans="1:23" x14ac:dyDescent="0.25">
      <c r="A139" s="199">
        <f t="shared" si="47"/>
        <v>90</v>
      </c>
      <c r="B139" s="199" t="str">
        <f t="shared" si="48"/>
        <v>5#隧洞进</v>
      </c>
      <c r="C139" s="206" t="s">
        <v>630</v>
      </c>
      <c r="D139" s="199">
        <v>138</v>
      </c>
      <c r="E139" s="204">
        <f>中心线!D141</f>
        <v>444321.26140000002</v>
      </c>
      <c r="F139" s="204">
        <f>中心线!E141</f>
        <v>3037197.0507999999</v>
      </c>
      <c r="G139" s="201">
        <v>0</v>
      </c>
      <c r="H139" s="202">
        <f t="shared" si="49"/>
        <v>0</v>
      </c>
      <c r="I139" s="202">
        <f t="shared" si="41"/>
        <v>0</v>
      </c>
      <c r="J139" s="202">
        <f t="shared" si="42"/>
        <v>0</v>
      </c>
      <c r="K139" s="202">
        <f t="shared" si="50"/>
        <v>9.698391058279034</v>
      </c>
      <c r="L139" s="202">
        <f t="shared" si="38"/>
        <v>15447.205398267824</v>
      </c>
      <c r="M139" s="202">
        <f t="shared" si="39"/>
        <v>15447.205398267824</v>
      </c>
      <c r="N139" s="202">
        <f t="shared" si="40"/>
        <v>15447.205398267824</v>
      </c>
      <c r="O139" s="202" t="str">
        <f t="shared" si="45"/>
        <v>circle 444321.2614,3037197.0508 1</v>
      </c>
      <c r="Q139" s="208">
        <f t="shared" si="35"/>
        <v>9.698391058279034</v>
      </c>
      <c r="R139" s="202">
        <f t="shared" si="36"/>
        <v>189.91932897606256</v>
      </c>
      <c r="S139" s="202">
        <f t="shared" si="37"/>
        <v>9.698391058279034</v>
      </c>
      <c r="T139" s="199" t="str">
        <f t="shared" si="46"/>
        <v>-text 444321.2614,3037197.0508 7 0 5#隧洞进</v>
      </c>
      <c r="U139" s="199" t="str">
        <f t="shared" si="43"/>
        <v>dt 444321.2614,3037197.0508 5 0 5#隧洞进(444321.2614,3037197.0508)*</v>
      </c>
      <c r="V139" s="211"/>
      <c r="W139" s="209" t="str">
        <f t="shared" si="44"/>
        <v>dt 444311.2614,3037187.0508 5 0 R=0*T=0*S=0*α=0*</v>
      </c>
    </row>
    <row r="140" spans="1:23" x14ac:dyDescent="0.25">
      <c r="A140" s="199">
        <f t="shared" si="47"/>
        <v>91</v>
      </c>
      <c r="B140" s="199" t="str">
        <f t="shared" si="48"/>
        <v>IP91</v>
      </c>
      <c r="C140" s="199"/>
      <c r="D140" s="199">
        <v>139</v>
      </c>
      <c r="E140" s="204">
        <f>中心线!D142</f>
        <v>444133.53499999997</v>
      </c>
      <c r="F140" s="204">
        <f>中心线!E142</f>
        <v>3037168.2732000002</v>
      </c>
      <c r="G140" s="201">
        <v>12</v>
      </c>
      <c r="H140" s="202">
        <f t="shared" si="49"/>
        <v>36.512999999999998</v>
      </c>
      <c r="I140" s="202">
        <f t="shared" si="41"/>
        <v>3.9585160066832925</v>
      </c>
      <c r="J140" s="202">
        <f t="shared" si="42"/>
        <v>7.647264837368275</v>
      </c>
      <c r="K140" s="202">
        <f t="shared" si="50"/>
        <v>189.91932897606256</v>
      </c>
      <c r="L140" s="202">
        <f t="shared" si="38"/>
        <v>15633.166211237203</v>
      </c>
      <c r="M140" s="202">
        <f t="shared" si="39"/>
        <v>15636.989843655887</v>
      </c>
      <c r="N140" s="202">
        <f t="shared" si="40"/>
        <v>15640.813476074571</v>
      </c>
      <c r="O140" s="202" t="str">
        <f t="shared" si="45"/>
        <v>circle 444133.535,3037168.2732 1</v>
      </c>
      <c r="Q140" s="208">
        <f t="shared" si="35"/>
        <v>185.96081296937928</v>
      </c>
      <c r="R140" s="202">
        <f t="shared" si="36"/>
        <v>48.433191495279431</v>
      </c>
      <c r="S140" s="202">
        <f t="shared" si="37"/>
        <v>185.96081296937928</v>
      </c>
      <c r="T140" s="199" t="str">
        <f t="shared" si="46"/>
        <v>-text 444133.535,3037168.2732 7 0 IP91</v>
      </c>
      <c r="U140" s="199" t="str">
        <f t="shared" si="43"/>
        <v>dt 444133.535,3037168.2732 5 0 IP91(444133.535,3037168.2732)*</v>
      </c>
      <c r="V140" s="211"/>
      <c r="W140" s="209" t="str">
        <f t="shared" si="44"/>
        <v>dt 444123.535,3037158.2732 5 0 R=12*T=3.958*S=7.647*α=36.513*</v>
      </c>
    </row>
    <row r="141" spans="1:23" x14ac:dyDescent="0.25">
      <c r="A141" s="199">
        <f t="shared" si="47"/>
        <v>91</v>
      </c>
      <c r="B141" s="199" t="str">
        <f t="shared" si="48"/>
        <v>5#隧洞出</v>
      </c>
      <c r="C141" s="206" t="s">
        <v>631</v>
      </c>
      <c r="D141" s="199">
        <v>140</v>
      </c>
      <c r="E141" s="204">
        <f>中心线!D143</f>
        <v>444087.18939999997</v>
      </c>
      <c r="F141" s="204">
        <f>中心线!E143</f>
        <v>3037192.7063000002</v>
      </c>
      <c r="G141" s="201">
        <v>0</v>
      </c>
      <c r="H141" s="202">
        <f t="shared" si="49"/>
        <v>1E-3</v>
      </c>
      <c r="I141" s="202">
        <f t="shared" si="41"/>
        <v>0</v>
      </c>
      <c r="J141" s="202">
        <f t="shared" si="42"/>
        <v>0</v>
      </c>
      <c r="K141" s="202">
        <f t="shared" si="50"/>
        <v>52.391707501962721</v>
      </c>
      <c r="L141" s="202">
        <f t="shared" si="38"/>
        <v>15689.246667569851</v>
      </c>
      <c r="M141" s="202">
        <f t="shared" si="39"/>
        <v>15689.246667569851</v>
      </c>
      <c r="N141" s="202">
        <f t="shared" si="40"/>
        <v>15689.246667569851</v>
      </c>
      <c r="O141" s="202" t="str">
        <f t="shared" si="45"/>
        <v>circle 444087.1894,3037192.7063 1</v>
      </c>
      <c r="Q141" s="208">
        <f t="shared" si="35"/>
        <v>52.391707501962721</v>
      </c>
      <c r="R141" s="202">
        <f t="shared" si="36"/>
        <v>8.4996089850191048</v>
      </c>
      <c r="S141" s="202">
        <f t="shared" si="37"/>
        <v>48.433191495279431</v>
      </c>
      <c r="T141" s="199" t="str">
        <f t="shared" si="46"/>
        <v>-text 444087.1894,3037192.7063 7 0 5#隧洞出</v>
      </c>
      <c r="U141" s="199" t="str">
        <f t="shared" si="43"/>
        <v>dt 444087.1894,3037192.7063 5 0 5#隧洞出(444087.1894,3037192.7063)*</v>
      </c>
      <c r="V141" s="211"/>
      <c r="W141" s="209" t="str">
        <f t="shared" si="44"/>
        <v>dt 444077.1894,3037182.7063 5 0 R=0*T=0*S=0*α=0.001*</v>
      </c>
    </row>
    <row r="142" spans="1:23" x14ac:dyDescent="0.25">
      <c r="A142" s="199">
        <f t="shared" si="47"/>
        <v>91</v>
      </c>
      <c r="B142" s="199" t="str">
        <f t="shared" si="48"/>
        <v>11#倒虹吸进</v>
      </c>
      <c r="C142" s="206" t="s">
        <v>632</v>
      </c>
      <c r="D142" s="199">
        <v>141</v>
      </c>
      <c r="E142" s="204">
        <f>中心线!D144</f>
        <v>444079.67070000002</v>
      </c>
      <c r="F142" s="204">
        <f>中心线!E144</f>
        <v>3037196.6702000001</v>
      </c>
      <c r="G142" s="201">
        <v>0</v>
      </c>
      <c r="H142" s="202">
        <f t="shared" si="49"/>
        <v>1E-3</v>
      </c>
      <c r="I142" s="202">
        <f t="shared" si="41"/>
        <v>0</v>
      </c>
      <c r="J142" s="202">
        <f t="shared" si="42"/>
        <v>0</v>
      </c>
      <c r="K142" s="202">
        <f t="shared" si="50"/>
        <v>8.4996089850191048</v>
      </c>
      <c r="L142" s="202">
        <f t="shared" si="38"/>
        <v>15697.74627655487</v>
      </c>
      <c r="M142" s="202">
        <f t="shared" si="39"/>
        <v>15697.74627655487</v>
      </c>
      <c r="N142" s="202">
        <f t="shared" si="40"/>
        <v>15697.74627655487</v>
      </c>
      <c r="O142" s="202" t="str">
        <f t="shared" si="45"/>
        <v>circle 444079.6707,3037196.6702 1</v>
      </c>
      <c r="Q142" s="208">
        <f t="shared" si="35"/>
        <v>8.4996089850191048</v>
      </c>
      <c r="R142" s="202">
        <f t="shared" si="36"/>
        <v>181.21049905981593</v>
      </c>
      <c r="S142" s="202">
        <f t="shared" si="37"/>
        <v>8.4996089850191048</v>
      </c>
      <c r="T142" s="199" t="str">
        <f t="shared" si="46"/>
        <v>-text 444079.6707,3037196.6702 7 0 11#倒虹吸进</v>
      </c>
      <c r="U142" s="199" t="str">
        <f t="shared" si="43"/>
        <v>dt 444079.6707,3037196.6702 5 0 11#倒虹吸进(444079.6707,3037196.6702)*</v>
      </c>
      <c r="V142" s="211"/>
      <c r="W142" s="209" t="str">
        <f t="shared" si="44"/>
        <v>dt 444069.6707,3037186.6702 5 0 R=0*T=0*S=0*α=0.001*</v>
      </c>
    </row>
    <row r="143" spans="1:23" x14ac:dyDescent="0.25">
      <c r="A143" s="199">
        <f t="shared" si="47"/>
        <v>92</v>
      </c>
      <c r="B143" s="199" t="str">
        <f t="shared" si="48"/>
        <v>IP92</v>
      </c>
      <c r="C143" s="199"/>
      <c r="D143" s="199">
        <v>142</v>
      </c>
      <c r="E143" s="204">
        <f>中心线!D145</f>
        <v>443919.37219999998</v>
      </c>
      <c r="F143" s="204">
        <f>中心线!E145</f>
        <v>3037281.1784000001</v>
      </c>
      <c r="G143" s="213">
        <v>4.8</v>
      </c>
      <c r="H143" s="202">
        <f t="shared" si="49"/>
        <v>38.725000000000001</v>
      </c>
      <c r="I143" s="202">
        <f t="shared" si="41"/>
        <v>1.686816453842805</v>
      </c>
      <c r="J143" s="202">
        <f t="shared" si="42"/>
        <v>3.2442180136070595</v>
      </c>
      <c r="K143" s="202">
        <f t="shared" si="50"/>
        <v>181.21049905981593</v>
      </c>
      <c r="L143" s="202">
        <f t="shared" si="38"/>
        <v>15877.269959160843</v>
      </c>
      <c r="M143" s="202">
        <f t="shared" si="39"/>
        <v>15878.892068167646</v>
      </c>
      <c r="N143" s="202">
        <f t="shared" si="40"/>
        <v>15880.514177174451</v>
      </c>
      <c r="O143" s="202" t="str">
        <f t="shared" si="45"/>
        <v>circle 443919.3722,3037281.1784 1</v>
      </c>
      <c r="Q143" s="208">
        <f t="shared" si="35"/>
        <v>179.52368260597314</v>
      </c>
      <c r="R143" s="202">
        <f t="shared" si="36"/>
        <v>90.957297562775139</v>
      </c>
      <c r="S143" s="202">
        <f t="shared" si="37"/>
        <v>179.52368260597314</v>
      </c>
      <c r="T143" s="199" t="str">
        <f t="shared" si="46"/>
        <v>-text 443919.3722,3037281.1784 7 0 IP92</v>
      </c>
      <c r="U143" s="199" t="str">
        <f t="shared" si="43"/>
        <v>dt 443919.3722,3037281.1784 5 0 IP92(443919.3722,3037281.1784)*</v>
      </c>
      <c r="V143" s="211"/>
      <c r="W143" s="209" t="str">
        <f t="shared" si="44"/>
        <v>dt 443909.3722,3037271.1784 5 0 R=4.8*T=1.686*S=3.244*α=38.725*</v>
      </c>
    </row>
    <row r="144" spans="1:23" x14ac:dyDescent="0.25">
      <c r="A144" s="199">
        <f t="shared" si="47"/>
        <v>92</v>
      </c>
      <c r="B144" s="199" t="str">
        <f t="shared" si="48"/>
        <v>11#倒虹吸出</v>
      </c>
      <c r="C144" s="206" t="s">
        <v>633</v>
      </c>
      <c r="D144" s="199">
        <v>143</v>
      </c>
      <c r="E144" s="204">
        <f>中心线!D146</f>
        <v>443828.40779999999</v>
      </c>
      <c r="F144" s="204">
        <f>中心线!E146</f>
        <v>3037263.6168</v>
      </c>
      <c r="G144" s="201">
        <v>0</v>
      </c>
      <c r="H144" s="202">
        <f t="shared" si="49"/>
        <v>1E-3</v>
      </c>
      <c r="I144" s="202">
        <f t="shared" si="41"/>
        <v>0</v>
      </c>
      <c r="J144" s="202">
        <f t="shared" si="42"/>
        <v>0</v>
      </c>
      <c r="K144" s="202">
        <f t="shared" si="50"/>
        <v>92.644114016617948</v>
      </c>
      <c r="L144" s="202">
        <f t="shared" si="38"/>
        <v>15971.471474737224</v>
      </c>
      <c r="M144" s="202">
        <f t="shared" si="39"/>
        <v>15971.471474737224</v>
      </c>
      <c r="N144" s="202">
        <f t="shared" si="40"/>
        <v>15971.471474737224</v>
      </c>
      <c r="O144" s="202" t="str">
        <f t="shared" si="45"/>
        <v>circle 443828.4078,3037263.6168 1</v>
      </c>
      <c r="Q144" s="208">
        <f t="shared" si="35"/>
        <v>92.644114016617948</v>
      </c>
      <c r="R144" s="202">
        <f t="shared" si="36"/>
        <v>12.140779515794893</v>
      </c>
      <c r="S144" s="202">
        <f t="shared" si="37"/>
        <v>90.957297562775139</v>
      </c>
      <c r="T144" s="199" t="str">
        <f t="shared" si="46"/>
        <v>-text 443828.4078,3037263.6168 7 0 11#倒虹吸出</v>
      </c>
      <c r="U144" s="199" t="str">
        <f t="shared" si="43"/>
        <v>dt 443828.4078,3037263.6168 5 0 11#倒虹吸出(443828.4078,3037263.6168)*</v>
      </c>
      <c r="V144" s="211"/>
      <c r="W144" s="209" t="str">
        <f t="shared" si="44"/>
        <v>dt 443818.4078,3037253.6168 5 0 R=0*T=0*S=0*α=0.001*</v>
      </c>
    </row>
    <row r="145" spans="1:23" x14ac:dyDescent="0.25">
      <c r="A145" s="199">
        <f t="shared" si="47"/>
        <v>92</v>
      </c>
      <c r="B145" s="199" t="str">
        <f t="shared" si="48"/>
        <v>6#隧洞进</v>
      </c>
      <c r="C145" s="206" t="s">
        <v>634</v>
      </c>
      <c r="D145" s="199">
        <v>144</v>
      </c>
      <c r="E145" s="204">
        <f>中心线!D147</f>
        <v>443816.48719999997</v>
      </c>
      <c r="F145" s="204">
        <f>中心线!E147</f>
        <v>3037261.3150999998</v>
      </c>
      <c r="G145" s="201">
        <v>0</v>
      </c>
      <c r="H145" s="202">
        <f t="shared" si="49"/>
        <v>2E-3</v>
      </c>
      <c r="I145" s="202">
        <f t="shared" si="41"/>
        <v>0</v>
      </c>
      <c r="J145" s="202">
        <f t="shared" si="42"/>
        <v>0</v>
      </c>
      <c r="K145" s="202">
        <f t="shared" si="50"/>
        <v>12.140779515794893</v>
      </c>
      <c r="L145" s="202">
        <f t="shared" si="38"/>
        <v>15983.612254253019</v>
      </c>
      <c r="M145" s="202">
        <f t="shared" si="39"/>
        <v>15983.612254253019</v>
      </c>
      <c r="N145" s="202">
        <f t="shared" si="40"/>
        <v>15983.612254253019</v>
      </c>
      <c r="O145" s="202" t="str">
        <f t="shared" si="45"/>
        <v>circle 443816.4872,3037261.3151 1</v>
      </c>
      <c r="Q145" s="208">
        <f t="shared" si="35"/>
        <v>12.140779515794893</v>
      </c>
      <c r="R145" s="202">
        <f t="shared" si="36"/>
        <v>146.77140816408846</v>
      </c>
      <c r="S145" s="202">
        <f t="shared" si="37"/>
        <v>12.140779515794893</v>
      </c>
      <c r="T145" s="199" t="str">
        <f t="shared" si="46"/>
        <v>-text 443816.4872,3037261.3151 7 0 6#隧洞进</v>
      </c>
      <c r="U145" s="199" t="str">
        <f t="shared" si="43"/>
        <v>dt 443816.4872,3037261.3151 5 0 6#隧洞进(443816.4872,3037261.3151)*</v>
      </c>
      <c r="V145" s="211"/>
      <c r="W145" s="209" t="str">
        <f t="shared" si="44"/>
        <v>dt 443806.4872,3037251.3151 5 0 R=0*T=0*S=0*α=0.002*</v>
      </c>
    </row>
    <row r="146" spans="1:23" x14ac:dyDescent="0.25">
      <c r="A146" s="199">
        <f t="shared" si="47"/>
        <v>93</v>
      </c>
      <c r="B146" s="199" t="str">
        <f t="shared" si="48"/>
        <v>IP93</v>
      </c>
      <c r="C146" s="206"/>
      <c r="D146" s="199">
        <v>145</v>
      </c>
      <c r="E146" s="204">
        <f>中心线!D148</f>
        <v>443672.37650000001</v>
      </c>
      <c r="F146" s="204">
        <f>中心线!E148</f>
        <v>3037233.4950999999</v>
      </c>
      <c r="G146" s="201">
        <v>12</v>
      </c>
      <c r="H146" s="202">
        <f t="shared" si="49"/>
        <v>35.904000000000003</v>
      </c>
      <c r="I146" s="202">
        <f t="shared" si="41"/>
        <v>3.8879249466388872</v>
      </c>
      <c r="J146" s="202">
        <f t="shared" si="42"/>
        <v>7.5197161756325288</v>
      </c>
      <c r="K146" s="202">
        <f t="shared" si="50"/>
        <v>146.77140816408846</v>
      </c>
      <c r="L146" s="202">
        <f t="shared" si="38"/>
        <v>16126.495737470468</v>
      </c>
      <c r="M146" s="202">
        <f t="shared" si="39"/>
        <v>16130.255595558285</v>
      </c>
      <c r="N146" s="202">
        <f t="shared" si="40"/>
        <v>16134.015453646101</v>
      </c>
      <c r="O146" s="202" t="str">
        <f t="shared" si="45"/>
        <v>circle 443672.3765,3037233.4951 1</v>
      </c>
      <c r="Q146" s="208">
        <f t="shared" si="35"/>
        <v>142.88348321744957</v>
      </c>
      <c r="R146" s="202">
        <f t="shared" si="36"/>
        <v>143.3214270205018</v>
      </c>
      <c r="S146" s="202">
        <f t="shared" si="37"/>
        <v>142.88348321744957</v>
      </c>
      <c r="T146" s="199" t="str">
        <f t="shared" si="46"/>
        <v>-text 443672.3765,3037233.4951 7 0 IP93</v>
      </c>
      <c r="U146" s="199" t="str">
        <f t="shared" si="43"/>
        <v>dt 443672.3765,3037233.4951 5 0 IP93(443672.3765,3037233.4951)*</v>
      </c>
      <c r="V146" s="211"/>
      <c r="W146" s="209" t="str">
        <f t="shared" si="44"/>
        <v>dt 443662.3765,3037223.4951 5 0 R=12*T=3.887*S=7.519*α=35.904*</v>
      </c>
    </row>
    <row r="147" spans="1:23" x14ac:dyDescent="0.25">
      <c r="A147" s="199">
        <f t="shared" si="47"/>
        <v>94</v>
      </c>
      <c r="B147" s="199" t="str">
        <f t="shared" si="48"/>
        <v>IP94</v>
      </c>
      <c r="C147" s="206"/>
      <c r="D147" s="199">
        <v>146</v>
      </c>
      <c r="E147" s="204">
        <f>中心线!D149</f>
        <v>443571.66230000003</v>
      </c>
      <c r="F147" s="204">
        <f>中心线!E149</f>
        <v>3037126.1301000002</v>
      </c>
      <c r="G147" s="201">
        <v>12</v>
      </c>
      <c r="H147" s="202">
        <f t="shared" si="49"/>
        <v>37.090000000000003</v>
      </c>
      <c r="I147" s="202">
        <f t="shared" si="41"/>
        <v>4.0256265107435727</v>
      </c>
      <c r="J147" s="202">
        <f t="shared" si="42"/>
        <v>7.7681114347763618</v>
      </c>
      <c r="K147" s="202">
        <f t="shared" si="50"/>
        <v>147.20935196714069</v>
      </c>
      <c r="L147" s="202">
        <f t="shared" si="38"/>
        <v>16273.311254155858</v>
      </c>
      <c r="M147" s="202">
        <f t="shared" si="39"/>
        <v>16277.195309873247</v>
      </c>
      <c r="N147" s="202">
        <f t="shared" si="40"/>
        <v>16281.079365590635</v>
      </c>
      <c r="O147" s="202" t="str">
        <f t="shared" si="45"/>
        <v>circle 443571.6623,3037126.1301 1</v>
      </c>
      <c r="Q147" s="208">
        <f t="shared" si="35"/>
        <v>143.18372545639713</v>
      </c>
      <c r="R147" s="202">
        <f t="shared" si="36"/>
        <v>354.87165663640673</v>
      </c>
      <c r="S147" s="202">
        <f t="shared" si="37"/>
        <v>139.29580050975824</v>
      </c>
      <c r="T147" s="199" t="str">
        <f t="shared" si="46"/>
        <v>-text 443571.6623,3037126.1301 7 0 IP94</v>
      </c>
      <c r="U147" s="199" t="str">
        <f t="shared" si="43"/>
        <v>dt 443571.6623,3037126.1301 5 0 IP94(443571.6623,3037126.1301)*</v>
      </c>
      <c r="V147" s="211"/>
      <c r="W147" s="209" t="str">
        <f t="shared" si="44"/>
        <v>dt 443561.6623,3037116.1301 5 0 R=12*T=4.025*S=7.768*α=37.09*</v>
      </c>
    </row>
    <row r="148" spans="1:23" x14ac:dyDescent="0.25">
      <c r="A148" s="199">
        <f t="shared" si="47"/>
        <v>94</v>
      </c>
      <c r="B148" s="199" t="str">
        <f t="shared" si="48"/>
        <v>6#隧洞出</v>
      </c>
      <c r="C148" s="206" t="s">
        <v>635</v>
      </c>
      <c r="D148" s="199">
        <v>147</v>
      </c>
      <c r="E148" s="204">
        <f>中心线!D150</f>
        <v>443217.93949999998</v>
      </c>
      <c r="F148" s="204">
        <f>中心线!E150</f>
        <v>3037065.4057999998</v>
      </c>
      <c r="G148" s="201">
        <v>0</v>
      </c>
      <c r="H148" s="202">
        <f t="shared" si="49"/>
        <v>0</v>
      </c>
      <c r="I148" s="202">
        <f t="shared" si="41"/>
        <v>0</v>
      </c>
      <c r="J148" s="202">
        <f t="shared" si="42"/>
        <v>0</v>
      </c>
      <c r="K148" s="202">
        <f t="shared" si="50"/>
        <v>358.89728314715029</v>
      </c>
      <c r="L148" s="202">
        <f t="shared" si="38"/>
        <v>16635.951022227044</v>
      </c>
      <c r="M148" s="202">
        <f t="shared" si="39"/>
        <v>16635.951022227044</v>
      </c>
      <c r="N148" s="202">
        <f t="shared" si="40"/>
        <v>16635.951022227044</v>
      </c>
      <c r="O148" s="202" t="str">
        <f t="shared" si="45"/>
        <v>circle 443217.9395,3037065.4058 1</v>
      </c>
      <c r="Q148" s="208">
        <f t="shared" ref="Q148:Q195" si="51">K148-I148</f>
        <v>358.89728314715029</v>
      </c>
      <c r="R148" s="202">
        <f t="shared" ref="R148:R195" si="52">K149-I148</f>
        <v>11.662553075898009</v>
      </c>
      <c r="S148" s="202">
        <f t="shared" ref="S148:S195" si="53">K148-I147-I148</f>
        <v>354.87165663640673</v>
      </c>
      <c r="T148" s="199" t="str">
        <f t="shared" si="46"/>
        <v>-text 443217.9395,3037065.4058 7 0 6#隧洞出</v>
      </c>
      <c r="U148" s="199" t="str">
        <f t="shared" si="43"/>
        <v>dt 443217.9395,3037065.4058 5 0 6#隧洞出(443217.9395,3037065.4058)*</v>
      </c>
      <c r="V148" s="211"/>
      <c r="W148" s="209" t="str">
        <f t="shared" si="44"/>
        <v>dt 443207.9395,3037055.4058 5 0 R=0*T=0*S=0*α=0*</v>
      </c>
    </row>
    <row r="149" spans="1:23" x14ac:dyDescent="0.25">
      <c r="A149" s="199">
        <f t="shared" si="47"/>
        <v>95</v>
      </c>
      <c r="B149" s="199" t="str">
        <f t="shared" si="48"/>
        <v>IP95</v>
      </c>
      <c r="C149" s="206"/>
      <c r="D149" s="199">
        <v>148</v>
      </c>
      <c r="E149" s="204">
        <f>中心线!D151</f>
        <v>443206.44510000001</v>
      </c>
      <c r="F149" s="204">
        <f>中心线!E151</f>
        <v>3037063.4325000001</v>
      </c>
      <c r="G149" s="201">
        <v>12</v>
      </c>
      <c r="H149" s="202">
        <f t="shared" si="49"/>
        <v>41.860999999999997</v>
      </c>
      <c r="I149" s="202">
        <f t="shared" si="41"/>
        <v>4.5896752824534071</v>
      </c>
      <c r="J149" s="202">
        <f t="shared" si="42"/>
        <v>8.7673473381281557</v>
      </c>
      <c r="K149" s="202">
        <f t="shared" si="50"/>
        <v>11.662553075898009</v>
      </c>
      <c r="L149" s="202">
        <f t="shared" si="38"/>
        <v>16643.023900020489</v>
      </c>
      <c r="M149" s="202">
        <f t="shared" si="39"/>
        <v>16647.407573689554</v>
      </c>
      <c r="N149" s="202">
        <f t="shared" si="40"/>
        <v>16651.791247358618</v>
      </c>
      <c r="O149" s="202" t="str">
        <f t="shared" si="45"/>
        <v>circle 443206.4451,3037063.4325 1</v>
      </c>
      <c r="Q149" s="208">
        <f t="shared" si="51"/>
        <v>7.0728777934446017</v>
      </c>
      <c r="R149" s="202">
        <f t="shared" si="52"/>
        <v>10.198322897541981</v>
      </c>
      <c r="S149" s="202">
        <f t="shared" si="53"/>
        <v>7.0728777934446017</v>
      </c>
      <c r="T149" s="199" t="str">
        <f t="shared" si="46"/>
        <v>-text 443206.4451,3037063.4325 7 0 IP95</v>
      </c>
      <c r="U149" s="199" t="str">
        <f t="shared" si="43"/>
        <v>dt 443206.4451,3037063.4325 5 0 IP95(443206.4451,3037063.4325)*</v>
      </c>
      <c r="V149" s="211"/>
      <c r="W149" s="209" t="str">
        <f t="shared" si="44"/>
        <v>dt 443196.4451,3037053.4325 5 0 R=12*T=4.589*S=8.767*α=41.861*</v>
      </c>
    </row>
    <row r="150" spans="1:23" x14ac:dyDescent="0.25">
      <c r="A150" s="199">
        <f t="shared" si="47"/>
        <v>95</v>
      </c>
      <c r="B150" s="199" t="str">
        <f t="shared" si="48"/>
        <v>梅雨一支渠节制闸(七流量段末)</v>
      </c>
      <c r="C150" s="206" t="s">
        <v>636</v>
      </c>
      <c r="D150" s="199">
        <v>149</v>
      </c>
      <c r="E150" s="204">
        <f>中心线!D152</f>
        <v>443197.26</v>
      </c>
      <c r="F150" s="204">
        <f>中心线!E152</f>
        <v>3037051.8429</v>
      </c>
      <c r="G150" s="201">
        <v>0</v>
      </c>
      <c r="H150" s="202">
        <f t="shared" si="49"/>
        <v>0</v>
      </c>
      <c r="I150" s="202">
        <f t="shared" si="41"/>
        <v>0</v>
      </c>
      <c r="J150" s="202">
        <f t="shared" si="42"/>
        <v>0</v>
      </c>
      <c r="K150" s="202">
        <f t="shared" si="50"/>
        <v>14.787998179995389</v>
      </c>
      <c r="L150" s="202">
        <f t="shared" si="38"/>
        <v>16661.989570256163</v>
      </c>
      <c r="M150" s="202">
        <f t="shared" si="39"/>
        <v>16661.989570256163</v>
      </c>
      <c r="N150" s="202">
        <f t="shared" si="40"/>
        <v>16661.989570256163</v>
      </c>
      <c r="O150" s="202" t="str">
        <f t="shared" si="45"/>
        <v>circle 443197.26,3037051.8429 1</v>
      </c>
      <c r="Q150" s="208">
        <f t="shared" si="51"/>
        <v>14.787998179995389</v>
      </c>
      <c r="R150" s="202">
        <f t="shared" si="52"/>
        <v>17.040140761328352</v>
      </c>
      <c r="S150" s="202">
        <f t="shared" si="53"/>
        <v>10.198322897541981</v>
      </c>
      <c r="T150" s="199" t="str">
        <f t="shared" si="46"/>
        <v>-text 443197.26,3037051.8429 7 0 梅雨一支渠节制闸(七流量段末)</v>
      </c>
      <c r="U150" s="199" t="str">
        <f t="shared" si="43"/>
        <v>dt 443197.26,3037051.8429 5 0 梅雨一支渠节制闸(七流量段末)(443197.26,3037051.8429)*</v>
      </c>
      <c r="V150" s="211"/>
      <c r="W150" s="209" t="str">
        <f t="shared" si="44"/>
        <v>dt 443187.26,3037041.8429 5 0 R=0*T=0*S=0*α=0*</v>
      </c>
    </row>
    <row r="151" spans="1:23" x14ac:dyDescent="0.25">
      <c r="A151" s="199">
        <f t="shared" si="47"/>
        <v>95</v>
      </c>
      <c r="B151" s="199" t="str">
        <f t="shared" si="48"/>
        <v>12#倒虹吸进</v>
      </c>
      <c r="C151" s="206" t="s">
        <v>637</v>
      </c>
      <c r="D151" s="199">
        <v>150</v>
      </c>
      <c r="E151" s="204">
        <f>中心线!D153</f>
        <v>443186.67599999998</v>
      </c>
      <c r="F151" s="204">
        <f>中心线!E153</f>
        <v>3037038.4882999999</v>
      </c>
      <c r="G151" s="201">
        <v>0</v>
      </c>
      <c r="H151" s="202">
        <f t="shared" si="49"/>
        <v>0</v>
      </c>
      <c r="I151" s="202">
        <f t="shared" si="41"/>
        <v>0</v>
      </c>
      <c r="J151" s="202">
        <f t="shared" si="42"/>
        <v>0</v>
      </c>
      <c r="K151" s="202">
        <f t="shared" si="50"/>
        <v>17.040140761328352</v>
      </c>
      <c r="L151" s="202">
        <f t="shared" si="38"/>
        <v>16679.029711017491</v>
      </c>
      <c r="M151" s="202">
        <f t="shared" si="39"/>
        <v>16679.029711017491</v>
      </c>
      <c r="N151" s="202">
        <f t="shared" si="40"/>
        <v>16679.029711017491</v>
      </c>
      <c r="O151" s="202" t="str">
        <f t="shared" si="45"/>
        <v>circle 443186.676,3037038.4883 1</v>
      </c>
      <c r="Q151" s="208">
        <f t="shared" si="51"/>
        <v>17.040140761328352</v>
      </c>
      <c r="R151" s="202">
        <f t="shared" si="52"/>
        <v>421.67987682900082</v>
      </c>
      <c r="S151" s="202">
        <f t="shared" si="53"/>
        <v>17.040140761328352</v>
      </c>
      <c r="T151" s="199" t="str">
        <f t="shared" si="46"/>
        <v>-text 443186.676,3037038.4883 7 0 12#倒虹吸进</v>
      </c>
      <c r="U151" s="199" t="str">
        <f t="shared" si="43"/>
        <v>dt 443186.676,3037038.4883 5 0 12#倒虹吸进(443186.676,3037038.4883)*</v>
      </c>
      <c r="V151" s="211"/>
      <c r="W151" s="209" t="str">
        <f t="shared" si="44"/>
        <v>dt 443176.676,3037028.4883 5 0 R=0*T=0*S=0*α=0*</v>
      </c>
    </row>
    <row r="152" spans="1:23" x14ac:dyDescent="0.25">
      <c r="A152" s="199">
        <f t="shared" si="47"/>
        <v>96</v>
      </c>
      <c r="B152" s="199" t="str">
        <f t="shared" si="48"/>
        <v>IP96</v>
      </c>
      <c r="C152" s="206"/>
      <c r="D152" s="199">
        <v>151</v>
      </c>
      <c r="E152" s="204">
        <f>中心线!D154</f>
        <v>442924.7634</v>
      </c>
      <c r="F152" s="204">
        <f>中心线!E154</f>
        <v>3036708.0103000002</v>
      </c>
      <c r="G152" s="213">
        <v>4.8</v>
      </c>
      <c r="H152" s="202">
        <f t="shared" si="49"/>
        <v>10.055999999999999</v>
      </c>
      <c r="I152" s="202">
        <f t="shared" si="41"/>
        <v>0.42230936347536857</v>
      </c>
      <c r="J152" s="202">
        <f t="shared" si="42"/>
        <v>0.84244948598663882</v>
      </c>
      <c r="K152" s="202">
        <f t="shared" si="50"/>
        <v>421.67987682900082</v>
      </c>
      <c r="L152" s="202">
        <f t="shared" si="38"/>
        <v>17100.287278483014</v>
      </c>
      <c r="M152" s="202">
        <f t="shared" si="39"/>
        <v>17100.708503226007</v>
      </c>
      <c r="N152" s="202">
        <f t="shared" si="40"/>
        <v>17101.129727969001</v>
      </c>
      <c r="O152" s="202" t="str">
        <f t="shared" si="45"/>
        <v>circle 442924.7634,3036708.0103 1</v>
      </c>
      <c r="Q152" s="208">
        <f t="shared" si="51"/>
        <v>421.25756746552543</v>
      </c>
      <c r="R152" s="202">
        <f t="shared" si="52"/>
        <v>380.62525634216888</v>
      </c>
      <c r="S152" s="202">
        <f t="shared" si="53"/>
        <v>421.25756746552543</v>
      </c>
      <c r="T152" s="199" t="str">
        <f t="shared" si="46"/>
        <v>-text 442924.7634,3036708.0103 7 0 IP96</v>
      </c>
      <c r="U152" s="199" t="str">
        <f t="shared" si="43"/>
        <v>dt 442924.7634,3036708.0103 5 0 IP96(442924.7634,3036708.0103)*</v>
      </c>
      <c r="V152" s="211"/>
      <c r="W152" s="209" t="str">
        <f t="shared" si="44"/>
        <v>dt 442914.7634,3036698.0103 5 0 R=4.8*T=0.422*S=0.842*α=10.056*</v>
      </c>
    </row>
    <row r="153" spans="1:23" x14ac:dyDescent="0.25">
      <c r="A153" s="199">
        <f t="shared" si="47"/>
        <v>97</v>
      </c>
      <c r="B153" s="199" t="str">
        <f t="shared" si="48"/>
        <v>IP97</v>
      </c>
      <c r="C153" s="206"/>
      <c r="D153" s="199">
        <v>152</v>
      </c>
      <c r="E153" s="204">
        <f>中心线!D155</f>
        <v>442639.58039999998</v>
      </c>
      <c r="F153" s="204">
        <f>中心线!E155</f>
        <v>3036455.2892999998</v>
      </c>
      <c r="G153" s="213">
        <v>4.8</v>
      </c>
      <c r="H153" s="202">
        <f t="shared" si="49"/>
        <v>11.881</v>
      </c>
      <c r="I153" s="202">
        <f t="shared" si="41"/>
        <v>0.49946115208894865</v>
      </c>
      <c r="J153" s="202">
        <f t="shared" si="42"/>
        <v>0.99534032846134235</v>
      </c>
      <c r="K153" s="202">
        <f t="shared" si="50"/>
        <v>381.04756570564427</v>
      </c>
      <c r="L153" s="202">
        <f t="shared" si="38"/>
        <v>17481.255523159081</v>
      </c>
      <c r="M153" s="202">
        <f t="shared" si="39"/>
        <v>17481.753193323311</v>
      </c>
      <c r="N153" s="202">
        <f t="shared" si="40"/>
        <v>17482.250863487541</v>
      </c>
      <c r="O153" s="202" t="str">
        <f t="shared" si="45"/>
        <v>circle 442639.5804,3036455.2893 1</v>
      </c>
      <c r="Q153" s="208">
        <f t="shared" si="51"/>
        <v>380.54810455355533</v>
      </c>
      <c r="R153" s="202">
        <f t="shared" si="52"/>
        <v>840.93456327274384</v>
      </c>
      <c r="S153" s="202">
        <f t="shared" si="53"/>
        <v>380.12579519007994</v>
      </c>
      <c r="T153" s="199" t="str">
        <f t="shared" si="46"/>
        <v>-text 442639.5804,3036455.2893 7 0 IP97</v>
      </c>
      <c r="U153" s="199" t="str">
        <f t="shared" si="43"/>
        <v>dt 442639.5804,3036455.2893 5 0 IP97(442639.5804,3036455.2893)*</v>
      </c>
      <c r="V153" s="211"/>
      <c r="W153" s="209" t="str">
        <f t="shared" si="44"/>
        <v>dt 442629.5804,3036445.2893 5 0 R=4.8*T=0.499*S=0.995*α=11.881*</v>
      </c>
    </row>
    <row r="154" spans="1:23" x14ac:dyDescent="0.25">
      <c r="A154" s="199">
        <f t="shared" si="47"/>
        <v>97</v>
      </c>
      <c r="B154" s="199" t="str">
        <f t="shared" si="48"/>
        <v>12#倒虹吸出</v>
      </c>
      <c r="C154" s="206" t="s">
        <v>638</v>
      </c>
      <c r="D154" s="199">
        <v>153</v>
      </c>
      <c r="E154" s="204">
        <f>中心线!D156</f>
        <v>441908.4302</v>
      </c>
      <c r="F154" s="204">
        <f>中心线!E156</f>
        <v>3036038.8393000001</v>
      </c>
      <c r="G154" s="201">
        <v>0</v>
      </c>
      <c r="H154" s="202">
        <f t="shared" si="49"/>
        <v>0</v>
      </c>
      <c r="I154" s="202">
        <f t="shared" si="41"/>
        <v>0</v>
      </c>
      <c r="J154" s="202">
        <f t="shared" si="42"/>
        <v>0</v>
      </c>
      <c r="K154" s="202">
        <f t="shared" si="50"/>
        <v>841.43402442483284</v>
      </c>
      <c r="L154" s="202">
        <f t="shared" si="38"/>
        <v>18323.185426760287</v>
      </c>
      <c r="M154" s="202">
        <f t="shared" si="39"/>
        <v>18323.185426760287</v>
      </c>
      <c r="N154" s="202">
        <f t="shared" si="40"/>
        <v>18323.185426760287</v>
      </c>
      <c r="O154" s="202" t="str">
        <f t="shared" si="45"/>
        <v>circle 441908.4302,3036038.8393 1</v>
      </c>
      <c r="Q154" s="208">
        <f t="shared" si="51"/>
        <v>841.43402442483284</v>
      </c>
      <c r="R154" s="202">
        <f t="shared" si="52"/>
        <v>6.1878012646087335</v>
      </c>
      <c r="S154" s="202">
        <f t="shared" si="53"/>
        <v>840.93456327274384</v>
      </c>
      <c r="T154" s="199" t="str">
        <f t="shared" si="46"/>
        <v>-text 441908.4302,3036038.8393 7 0 12#倒虹吸出</v>
      </c>
      <c r="U154" s="199" t="str">
        <f t="shared" si="43"/>
        <v>dt 441908.4302,3036038.8393 5 0 12#倒虹吸出(441908.4302,3036038.8393)*</v>
      </c>
      <c r="V154" s="211"/>
      <c r="W154" s="209" t="str">
        <f t="shared" si="44"/>
        <v>dt 441898.4302,3036028.8393 5 0 R=0*T=0*S=0*α=0*</v>
      </c>
    </row>
    <row r="155" spans="1:23" x14ac:dyDescent="0.25">
      <c r="A155" s="199">
        <f t="shared" si="47"/>
        <v>98</v>
      </c>
      <c r="B155" s="199" t="str">
        <f t="shared" si="48"/>
        <v>IP98</v>
      </c>
      <c r="C155" s="206"/>
      <c r="D155" s="199">
        <v>154</v>
      </c>
      <c r="E155" s="204">
        <f>中心线!D157</f>
        <v>441903.05339999998</v>
      </c>
      <c r="F155" s="204">
        <f>中心线!E157</f>
        <v>3036035.7768000001</v>
      </c>
      <c r="G155" s="201">
        <v>10</v>
      </c>
      <c r="H155" s="202">
        <f t="shared" si="49"/>
        <v>26.376999999999999</v>
      </c>
      <c r="I155" s="202">
        <f t="shared" si="41"/>
        <v>2.3433613783796727</v>
      </c>
      <c r="J155" s="202">
        <f t="shared" si="42"/>
        <v>4.6036549679854426</v>
      </c>
      <c r="K155" s="202">
        <f t="shared" si="50"/>
        <v>6.1878012646087335</v>
      </c>
      <c r="L155" s="202">
        <f t="shared" si="38"/>
        <v>18327.029866646517</v>
      </c>
      <c r="M155" s="202">
        <f t="shared" si="39"/>
        <v>18329.331694130509</v>
      </c>
      <c r="N155" s="202">
        <f t="shared" si="40"/>
        <v>18331.633521614502</v>
      </c>
      <c r="O155" s="202" t="str">
        <f t="shared" si="45"/>
        <v>circle 441903.0534,3036035.7768 1</v>
      </c>
      <c r="Q155" s="208">
        <f t="shared" si="51"/>
        <v>3.8444398862290607</v>
      </c>
      <c r="R155" s="202">
        <f t="shared" si="52"/>
        <v>71.581609362537108</v>
      </c>
      <c r="S155" s="202">
        <f t="shared" si="53"/>
        <v>3.8444398862290607</v>
      </c>
      <c r="T155" s="199" t="str">
        <f t="shared" si="46"/>
        <v>-text 441903.0534,3036035.7768 7 0 IP98</v>
      </c>
      <c r="U155" s="199" t="str">
        <f t="shared" si="43"/>
        <v>dt 441903.0534,3036035.7768 5 0 IP98(441903.0534,3036035.7768)*</v>
      </c>
      <c r="V155" s="211"/>
      <c r="W155" s="209" t="str">
        <f t="shared" si="44"/>
        <v>dt 441893.0534,3036025.7768 5 0 R=10*T=2.343*S=4.603*α=26.377*</v>
      </c>
    </row>
    <row r="156" spans="1:23" x14ac:dyDescent="0.25">
      <c r="A156" s="199">
        <f t="shared" si="47"/>
        <v>99</v>
      </c>
      <c r="B156" s="199" t="str">
        <f t="shared" si="48"/>
        <v>IP99</v>
      </c>
      <c r="C156" s="206"/>
      <c r="D156" s="199">
        <v>155</v>
      </c>
      <c r="E156" s="204">
        <f>中心线!D158</f>
        <v>441829.2501</v>
      </c>
      <c r="F156" s="204">
        <f>中心线!E158</f>
        <v>3036031.5372000001</v>
      </c>
      <c r="G156" s="201">
        <v>10</v>
      </c>
      <c r="H156" s="202">
        <f t="shared" si="49"/>
        <v>35.219000000000001</v>
      </c>
      <c r="I156" s="202">
        <f t="shared" si="41"/>
        <v>3.1740118616948871</v>
      </c>
      <c r="J156" s="202">
        <f t="shared" si="42"/>
        <v>6.1468750925988287</v>
      </c>
      <c r="K156" s="202">
        <f t="shared" si="50"/>
        <v>73.924970740916777</v>
      </c>
      <c r="L156" s="202">
        <f t="shared" si="38"/>
        <v>18400.041119115347</v>
      </c>
      <c r="M156" s="202">
        <f t="shared" si="39"/>
        <v>18403.114556661647</v>
      </c>
      <c r="N156" s="202">
        <f t="shared" si="40"/>
        <v>18406.187994207947</v>
      </c>
      <c r="O156" s="202" t="str">
        <f t="shared" si="45"/>
        <v>circle 441829.2501,3036031.5372 1</v>
      </c>
      <c r="Q156" s="208">
        <f t="shared" si="51"/>
        <v>70.750958879221884</v>
      </c>
      <c r="R156" s="202">
        <f t="shared" si="52"/>
        <v>82.588239427147911</v>
      </c>
      <c r="S156" s="202">
        <f t="shared" si="53"/>
        <v>68.407597500842215</v>
      </c>
      <c r="T156" s="199" t="str">
        <f t="shared" si="46"/>
        <v>-text 441829.2501,3036031.5372 7 0 IP99</v>
      </c>
      <c r="U156" s="199" t="str">
        <f t="shared" si="43"/>
        <v>dt 441829.2501,3036031.5372 5 0 IP99(441829.2501,3036031.5372)*</v>
      </c>
      <c r="V156" s="211"/>
      <c r="W156" s="209" t="str">
        <f t="shared" si="44"/>
        <v>dt 441819.2501,3036021.5372 5 0 R=10*T=3.174*S=6.146*α=35.219*</v>
      </c>
    </row>
    <row r="157" spans="1:23" x14ac:dyDescent="0.25">
      <c r="A157" s="199">
        <f t="shared" si="47"/>
        <v>100</v>
      </c>
      <c r="B157" s="199" t="str">
        <f t="shared" si="48"/>
        <v>IP100</v>
      </c>
      <c r="C157" s="206"/>
      <c r="D157" s="199">
        <v>156</v>
      </c>
      <c r="E157" s="204">
        <f>中心线!D159</f>
        <v>441762.1385</v>
      </c>
      <c r="F157" s="204">
        <f>中心线!E159</f>
        <v>3035978.1406</v>
      </c>
      <c r="G157" s="201">
        <v>10</v>
      </c>
      <c r="H157" s="202">
        <f t="shared" si="49"/>
        <v>19.632000000000001</v>
      </c>
      <c r="I157" s="202">
        <f t="shared" si="41"/>
        <v>1.730175910007923</v>
      </c>
      <c r="J157" s="202">
        <f t="shared" si="42"/>
        <v>3.4264303875152682</v>
      </c>
      <c r="K157" s="202">
        <f t="shared" si="50"/>
        <v>85.762251288842805</v>
      </c>
      <c r="L157" s="202">
        <f t="shared" si="38"/>
        <v>18487.046057725085</v>
      </c>
      <c r="M157" s="202">
        <f t="shared" si="39"/>
        <v>18488.759272918844</v>
      </c>
      <c r="N157" s="202">
        <f t="shared" si="40"/>
        <v>18490.472488112602</v>
      </c>
      <c r="O157" s="202" t="str">
        <f t="shared" si="45"/>
        <v>circle 441762.1385,3035978.1406 1</v>
      </c>
      <c r="Q157" s="208">
        <f t="shared" si="51"/>
        <v>84.032075378834875</v>
      </c>
      <c r="R157" s="202">
        <f t="shared" si="52"/>
        <v>48.459176077098277</v>
      </c>
      <c r="S157" s="202">
        <f t="shared" si="53"/>
        <v>80.858063517139982</v>
      </c>
      <c r="T157" s="199" t="str">
        <f t="shared" si="46"/>
        <v>-text 441762.1385,3035978.1406 7 0 IP100</v>
      </c>
      <c r="U157" s="199" t="str">
        <f t="shared" si="43"/>
        <v>dt 441762.1385,3035978.1406 5 0 IP100(441762.1385,3035978.1406)*</v>
      </c>
      <c r="V157" s="211"/>
      <c r="W157" s="209" t="str">
        <f t="shared" si="44"/>
        <v>dt 441752.1385,3035968.1406 5 0 R=10*T=1.73*S=3.426*α=19.632*</v>
      </c>
    </row>
    <row r="158" spans="1:23" x14ac:dyDescent="0.25">
      <c r="A158" s="199">
        <f t="shared" si="47"/>
        <v>101</v>
      </c>
      <c r="B158" s="199" t="str">
        <f t="shared" si="48"/>
        <v>IP101</v>
      </c>
      <c r="C158" s="206"/>
      <c r="D158" s="199">
        <v>157</v>
      </c>
      <c r="E158" s="204">
        <f>中心线!D160</f>
        <v>441735.64539999998</v>
      </c>
      <c r="F158" s="204">
        <f>中心线!E160</f>
        <v>3035935.5133000002</v>
      </c>
      <c r="G158" s="201">
        <v>10</v>
      </c>
      <c r="H158" s="202">
        <f t="shared" si="49"/>
        <v>18.256</v>
      </c>
      <c r="I158" s="202">
        <f t="shared" si="41"/>
        <v>1.6067531800660106</v>
      </c>
      <c r="J158" s="202">
        <f t="shared" si="42"/>
        <v>3.1862730824408478</v>
      </c>
      <c r="K158" s="202">
        <f t="shared" si="50"/>
        <v>50.1893519871062</v>
      </c>
      <c r="L158" s="202">
        <f t="shared" si="38"/>
        <v>18537.324911009633</v>
      </c>
      <c r="M158" s="202">
        <f t="shared" si="39"/>
        <v>18538.918047550855</v>
      </c>
      <c r="N158" s="202">
        <f t="shared" si="40"/>
        <v>18540.511184092073</v>
      </c>
      <c r="O158" s="202" t="str">
        <f t="shared" si="45"/>
        <v>circle 441735.6454,3035935.5133 1</v>
      </c>
      <c r="Q158" s="208">
        <f t="shared" si="51"/>
        <v>48.582598807040192</v>
      </c>
      <c r="R158" s="202">
        <f t="shared" si="52"/>
        <v>39.045745611953919</v>
      </c>
      <c r="S158" s="202">
        <f t="shared" si="53"/>
        <v>46.85242289703227</v>
      </c>
      <c r="T158" s="199" t="str">
        <f t="shared" si="46"/>
        <v>-text 441735.6454,3035935.5133 7 0 IP101</v>
      </c>
      <c r="U158" s="199" t="str">
        <f t="shared" si="43"/>
        <v>dt 441735.6454,3035935.5133 5 0 IP101(441735.6454,3035935.5133)*</v>
      </c>
      <c r="V158" s="211"/>
      <c r="W158" s="209" t="str">
        <f t="shared" si="44"/>
        <v>dt 441725.6454,3035925.5133 5 0 R=10*T=1.606*S=3.186*α=18.256*</v>
      </c>
    </row>
    <row r="159" spans="1:23" x14ac:dyDescent="0.25">
      <c r="A159" s="199">
        <f t="shared" si="47"/>
        <v>102</v>
      </c>
      <c r="B159" s="199" t="str">
        <f t="shared" si="48"/>
        <v>IP102</v>
      </c>
      <c r="C159" s="206"/>
      <c r="D159" s="199">
        <v>158</v>
      </c>
      <c r="E159" s="204">
        <f>中心线!D161</f>
        <v>441726.08279999997</v>
      </c>
      <c r="F159" s="204">
        <f>中心线!E161</f>
        <v>3035896.0014999998</v>
      </c>
      <c r="G159" s="201">
        <v>10</v>
      </c>
      <c r="H159" s="202">
        <f t="shared" si="49"/>
        <v>18.228000000000002</v>
      </c>
      <c r="I159" s="202">
        <f t="shared" si="41"/>
        <v>1.6042467357163501</v>
      </c>
      <c r="J159" s="202">
        <f t="shared" si="42"/>
        <v>3.1813861605352645</v>
      </c>
      <c r="K159" s="202">
        <f t="shared" si="50"/>
        <v>40.652498792019927</v>
      </c>
      <c r="L159" s="202">
        <f t="shared" si="38"/>
        <v>18577.952682968316</v>
      </c>
      <c r="M159" s="202">
        <f t="shared" si="39"/>
        <v>18579.543376048583</v>
      </c>
      <c r="N159" s="202">
        <f t="shared" si="40"/>
        <v>18581.134069128853</v>
      </c>
      <c r="O159" s="202" t="str">
        <f t="shared" si="45"/>
        <v>circle 441726.0828,3035896.0015 1</v>
      </c>
      <c r="Q159" s="208">
        <f t="shared" si="51"/>
        <v>39.048252056303575</v>
      </c>
      <c r="R159" s="202">
        <f t="shared" si="52"/>
        <v>43.099709388134606</v>
      </c>
      <c r="S159" s="202">
        <f t="shared" si="53"/>
        <v>37.441498876237567</v>
      </c>
      <c r="T159" s="199" t="str">
        <f t="shared" si="46"/>
        <v>-text 441726.0828,3035896.0015 7 0 IP102</v>
      </c>
      <c r="U159" s="199" t="str">
        <f t="shared" si="43"/>
        <v>dt 441726.0828,3035896.0015 5 0 IP102(441726.0828,3035896.0015)*</v>
      </c>
      <c r="V159" s="211"/>
      <c r="W159" s="209" t="str">
        <f t="shared" si="44"/>
        <v>dt 441716.0828,3035886.0015 5 0 R=10*T=1.604*S=3.181*α=18.228*</v>
      </c>
    </row>
    <row r="160" spans="1:23" x14ac:dyDescent="0.25">
      <c r="A160" s="199">
        <f t="shared" si="47"/>
        <v>103</v>
      </c>
      <c r="B160" s="199" t="str">
        <f t="shared" si="48"/>
        <v>IP103</v>
      </c>
      <c r="C160" s="206"/>
      <c r="D160" s="199">
        <v>159</v>
      </c>
      <c r="E160" s="204">
        <f>中心线!D162</f>
        <v>441729.68609999999</v>
      </c>
      <c r="F160" s="204">
        <f>中心线!E162</f>
        <v>3035851.443</v>
      </c>
      <c r="G160" s="201">
        <v>10</v>
      </c>
      <c r="H160" s="202">
        <f t="shared" si="49"/>
        <v>70.436000000000007</v>
      </c>
      <c r="I160" s="202">
        <f t="shared" si="41"/>
        <v>7.0589299677161215</v>
      </c>
      <c r="J160" s="202">
        <f t="shared" si="42"/>
        <v>12.293401119347262</v>
      </c>
      <c r="K160" s="202">
        <f t="shared" si="50"/>
        <v>44.703956123850958</v>
      </c>
      <c r="L160" s="202">
        <f t="shared" si="38"/>
        <v>18617.174848549272</v>
      </c>
      <c r="M160" s="202">
        <f t="shared" si="39"/>
        <v>18623.321549108947</v>
      </c>
      <c r="N160" s="202">
        <f t="shared" si="40"/>
        <v>18629.468249668618</v>
      </c>
      <c r="O160" s="202" t="str">
        <f t="shared" si="45"/>
        <v>circle 441729.6861,3035851.443 1</v>
      </c>
      <c r="Q160" s="208">
        <f t="shared" si="51"/>
        <v>37.645026156134833</v>
      </c>
      <c r="R160" s="202">
        <f t="shared" si="52"/>
        <v>17.015315904835642</v>
      </c>
      <c r="S160" s="202">
        <f t="shared" si="53"/>
        <v>36.040779420418488</v>
      </c>
      <c r="T160" s="199" t="str">
        <f t="shared" si="46"/>
        <v>-text 441729.6861,3035851.443 7 0 IP103</v>
      </c>
      <c r="U160" s="199" t="str">
        <f t="shared" si="43"/>
        <v>dt 441729.6861,3035851.443 5 0 IP103(441729.6861,3035851.443)*</v>
      </c>
      <c r="V160" s="211"/>
      <c r="W160" s="209" t="str">
        <f t="shared" si="44"/>
        <v>dt 441719.6861,3035841.443 5 0 R=10*T=7.058*S=12.293*α=70.436*</v>
      </c>
    </row>
    <row r="161" spans="1:23" x14ac:dyDescent="0.25">
      <c r="A161" s="199">
        <f t="shared" si="47"/>
        <v>104</v>
      </c>
      <c r="B161" s="199" t="str">
        <f t="shared" si="48"/>
        <v>IP104</v>
      </c>
      <c r="C161" s="206"/>
      <c r="D161" s="199">
        <v>160</v>
      </c>
      <c r="E161" s="204">
        <f>中心线!D163</f>
        <v>441707.72529999999</v>
      </c>
      <c r="F161" s="204">
        <f>中心线!E163</f>
        <v>3035841.5792999999</v>
      </c>
      <c r="G161" s="201">
        <v>10</v>
      </c>
      <c r="H161" s="202">
        <f t="shared" si="49"/>
        <v>37.268000000000001</v>
      </c>
      <c r="I161" s="202">
        <f t="shared" si="41"/>
        <v>3.3719793357049004</v>
      </c>
      <c r="J161" s="202">
        <f t="shared" si="42"/>
        <v>6.5044930563324668</v>
      </c>
      <c r="K161" s="202">
        <f t="shared" si="50"/>
        <v>24.074245872551764</v>
      </c>
      <c r="L161" s="202">
        <f t="shared" si="38"/>
        <v>18643.111586237752</v>
      </c>
      <c r="M161" s="202">
        <f t="shared" si="39"/>
        <v>18646.363832765917</v>
      </c>
      <c r="N161" s="202">
        <f t="shared" si="40"/>
        <v>18649.616079294083</v>
      </c>
      <c r="O161" s="202" t="str">
        <f t="shared" si="45"/>
        <v>circle 441707.7253,3035841.5793 1</v>
      </c>
      <c r="Q161" s="208">
        <f t="shared" si="51"/>
        <v>20.702266536846864</v>
      </c>
      <c r="R161" s="202">
        <f t="shared" si="52"/>
        <v>48.070425402526475</v>
      </c>
      <c r="S161" s="202">
        <f t="shared" si="53"/>
        <v>13.643336569130742</v>
      </c>
      <c r="T161" s="199" t="str">
        <f t="shared" si="46"/>
        <v>-text 441707.7253,3035841.5793 7 0 IP104</v>
      </c>
      <c r="U161" s="199" t="str">
        <f t="shared" si="43"/>
        <v>dt 441707.7253,3035841.5793 5 0 IP104(441707.7253,3035841.5793)*</v>
      </c>
      <c r="V161" s="211"/>
      <c r="W161" s="209" t="str">
        <f t="shared" si="44"/>
        <v>dt 441697.7253,3035831.5793 5 0 R=10*T=3.371*S=6.504*α=37.268*</v>
      </c>
    </row>
    <row r="162" spans="1:23" x14ac:dyDescent="0.25">
      <c r="A162" s="199">
        <f t="shared" si="47"/>
        <v>105</v>
      </c>
      <c r="B162" s="199" t="str">
        <f t="shared" si="48"/>
        <v>IP105</v>
      </c>
      <c r="C162" s="199"/>
      <c r="D162" s="199">
        <v>161</v>
      </c>
      <c r="E162" s="204">
        <f>中心线!D164</f>
        <v>441657.61780000001</v>
      </c>
      <c r="F162" s="204">
        <f>中心线!E164</f>
        <v>3035853.2223</v>
      </c>
      <c r="G162" s="201">
        <v>10</v>
      </c>
      <c r="H162" s="202">
        <f t="shared" si="49"/>
        <v>31.9</v>
      </c>
      <c r="I162" s="202">
        <f t="shared" si="41"/>
        <v>2.8580120412765293</v>
      </c>
      <c r="J162" s="202">
        <f t="shared" si="42"/>
        <v>5.5676003138619112</v>
      </c>
      <c r="K162" s="202">
        <f t="shared" si="50"/>
        <v>51.442404738231374</v>
      </c>
      <c r="L162" s="202">
        <f t="shared" si="38"/>
        <v>18694.828492655332</v>
      </c>
      <c r="M162" s="202">
        <f t="shared" si="39"/>
        <v>18697.612292812264</v>
      </c>
      <c r="N162" s="202">
        <f t="shared" si="40"/>
        <v>18700.396092969193</v>
      </c>
      <c r="O162" s="202" t="str">
        <f t="shared" si="45"/>
        <v>circle 441657.6178,3035853.2223 1</v>
      </c>
      <c r="Q162" s="208">
        <f t="shared" si="51"/>
        <v>48.584392696954843</v>
      </c>
      <c r="R162" s="202">
        <f t="shared" si="52"/>
        <v>54.487926687248986</v>
      </c>
      <c r="S162" s="202">
        <f t="shared" si="53"/>
        <v>45.212413361249943</v>
      </c>
      <c r="T162" s="199" t="str">
        <f t="shared" si="46"/>
        <v>-text 441657.6178,3035853.2223 7 0 IP105</v>
      </c>
      <c r="U162" s="199" t="str">
        <f t="shared" si="43"/>
        <v>dt 441657.6178,3035853.2223 5 0 IP105(441657.6178,3035853.2223)*</v>
      </c>
      <c r="V162" s="211"/>
      <c r="W162" s="209" t="str">
        <f t="shared" si="44"/>
        <v>dt 441647.6178,3035843.2223 5 0 R=10*T=2.858*S=5.567*α=31.9*</v>
      </c>
    </row>
    <row r="163" spans="1:23" x14ac:dyDescent="0.25">
      <c r="A163" s="199">
        <f t="shared" si="47"/>
        <v>106</v>
      </c>
      <c r="B163" s="199" t="str">
        <f t="shared" si="48"/>
        <v>IP106</v>
      </c>
      <c r="C163" s="199"/>
      <c r="D163" s="199">
        <v>162</v>
      </c>
      <c r="E163" s="204">
        <f>中心线!D165</f>
        <v>441617.05489999999</v>
      </c>
      <c r="F163" s="204">
        <f>中心线!E165</f>
        <v>3035893.7588</v>
      </c>
      <c r="G163" s="201">
        <v>10</v>
      </c>
      <c r="H163" s="202">
        <f t="shared" si="49"/>
        <v>15.782</v>
      </c>
      <c r="I163" s="202">
        <f t="shared" si="41"/>
        <v>1.3860136616672363</v>
      </c>
      <c r="J163" s="202">
        <f t="shared" si="42"/>
        <v>2.7544786254974509</v>
      </c>
      <c r="K163" s="202">
        <f t="shared" si="50"/>
        <v>57.345938728525518</v>
      </c>
      <c r="L163" s="202">
        <f t="shared" si="38"/>
        <v>18753.498005994777</v>
      </c>
      <c r="M163" s="202">
        <f t="shared" si="39"/>
        <v>18754.875245307525</v>
      </c>
      <c r="N163" s="202">
        <f t="shared" si="40"/>
        <v>18756.252484620276</v>
      </c>
      <c r="O163" s="202" t="str">
        <f t="shared" si="45"/>
        <v>circle 441617.0549,3035893.7588 1</v>
      </c>
      <c r="Q163" s="208">
        <f t="shared" si="51"/>
        <v>55.959925066858283</v>
      </c>
      <c r="R163" s="202">
        <f t="shared" si="52"/>
        <v>29.147970363007332</v>
      </c>
      <c r="S163" s="202">
        <f t="shared" si="53"/>
        <v>53.101913025581752</v>
      </c>
      <c r="T163" s="199" t="str">
        <f t="shared" si="46"/>
        <v>-text 441617.0549,3035893.7588 7 0 IP106</v>
      </c>
      <c r="U163" s="199" t="str">
        <f t="shared" si="43"/>
        <v>dt 441617.0549,3035893.7588 5 0 IP106(441617.0549,3035893.7588)*</v>
      </c>
      <c r="V163" s="211"/>
      <c r="W163" s="209" t="str">
        <f t="shared" si="44"/>
        <v>dt 441607.0549,3035883.7588 5 0 R=10*T=1.386*S=2.754*α=15.782*</v>
      </c>
    </row>
    <row r="164" spans="1:23" x14ac:dyDescent="0.25">
      <c r="A164" s="199">
        <f t="shared" si="47"/>
        <v>107</v>
      </c>
      <c r="B164" s="199" t="str">
        <f t="shared" si="48"/>
        <v>IP107</v>
      </c>
      <c r="C164" s="206"/>
      <c r="D164" s="199">
        <v>163</v>
      </c>
      <c r="E164" s="204">
        <f>中心线!D166</f>
        <v>441590.40100000001</v>
      </c>
      <c r="F164" s="204">
        <f>中心线!E166</f>
        <v>3035908.6549</v>
      </c>
      <c r="G164" s="201">
        <v>10</v>
      </c>
      <c r="H164" s="202">
        <f t="shared" si="49"/>
        <v>61.947000000000003</v>
      </c>
      <c r="I164" s="202">
        <f t="shared" si="41"/>
        <v>6.0023129921286111</v>
      </c>
      <c r="J164" s="202">
        <f t="shared" si="42"/>
        <v>10.811791117329273</v>
      </c>
      <c r="K164" s="202">
        <f t="shared" si="50"/>
        <v>30.533984024674567</v>
      </c>
      <c r="L164" s="202">
        <f t="shared" si="38"/>
        <v>18779.398141991151</v>
      </c>
      <c r="M164" s="202">
        <f t="shared" si="39"/>
        <v>18784.804037549817</v>
      </c>
      <c r="N164" s="202">
        <f t="shared" si="40"/>
        <v>18790.209933108479</v>
      </c>
      <c r="O164" s="202" t="str">
        <f t="shared" si="45"/>
        <v>circle 441590.401,3035908.6549 1</v>
      </c>
      <c r="Q164" s="208">
        <f t="shared" si="51"/>
        <v>24.531671032545955</v>
      </c>
      <c r="R164" s="202">
        <f t="shared" si="52"/>
        <v>46.438514800901025</v>
      </c>
      <c r="S164" s="202">
        <f t="shared" si="53"/>
        <v>23.14565737087872</v>
      </c>
      <c r="T164" s="199" t="str">
        <f t="shared" si="46"/>
        <v>-text 441590.401,3035908.6549 7 0 IP107</v>
      </c>
      <c r="U164" s="199" t="str">
        <f t="shared" si="43"/>
        <v>dt 441590.401,3035908.6549 5 0 IP107(441590.401,3035908.6549)*</v>
      </c>
      <c r="V164" s="211"/>
      <c r="W164" s="209" t="str">
        <f t="shared" si="44"/>
        <v>dt 441580.401,3035898.6549 5 0 R=10*T=6.002*S=10.811*α=61.947*</v>
      </c>
    </row>
    <row r="165" spans="1:23" x14ac:dyDescent="0.25">
      <c r="A165" s="199">
        <f t="shared" si="47"/>
        <v>108</v>
      </c>
      <c r="B165" s="199" t="str">
        <f t="shared" si="48"/>
        <v>IP108</v>
      </c>
      <c r="C165" s="199"/>
      <c r="D165" s="199">
        <v>164</v>
      </c>
      <c r="E165" s="204">
        <f>中心线!D167</f>
        <v>441546.29489999998</v>
      </c>
      <c r="F165" s="204">
        <f>中心线!E167</f>
        <v>3035880.2878</v>
      </c>
      <c r="G165" s="201">
        <v>10</v>
      </c>
      <c r="H165" s="202">
        <f t="shared" si="49"/>
        <v>50.61</v>
      </c>
      <c r="I165" s="202">
        <f t="shared" si="41"/>
        <v>4.7280460441693437</v>
      </c>
      <c r="J165" s="202">
        <f t="shared" si="42"/>
        <v>8.8331113443433011</v>
      </c>
      <c r="K165" s="202">
        <f t="shared" si="50"/>
        <v>52.440827793029634</v>
      </c>
      <c r="L165" s="202">
        <f t="shared" si="38"/>
        <v>18831.920401865216</v>
      </c>
      <c r="M165" s="202">
        <f t="shared" si="39"/>
        <v>18836.336957537387</v>
      </c>
      <c r="N165" s="202">
        <f t="shared" si="40"/>
        <v>18840.753513209558</v>
      </c>
      <c r="O165" s="202" t="str">
        <f t="shared" si="45"/>
        <v>circle 441546.2949,3035880.2878 1</v>
      </c>
      <c r="Q165" s="208">
        <f t="shared" si="51"/>
        <v>47.712781748860287</v>
      </c>
      <c r="R165" s="202">
        <f t="shared" si="52"/>
        <v>44.257224699907759</v>
      </c>
      <c r="S165" s="202">
        <f t="shared" si="53"/>
        <v>41.710468756731679</v>
      </c>
      <c r="T165" s="199" t="str">
        <f t="shared" si="46"/>
        <v>-text 441546.2949,3035880.2878 7 0 IP108</v>
      </c>
      <c r="U165" s="199" t="str">
        <f t="shared" si="43"/>
        <v>dt 441546.2949,3035880.2878 5 0 IP108(441546.2949,3035880.2878)*</v>
      </c>
      <c r="V165" s="211"/>
      <c r="W165" s="209" t="str">
        <f t="shared" si="44"/>
        <v>dt 441536.2949,3035870.2878 5 0 R=10*T=4.728*S=8.833*α=50.61*</v>
      </c>
    </row>
    <row r="166" spans="1:23" x14ac:dyDescent="0.25">
      <c r="A166" s="199">
        <f t="shared" si="47"/>
        <v>109</v>
      </c>
      <c r="B166" s="199" t="str">
        <f t="shared" si="48"/>
        <v>IP109</v>
      </c>
      <c r="C166" s="199"/>
      <c r="D166" s="199">
        <v>165</v>
      </c>
      <c r="E166" s="204">
        <f>中心线!D168</f>
        <v>441540.62819999998</v>
      </c>
      <c r="F166" s="204">
        <f>中心线!E168</f>
        <v>3035831.6313999998</v>
      </c>
      <c r="G166" s="201">
        <v>10</v>
      </c>
      <c r="H166" s="202">
        <f t="shared" si="49"/>
        <v>43.264000000000003</v>
      </c>
      <c r="I166" s="202">
        <f t="shared" si="41"/>
        <v>3.9657420785340909</v>
      </c>
      <c r="J166" s="202">
        <f t="shared" si="42"/>
        <v>7.5509924758282674</v>
      </c>
      <c r="K166" s="202">
        <f t="shared" si="50"/>
        <v>48.985270744077106</v>
      </c>
      <c r="L166" s="202">
        <f t="shared" ref="L166:L195" si="54">M166-J166/2</f>
        <v>18881.044995830933</v>
      </c>
      <c r="M166" s="202">
        <f t="shared" ref="M166:M195" si="55">M165+K166-I166+J166/2+J165/2-I165</f>
        <v>18884.820492068848</v>
      </c>
      <c r="N166" s="202">
        <f t="shared" ref="N166:N195" si="56">L166+J166</f>
        <v>18888.595988306763</v>
      </c>
      <c r="O166" s="202" t="str">
        <f t="shared" si="45"/>
        <v>circle 441540.6282,3035831.6314 1</v>
      </c>
      <c r="Q166" s="208">
        <f t="shared" si="51"/>
        <v>45.019528665543014</v>
      </c>
      <c r="R166" s="202">
        <f t="shared" si="52"/>
        <v>48.789135643730361</v>
      </c>
      <c r="S166" s="202">
        <f t="shared" si="53"/>
        <v>40.291482621373667</v>
      </c>
      <c r="T166" s="199" t="str">
        <f t="shared" si="46"/>
        <v>-text 441540.6282,3035831.6314 7 0 IP109</v>
      </c>
      <c r="U166" s="199" t="str">
        <f t="shared" si="43"/>
        <v>dt 441540.6282,3035831.6314 5 0 IP109(441540.6282,3035831.6314)*</v>
      </c>
      <c r="V166" s="211"/>
      <c r="W166" s="209" t="str">
        <f t="shared" si="44"/>
        <v>dt 441530.6282,3035821.6314 5 0 R=10*T=3.965*S=7.55*α=43.264*</v>
      </c>
    </row>
    <row r="167" spans="1:23" x14ac:dyDescent="0.25">
      <c r="A167" s="199">
        <f t="shared" si="47"/>
        <v>110</v>
      </c>
      <c r="B167" s="199" t="str">
        <f t="shared" si="48"/>
        <v>IP110</v>
      </c>
      <c r="C167" s="206"/>
      <c r="D167" s="199">
        <v>166</v>
      </c>
      <c r="E167" s="204">
        <f>中心线!D169</f>
        <v>441572.09749999997</v>
      </c>
      <c r="F167" s="204">
        <f>中心线!E169</f>
        <v>3035789.2903999998</v>
      </c>
      <c r="G167" s="201">
        <v>10</v>
      </c>
      <c r="H167" s="202">
        <f t="shared" si="49"/>
        <v>41.606000000000002</v>
      </c>
      <c r="I167" s="202">
        <f t="shared" si="41"/>
        <v>3.7992428192946104</v>
      </c>
      <c r="J167" s="202">
        <f t="shared" si="42"/>
        <v>7.2616168858476078</v>
      </c>
      <c r="K167" s="202">
        <f t="shared" si="50"/>
        <v>52.754877722264453</v>
      </c>
      <c r="L167" s="202">
        <f t="shared" si="54"/>
        <v>18933.585881131199</v>
      </c>
      <c r="M167" s="202">
        <f t="shared" si="55"/>
        <v>18937.216689574121</v>
      </c>
      <c r="N167" s="202">
        <f t="shared" si="56"/>
        <v>18940.847498017047</v>
      </c>
      <c r="O167" s="202" t="str">
        <f t="shared" si="45"/>
        <v>circle 441572.0975,3035789.2904 1</v>
      </c>
      <c r="Q167" s="208">
        <f t="shared" si="51"/>
        <v>48.955634902969841</v>
      </c>
      <c r="R167" s="202">
        <f t="shared" si="52"/>
        <v>24.186395043482733</v>
      </c>
      <c r="S167" s="202">
        <f t="shared" si="53"/>
        <v>44.989892824435749</v>
      </c>
      <c r="T167" s="199" t="str">
        <f t="shared" si="46"/>
        <v>-text 441572.0975,3035789.2904 7 0 IP110</v>
      </c>
      <c r="U167" s="199" t="str">
        <f t="shared" si="43"/>
        <v>dt 441572.0975,3035789.2904 5 0 IP110(441572.0975,3035789.2904)*</v>
      </c>
      <c r="V167" s="211"/>
      <c r="W167" s="209" t="str">
        <f t="shared" si="44"/>
        <v>dt 441562.0975,3035779.2904 5 0 R=10*T=3.799*S=7.261*α=41.606*</v>
      </c>
    </row>
    <row r="168" spans="1:23" x14ac:dyDescent="0.25">
      <c r="A168" s="199">
        <f t="shared" si="47"/>
        <v>111</v>
      </c>
      <c r="B168" s="199" t="str">
        <f t="shared" si="48"/>
        <v>IP111</v>
      </c>
      <c r="C168" s="206"/>
      <c r="D168" s="199">
        <v>167</v>
      </c>
      <c r="E168" s="204">
        <f>中心线!D170</f>
        <v>441569.66590000002</v>
      </c>
      <c r="F168" s="204">
        <f>中心线!E170</f>
        <v>3035761.4106000001</v>
      </c>
      <c r="G168" s="201">
        <v>10</v>
      </c>
      <c r="H168" s="202">
        <f t="shared" si="49"/>
        <v>43.435000000000002</v>
      </c>
      <c r="I168" s="202">
        <f t="shared" si="41"/>
        <v>3.983021770685288</v>
      </c>
      <c r="J168" s="202">
        <f t="shared" si="42"/>
        <v>7.5808376060373712</v>
      </c>
      <c r="K168" s="202">
        <f t="shared" si="50"/>
        <v>27.985637862777345</v>
      </c>
      <c r="L168" s="202">
        <f t="shared" si="54"/>
        <v>18961.050871289841</v>
      </c>
      <c r="M168" s="202">
        <f t="shared" si="55"/>
        <v>18964.84129009286</v>
      </c>
      <c r="N168" s="202">
        <f t="shared" si="56"/>
        <v>18968.631708895879</v>
      </c>
      <c r="O168" s="202" t="str">
        <f t="shared" si="45"/>
        <v>circle 441569.6659,3035761.4106 1</v>
      </c>
      <c r="Q168" s="208">
        <f t="shared" si="51"/>
        <v>24.002616092092058</v>
      </c>
      <c r="R168" s="202">
        <f t="shared" si="52"/>
        <v>16.542790179330311</v>
      </c>
      <c r="S168" s="202">
        <f t="shared" si="53"/>
        <v>20.203373272797446</v>
      </c>
      <c r="T168" s="199" t="str">
        <f t="shared" si="46"/>
        <v>-text 441569.6659,3035761.4106 7 0 IP111</v>
      </c>
      <c r="U168" s="199" t="str">
        <f t="shared" si="43"/>
        <v>dt 441569.6659,3035761.4106 5 0 IP111(441569.6659,3035761.4106)*</v>
      </c>
      <c r="V168" s="211"/>
      <c r="W168" s="209" t="str">
        <f t="shared" si="44"/>
        <v>dt 441559.6659,3035751.4106 5 0 R=10*T=3.983*S=7.58*α=43.435*</v>
      </c>
    </row>
    <row r="169" spans="1:23" x14ac:dyDescent="0.25">
      <c r="A169" s="199">
        <f t="shared" si="47"/>
        <v>111</v>
      </c>
      <c r="B169" s="199" t="str">
        <f t="shared" si="48"/>
        <v>梅雨二支渠节制闸(八流量段末)</v>
      </c>
      <c r="C169" s="206" t="s">
        <v>639</v>
      </c>
      <c r="D169" s="199">
        <v>168</v>
      </c>
      <c r="E169" s="204">
        <f>中心线!D171</f>
        <v>441554.31209999998</v>
      </c>
      <c r="F169" s="204">
        <f>中心线!E171</f>
        <v>3035747.7881999998</v>
      </c>
      <c r="G169" s="201">
        <v>0</v>
      </c>
      <c r="H169" s="202">
        <f t="shared" si="49"/>
        <v>0</v>
      </c>
      <c r="I169" s="202">
        <f t="shared" si="41"/>
        <v>0</v>
      </c>
      <c r="J169" s="202">
        <f t="shared" si="42"/>
        <v>0</v>
      </c>
      <c r="K169" s="202">
        <f t="shared" si="50"/>
        <v>20.525811950015598</v>
      </c>
      <c r="L169" s="202">
        <f t="shared" si="54"/>
        <v>18985.174499075209</v>
      </c>
      <c r="M169" s="202">
        <f t="shared" si="55"/>
        <v>18985.174499075209</v>
      </c>
      <c r="N169" s="202">
        <f t="shared" si="56"/>
        <v>18985.174499075209</v>
      </c>
      <c r="O169" s="202" t="str">
        <f t="shared" si="45"/>
        <v>circle 441554.3121,3035747.7882 1</v>
      </c>
      <c r="Q169" s="208">
        <f t="shared" si="51"/>
        <v>20.525811950015598</v>
      </c>
      <c r="R169" s="202">
        <f t="shared" si="52"/>
        <v>24.332444048462367</v>
      </c>
      <c r="S169" s="202">
        <f t="shared" si="53"/>
        <v>16.542790179330311</v>
      </c>
      <c r="T169" s="199" t="str">
        <f t="shared" si="46"/>
        <v>-text 441554.3121,3035747.7882 7 0 梅雨二支渠节制闸(八流量段末)</v>
      </c>
      <c r="U169" s="199" t="str">
        <f t="shared" si="43"/>
        <v>dt 441554.3121,3035747.7882 5 0 梅雨二支渠节制闸(八流量段末)(441554.3121,3035747.7882)*</v>
      </c>
      <c r="V169" s="211"/>
      <c r="W169" s="209" t="str">
        <f t="shared" si="44"/>
        <v>dt 441544.3121,3035737.7882 5 0 R=0*T=0*S=0*α=0*</v>
      </c>
    </row>
    <row r="170" spans="1:23" x14ac:dyDescent="0.25">
      <c r="A170" s="199">
        <f t="shared" si="47"/>
        <v>112</v>
      </c>
      <c r="B170" s="199" t="str">
        <f t="shared" si="48"/>
        <v>IP112</v>
      </c>
      <c r="C170" s="199"/>
      <c r="D170" s="199">
        <v>169</v>
      </c>
      <c r="E170" s="204">
        <f>中心线!D172</f>
        <v>441536.11080000002</v>
      </c>
      <c r="F170" s="204">
        <f>中心线!E172</f>
        <v>3035731.6395</v>
      </c>
      <c r="G170" s="201">
        <v>10</v>
      </c>
      <c r="H170" s="202">
        <f t="shared" si="49"/>
        <v>47.447000000000003</v>
      </c>
      <c r="I170" s="202">
        <f t="shared" si="41"/>
        <v>4.3945858426931723</v>
      </c>
      <c r="J170" s="202">
        <f t="shared" si="42"/>
        <v>8.2810637019374962</v>
      </c>
      <c r="K170" s="202">
        <f t="shared" si="50"/>
        <v>24.332444048462367</v>
      </c>
      <c r="L170" s="202">
        <f t="shared" si="54"/>
        <v>19005.112357280977</v>
      </c>
      <c r="M170" s="202">
        <f t="shared" si="55"/>
        <v>19009.252889131945</v>
      </c>
      <c r="N170" s="202">
        <f t="shared" si="56"/>
        <v>19013.393420982917</v>
      </c>
      <c r="O170" s="202" t="str">
        <f t="shared" si="45"/>
        <v>circle 441536.1108,3035731.6395 1</v>
      </c>
      <c r="Q170" s="208">
        <f t="shared" si="51"/>
        <v>19.937858205769196</v>
      </c>
      <c r="R170" s="202">
        <f t="shared" si="52"/>
        <v>68.990596174056705</v>
      </c>
      <c r="S170" s="202">
        <f t="shared" si="53"/>
        <v>19.937858205769196</v>
      </c>
      <c r="T170" s="199" t="str">
        <f t="shared" si="46"/>
        <v>-text 441536.1108,3035731.6395 7 0 IP112</v>
      </c>
      <c r="U170" s="199" t="str">
        <f t="shared" si="43"/>
        <v>dt 441536.1108,3035731.6395 5 0 IP112(441536.1108,3035731.6395)*</v>
      </c>
      <c r="V170" s="211"/>
      <c r="W170" s="209" t="str">
        <f t="shared" si="44"/>
        <v>dt 441526.1108,3035721.6395 5 0 R=10*T=4.394*S=8.281*α=47.447*</v>
      </c>
    </row>
    <row r="171" spans="1:23" x14ac:dyDescent="0.25">
      <c r="A171" s="199">
        <f t="shared" si="47"/>
        <v>113</v>
      </c>
      <c r="B171" s="199" t="str">
        <f t="shared" si="48"/>
        <v>IP113</v>
      </c>
      <c r="C171" s="206"/>
      <c r="D171" s="199">
        <v>170</v>
      </c>
      <c r="E171" s="204">
        <f>中心线!D173</f>
        <v>441534.86459999997</v>
      </c>
      <c r="F171" s="204">
        <f>中心线!E173</f>
        <v>3035658.2648999998</v>
      </c>
      <c r="G171" s="201">
        <v>10</v>
      </c>
      <c r="H171" s="202">
        <f t="shared" si="49"/>
        <v>28.574000000000002</v>
      </c>
      <c r="I171" s="202">
        <f t="shared" si="41"/>
        <v>2.5465518315529314</v>
      </c>
      <c r="J171" s="202">
        <f t="shared" si="42"/>
        <v>4.9871038046485978</v>
      </c>
      <c r="K171" s="202">
        <f t="shared" si="50"/>
        <v>73.38518201674988</v>
      </c>
      <c r="L171" s="202">
        <f t="shared" si="54"/>
        <v>19079.837465325418</v>
      </c>
      <c r="M171" s="202">
        <f t="shared" si="55"/>
        <v>19082.331017227742</v>
      </c>
      <c r="N171" s="202">
        <f t="shared" si="56"/>
        <v>19084.824569130065</v>
      </c>
      <c r="O171" s="202" t="str">
        <f t="shared" si="45"/>
        <v>circle 441534.8646,3035658.2649 1</v>
      </c>
      <c r="Q171" s="208">
        <f t="shared" si="51"/>
        <v>70.838630185196948</v>
      </c>
      <c r="R171" s="202">
        <f t="shared" si="52"/>
        <v>148.97048616140876</v>
      </c>
      <c r="S171" s="202">
        <f t="shared" si="53"/>
        <v>66.444044342503773</v>
      </c>
      <c r="T171" s="199" t="str">
        <f t="shared" si="46"/>
        <v>-text 441534.8646,3035658.2649 7 0 IP113</v>
      </c>
      <c r="U171" s="199" t="str">
        <f t="shared" si="43"/>
        <v>dt 441534.8646,3035658.2649 5 0 IP113(441534.8646,3035658.2649)*</v>
      </c>
      <c r="V171" s="211"/>
      <c r="W171" s="209" t="str">
        <f t="shared" si="44"/>
        <v>dt 441524.8646,3035648.2649 5 0 R=10*T=2.546*S=4.987*α=28.574*</v>
      </c>
    </row>
    <row r="172" spans="1:23" x14ac:dyDescent="0.25">
      <c r="A172" s="199">
        <f t="shared" si="47"/>
        <v>114</v>
      </c>
      <c r="B172" s="199" t="str">
        <f t="shared" si="48"/>
        <v>IP114</v>
      </c>
      <c r="C172" s="206"/>
      <c r="D172" s="199">
        <v>171</v>
      </c>
      <c r="E172" s="204">
        <f>中心线!D174</f>
        <v>441605.06459999998</v>
      </c>
      <c r="F172" s="204">
        <f>中心线!E174</f>
        <v>3035523.9914000002</v>
      </c>
      <c r="G172" s="201">
        <v>10</v>
      </c>
      <c r="H172" s="202">
        <f t="shared" si="49"/>
        <v>36.005000000000003</v>
      </c>
      <c r="I172" s="202">
        <f t="shared" si="41"/>
        <v>3.2496793663094934</v>
      </c>
      <c r="J172" s="202">
        <f t="shared" si="42"/>
        <v>6.2840579718055842</v>
      </c>
      <c r="K172" s="202">
        <f t="shared" si="50"/>
        <v>151.51703799296169</v>
      </c>
      <c r="L172" s="202">
        <f t="shared" si="54"/>
        <v>19230.545375925165</v>
      </c>
      <c r="M172" s="202">
        <f t="shared" si="55"/>
        <v>19233.687404911067</v>
      </c>
      <c r="N172" s="202">
        <f t="shared" si="56"/>
        <v>19236.829433896972</v>
      </c>
      <c r="O172" s="202" t="str">
        <f t="shared" si="45"/>
        <v>circle 441605.0646,3035523.9914 1</v>
      </c>
      <c r="Q172" s="208">
        <f t="shared" si="51"/>
        <v>148.2673586266522</v>
      </c>
      <c r="R172" s="202">
        <f t="shared" si="52"/>
        <v>7.5746364655783367</v>
      </c>
      <c r="S172" s="202">
        <f t="shared" si="53"/>
        <v>145.72080679509926</v>
      </c>
      <c r="T172" s="199" t="str">
        <f t="shared" si="46"/>
        <v>-text 441605.0646,3035523.9914 7 0 IP114</v>
      </c>
      <c r="U172" s="199" t="str">
        <f t="shared" si="43"/>
        <v>dt 441605.0646,3035523.9914 5 0 IP114(441605.0646,3035523.9914)*</v>
      </c>
      <c r="V172" s="211"/>
      <c r="W172" s="209" t="str">
        <f t="shared" si="44"/>
        <v>dt 441595.0646,3035513.9914 5 0 R=10*T=3.249*S=6.284*α=36.005*</v>
      </c>
    </row>
    <row r="173" spans="1:23" x14ac:dyDescent="0.25">
      <c r="A173" s="199">
        <f t="shared" si="47"/>
        <v>114</v>
      </c>
      <c r="B173" s="199" t="str">
        <f t="shared" si="48"/>
        <v>13#倒虹吸进</v>
      </c>
      <c r="C173" s="199" t="s">
        <v>640</v>
      </c>
      <c r="D173" s="199">
        <v>172</v>
      </c>
      <c r="E173" s="204">
        <f>中心线!D175</f>
        <v>441603.48269999999</v>
      </c>
      <c r="F173" s="204">
        <f>中心线!E175</f>
        <v>3035513.2832999998</v>
      </c>
      <c r="G173" s="201">
        <v>0</v>
      </c>
      <c r="H173" s="202">
        <f t="shared" si="49"/>
        <v>0</v>
      </c>
      <c r="I173" s="202">
        <f t="shared" si="41"/>
        <v>0</v>
      </c>
      <c r="J173" s="202">
        <f t="shared" si="42"/>
        <v>0</v>
      </c>
      <c r="K173" s="202">
        <f t="shared" si="50"/>
        <v>10.82431583188783</v>
      </c>
      <c r="L173" s="202">
        <f t="shared" si="54"/>
        <v>19244.404070362547</v>
      </c>
      <c r="M173" s="202">
        <f t="shared" si="55"/>
        <v>19244.404070362547</v>
      </c>
      <c r="N173" s="202">
        <f t="shared" si="56"/>
        <v>19244.404070362547</v>
      </c>
      <c r="O173" s="202" t="str">
        <f t="shared" si="45"/>
        <v>circle 441603.4827,3035513.2833 1</v>
      </c>
      <c r="Q173" s="208">
        <f t="shared" si="51"/>
        <v>10.82431583188783</v>
      </c>
      <c r="R173" s="202">
        <f t="shared" si="52"/>
        <v>242.7683842250716</v>
      </c>
      <c r="S173" s="202">
        <f t="shared" si="53"/>
        <v>7.5746364655783367</v>
      </c>
      <c r="T173" s="199" t="str">
        <f t="shared" si="46"/>
        <v>-text 441603.4827,3035513.2833 7 0 13#倒虹吸进</v>
      </c>
      <c r="U173" s="199" t="str">
        <f t="shared" si="43"/>
        <v>dt 441603.4827,3035513.2833 5 0 13#倒虹吸进(441603.4827,3035513.2833)*</v>
      </c>
      <c r="V173" s="211"/>
      <c r="W173" s="209" t="str">
        <f t="shared" si="44"/>
        <v>dt 441593.4827,3035503.2833 5 0 R=0*T=0*S=0*α=0*</v>
      </c>
    </row>
    <row r="174" spans="1:23" x14ac:dyDescent="0.25">
      <c r="A174" s="199">
        <f t="shared" si="47"/>
        <v>114</v>
      </c>
      <c r="B174" s="199" t="str">
        <f t="shared" si="48"/>
        <v>13#倒虹吸出</v>
      </c>
      <c r="C174" s="206" t="s">
        <v>641</v>
      </c>
      <c r="D174" s="199">
        <v>173</v>
      </c>
      <c r="E174" s="204">
        <f>中心线!D176</f>
        <v>441568.00180000003</v>
      </c>
      <c r="F174" s="204">
        <f>中心线!E176</f>
        <v>3035273.1217</v>
      </c>
      <c r="G174" s="201">
        <v>0</v>
      </c>
      <c r="H174" s="202">
        <f t="shared" si="49"/>
        <v>0</v>
      </c>
      <c r="I174" s="202">
        <f t="shared" si="41"/>
        <v>0</v>
      </c>
      <c r="J174" s="202">
        <f t="shared" si="42"/>
        <v>0</v>
      </c>
      <c r="K174" s="202">
        <f t="shared" si="50"/>
        <v>242.7683842250716</v>
      </c>
      <c r="L174" s="202">
        <f t="shared" si="54"/>
        <v>19487.172454587617</v>
      </c>
      <c r="M174" s="202">
        <f t="shared" si="55"/>
        <v>19487.172454587617</v>
      </c>
      <c r="N174" s="202">
        <f t="shared" si="56"/>
        <v>19487.172454587617</v>
      </c>
      <c r="O174" s="202" t="str">
        <f t="shared" si="45"/>
        <v>circle 441568.0018,3035273.1217 1</v>
      </c>
      <c r="Q174" s="208">
        <f t="shared" si="51"/>
        <v>242.7683842250716</v>
      </c>
      <c r="R174" s="202">
        <f t="shared" si="52"/>
        <v>16.072381312302685</v>
      </c>
      <c r="S174" s="202">
        <f t="shared" si="53"/>
        <v>242.7683842250716</v>
      </c>
      <c r="T174" s="199" t="str">
        <f t="shared" si="46"/>
        <v>-text 441568.0018,3035273.1217 7 0 13#倒虹吸出</v>
      </c>
      <c r="U174" s="199" t="str">
        <f t="shared" si="43"/>
        <v>dt 441568.0018,3035273.1217 5 0 13#倒虹吸出(441568.0018,3035273.1217)*</v>
      </c>
      <c r="V174" s="211"/>
      <c r="W174" s="209" t="str">
        <f t="shared" si="44"/>
        <v>dt 441558.0018,3035263.1217 5 0 R=0*T=0*S=0*α=0*</v>
      </c>
    </row>
    <row r="175" spans="1:23" x14ac:dyDescent="0.25">
      <c r="A175" s="199">
        <f t="shared" si="47"/>
        <v>115</v>
      </c>
      <c r="B175" s="199" t="str">
        <f t="shared" si="48"/>
        <v>IP115</v>
      </c>
      <c r="C175" s="206"/>
      <c r="D175" s="199">
        <v>174</v>
      </c>
      <c r="E175" s="204">
        <f>中心线!D177</f>
        <v>441565.65279999998</v>
      </c>
      <c r="F175" s="204">
        <f>中心线!E177</f>
        <v>3035257.2218999998</v>
      </c>
      <c r="G175" s="201">
        <v>10</v>
      </c>
      <c r="H175" s="202">
        <f t="shared" si="49"/>
        <v>18.96</v>
      </c>
      <c r="I175" s="202">
        <f t="shared" si="41"/>
        <v>1.6698378909382967</v>
      </c>
      <c r="J175" s="202">
        <f t="shared" si="42"/>
        <v>3.309144261781249</v>
      </c>
      <c r="K175" s="202">
        <f t="shared" si="50"/>
        <v>16.072381312302685</v>
      </c>
      <c r="L175" s="202">
        <f t="shared" si="54"/>
        <v>19501.574998008982</v>
      </c>
      <c r="M175" s="202">
        <f t="shared" si="55"/>
        <v>19503.229570139873</v>
      </c>
      <c r="N175" s="202">
        <f t="shared" si="56"/>
        <v>19504.884142270763</v>
      </c>
      <c r="O175" s="202" t="str">
        <f t="shared" si="45"/>
        <v>circle 441565.6528,3035257.2219 1</v>
      </c>
      <c r="Q175" s="208">
        <f t="shared" si="51"/>
        <v>14.402543421364388</v>
      </c>
      <c r="R175" s="202">
        <f t="shared" si="52"/>
        <v>114.48478799330528</v>
      </c>
      <c r="S175" s="202">
        <f t="shared" si="53"/>
        <v>14.402543421364388</v>
      </c>
      <c r="T175" s="199" t="str">
        <f t="shared" si="46"/>
        <v>-text 441565.6528,3035257.2219 7 0 IP115</v>
      </c>
      <c r="U175" s="199" t="str">
        <f t="shared" si="43"/>
        <v>dt 441565.6528,3035257.2219 5 0 IP115(441565.6528,3035257.2219)*</v>
      </c>
      <c r="V175" s="211"/>
      <c r="W175" s="209" t="str">
        <f t="shared" si="44"/>
        <v>dt 441555.6528,3035247.2219 5 0 R=10*T=1.669*S=3.309*α=18.96*</v>
      </c>
    </row>
    <row r="176" spans="1:23" x14ac:dyDescent="0.25">
      <c r="A176" s="199">
        <f t="shared" si="47"/>
        <v>115</v>
      </c>
      <c r="B176" s="199" t="str">
        <f t="shared" si="48"/>
        <v>14#倒虹吸进</v>
      </c>
      <c r="C176" s="206" t="s">
        <v>642</v>
      </c>
      <c r="D176" s="199">
        <v>175</v>
      </c>
      <c r="E176" s="204">
        <f>中心线!D178</f>
        <v>441512.26360000001</v>
      </c>
      <c r="F176" s="204">
        <f>中心线!E178</f>
        <v>3035154.0643000002</v>
      </c>
      <c r="G176" s="201">
        <v>0</v>
      </c>
      <c r="H176" s="202">
        <f t="shared" si="49"/>
        <v>0</v>
      </c>
      <c r="I176" s="202">
        <f t="shared" si="41"/>
        <v>0</v>
      </c>
      <c r="J176" s="202">
        <f t="shared" si="42"/>
        <v>0</v>
      </c>
      <c r="K176" s="202">
        <f t="shared" si="50"/>
        <v>116.15462588424357</v>
      </c>
      <c r="L176" s="202">
        <f t="shared" si="54"/>
        <v>19619.368930264067</v>
      </c>
      <c r="M176" s="202">
        <f t="shared" si="55"/>
        <v>19619.368930264067</v>
      </c>
      <c r="N176" s="202">
        <f t="shared" si="56"/>
        <v>19619.368930264067</v>
      </c>
      <c r="O176" s="202" t="str">
        <f t="shared" si="45"/>
        <v>circle 441512.2636,3035154.0643 1</v>
      </c>
      <c r="Q176" s="208">
        <f t="shared" si="51"/>
        <v>116.15462588424357</v>
      </c>
      <c r="R176" s="202">
        <f t="shared" si="52"/>
        <v>382.67488288747876</v>
      </c>
      <c r="S176" s="202">
        <f t="shared" si="53"/>
        <v>114.48478799330528</v>
      </c>
      <c r="T176" s="199" t="str">
        <f t="shared" si="46"/>
        <v>-text 441512.2636,3035154.0643 7 0 14#倒虹吸进</v>
      </c>
      <c r="U176" s="199" t="str">
        <f t="shared" si="43"/>
        <v>dt 441512.2636,3035154.0643 5 0 14#倒虹吸进(441512.2636,3035154.0643)*</v>
      </c>
      <c r="V176" s="211"/>
      <c r="W176" s="209" t="str">
        <f t="shared" si="44"/>
        <v>dt 441502.2636,3035144.0643 5 0 R=0*T=0*S=0*α=0*</v>
      </c>
    </row>
    <row r="177" spans="1:23" x14ac:dyDescent="0.25">
      <c r="A177" s="199">
        <f t="shared" si="47"/>
        <v>115</v>
      </c>
      <c r="B177" s="199" t="str">
        <f t="shared" si="48"/>
        <v>14#倒虹吸出</v>
      </c>
      <c r="C177" s="206" t="s">
        <v>643</v>
      </c>
      <c r="D177" s="199">
        <v>176</v>
      </c>
      <c r="E177" s="204">
        <f>中心线!D179</f>
        <v>441336.3713</v>
      </c>
      <c r="F177" s="204">
        <f>中心线!E179</f>
        <v>3034814.2085000002</v>
      </c>
      <c r="G177" s="201">
        <v>0</v>
      </c>
      <c r="H177" s="202">
        <f t="shared" si="49"/>
        <v>0</v>
      </c>
      <c r="I177" s="202">
        <f t="shared" si="41"/>
        <v>0</v>
      </c>
      <c r="J177" s="202">
        <f t="shared" si="42"/>
        <v>0</v>
      </c>
      <c r="K177" s="202">
        <f t="shared" si="50"/>
        <v>382.67488288747876</v>
      </c>
      <c r="L177" s="202">
        <f t="shared" si="54"/>
        <v>20002.043813151544</v>
      </c>
      <c r="M177" s="202">
        <f t="shared" si="55"/>
        <v>20002.043813151544</v>
      </c>
      <c r="N177" s="202">
        <f t="shared" si="56"/>
        <v>20002.043813151544</v>
      </c>
      <c r="O177" s="202" t="str">
        <f t="shared" si="45"/>
        <v>circle 441336.3713,3034814.2085 1</v>
      </c>
      <c r="Q177" s="208">
        <f t="shared" si="51"/>
        <v>382.67488288747876</v>
      </c>
      <c r="R177" s="202">
        <f t="shared" si="52"/>
        <v>7.0008704218240005</v>
      </c>
      <c r="S177" s="202">
        <f t="shared" si="53"/>
        <v>382.67488288747876</v>
      </c>
      <c r="T177" s="199" t="str">
        <f t="shared" si="46"/>
        <v>-text 441336.3713,3034814.2085 7 0 14#倒虹吸出</v>
      </c>
      <c r="U177" s="199" t="str">
        <f t="shared" si="43"/>
        <v>dt 441336.3713,3034814.2085 5 0 14#倒虹吸出(441336.3713,3034814.2085)*</v>
      </c>
      <c r="V177" s="211"/>
      <c r="W177" s="209" t="str">
        <f t="shared" si="44"/>
        <v>dt 441326.3713,3034804.2085 5 0 R=0*T=0*S=0*α=0*</v>
      </c>
    </row>
    <row r="178" spans="1:23" x14ac:dyDescent="0.25">
      <c r="A178" s="199">
        <f t="shared" si="47"/>
        <v>115</v>
      </c>
      <c r="B178" s="199" t="str">
        <f t="shared" si="48"/>
        <v>7#隧洞进</v>
      </c>
      <c r="C178" s="199" t="s">
        <v>644</v>
      </c>
      <c r="D178" s="199">
        <v>177</v>
      </c>
      <c r="E178" s="204">
        <f>中心线!D180</f>
        <v>441333.15340000001</v>
      </c>
      <c r="F178" s="204">
        <f>中心线!E180</f>
        <v>3034807.9909999999</v>
      </c>
      <c r="G178" s="201">
        <v>0</v>
      </c>
      <c r="H178" s="202">
        <f t="shared" si="49"/>
        <v>0</v>
      </c>
      <c r="I178" s="202">
        <f t="shared" si="41"/>
        <v>0</v>
      </c>
      <c r="J178" s="202">
        <f t="shared" si="42"/>
        <v>0</v>
      </c>
      <c r="K178" s="202">
        <f t="shared" si="50"/>
        <v>7.0008704218240005</v>
      </c>
      <c r="L178" s="202">
        <f t="shared" si="54"/>
        <v>20009.044683573367</v>
      </c>
      <c r="M178" s="202">
        <f t="shared" si="55"/>
        <v>20009.044683573367</v>
      </c>
      <c r="N178" s="202">
        <f t="shared" si="56"/>
        <v>20009.044683573367</v>
      </c>
      <c r="O178" s="202" t="str">
        <f t="shared" si="45"/>
        <v>circle 441333.1534,3034807.991 1</v>
      </c>
      <c r="Q178" s="208">
        <f t="shared" si="51"/>
        <v>7.0008704218240005</v>
      </c>
      <c r="R178" s="202">
        <f t="shared" si="52"/>
        <v>60.77270746812988</v>
      </c>
      <c r="S178" s="202">
        <f t="shared" si="53"/>
        <v>7.0008704218240005</v>
      </c>
      <c r="T178" s="199" t="str">
        <f t="shared" si="46"/>
        <v>-text 441333.1534,3034807.991 7 0 7#隧洞进</v>
      </c>
      <c r="U178" s="199" t="str">
        <f t="shared" si="43"/>
        <v>dt 441333.1534,3034807.991 5 0 7#隧洞进(441333.1534,3034807.991)*</v>
      </c>
      <c r="V178" s="211"/>
      <c r="W178" s="209" t="str">
        <f t="shared" si="44"/>
        <v>dt 441323.1534,3034797.991 5 0 R=0*T=0*S=0*α=0*</v>
      </c>
    </row>
    <row r="179" spans="1:23" x14ac:dyDescent="0.25">
      <c r="A179" s="199">
        <f t="shared" si="47"/>
        <v>116</v>
      </c>
      <c r="B179" s="199" t="str">
        <f t="shared" si="48"/>
        <v>IP116</v>
      </c>
      <c r="C179" s="199"/>
      <c r="D179" s="199">
        <v>178</v>
      </c>
      <c r="E179" s="204">
        <f>中心线!D181</f>
        <v>441305.21990000003</v>
      </c>
      <c r="F179" s="204">
        <f>中心线!E181</f>
        <v>3034754.0183999999</v>
      </c>
      <c r="G179" s="201">
        <v>10</v>
      </c>
      <c r="H179" s="202">
        <f t="shared" si="49"/>
        <v>58.817</v>
      </c>
      <c r="I179" s="202">
        <f t="shared" si="41"/>
        <v>5.6366651295181427</v>
      </c>
      <c r="J179" s="202">
        <f t="shared" si="42"/>
        <v>10.265503061455048</v>
      </c>
      <c r="K179" s="202">
        <f t="shared" si="50"/>
        <v>60.77270746812988</v>
      </c>
      <c r="L179" s="202">
        <f t="shared" si="54"/>
        <v>20064.180725911981</v>
      </c>
      <c r="M179" s="202">
        <f t="shared" si="55"/>
        <v>20069.313477442709</v>
      </c>
      <c r="N179" s="202">
        <f t="shared" si="56"/>
        <v>20074.446228973437</v>
      </c>
      <c r="O179" s="202" t="str">
        <f t="shared" si="45"/>
        <v>circle 441305.2199,3034754.0184 1</v>
      </c>
      <c r="Q179" s="208">
        <f t="shared" si="51"/>
        <v>55.136042338611738</v>
      </c>
      <c r="R179" s="202">
        <f t="shared" si="52"/>
        <v>143.660837786055</v>
      </c>
      <c r="S179" s="202">
        <f t="shared" si="53"/>
        <v>55.136042338611738</v>
      </c>
      <c r="T179" s="199" t="str">
        <f t="shared" si="46"/>
        <v>-text 441305.2199,3034754.0184 7 0 IP116</v>
      </c>
      <c r="U179" s="199" t="str">
        <f t="shared" si="43"/>
        <v>dt 441305.2199,3034754.0184 5 0 IP116(441305.2199,3034754.0184)*</v>
      </c>
      <c r="V179" s="211"/>
      <c r="W179" s="209" t="str">
        <f t="shared" si="44"/>
        <v>dt 441295.2199,3034744.0184 5 0 R=10*T=5.636*S=10.265*α=58.817*</v>
      </c>
    </row>
    <row r="180" spans="1:23" x14ac:dyDescent="0.25">
      <c r="A180" s="199">
        <f t="shared" si="47"/>
        <v>116</v>
      </c>
      <c r="B180" s="199" t="str">
        <f t="shared" si="48"/>
        <v>7#隧洞出</v>
      </c>
      <c r="C180" s="206" t="s">
        <v>645</v>
      </c>
      <c r="D180" s="199">
        <v>179</v>
      </c>
      <c r="E180" s="204">
        <f>中心线!D182</f>
        <v>441156.25400000002</v>
      </c>
      <c r="F180" s="204">
        <f>中心线!E182</f>
        <v>3034744.0732999998</v>
      </c>
      <c r="G180" s="201">
        <v>0</v>
      </c>
      <c r="H180" s="202">
        <f t="shared" si="49"/>
        <v>0</v>
      </c>
      <c r="I180" s="202">
        <f t="shared" si="41"/>
        <v>0</v>
      </c>
      <c r="J180" s="202">
        <f t="shared" si="42"/>
        <v>0</v>
      </c>
      <c r="K180" s="202">
        <f t="shared" si="50"/>
        <v>149.29750291557315</v>
      </c>
      <c r="L180" s="202">
        <f t="shared" si="54"/>
        <v>20218.10706675949</v>
      </c>
      <c r="M180" s="202">
        <f t="shared" si="55"/>
        <v>20218.10706675949</v>
      </c>
      <c r="N180" s="202">
        <f t="shared" si="56"/>
        <v>20218.10706675949</v>
      </c>
      <c r="O180" s="202" t="str">
        <f t="shared" si="45"/>
        <v>circle 441156.254,3034744.0733 1</v>
      </c>
      <c r="Q180" s="208">
        <f t="shared" si="51"/>
        <v>149.29750291557315</v>
      </c>
      <c r="R180" s="202">
        <f t="shared" si="52"/>
        <v>7.000846504529064</v>
      </c>
      <c r="S180" s="202">
        <f t="shared" si="53"/>
        <v>143.660837786055</v>
      </c>
      <c r="T180" s="199" t="str">
        <f t="shared" si="46"/>
        <v>-text 441156.254,3034744.0733 7 0 7#隧洞出</v>
      </c>
      <c r="U180" s="199" t="str">
        <f t="shared" si="43"/>
        <v>dt 441156.254,3034744.0733 5 0 7#隧洞出(441156.254,3034744.0733)*</v>
      </c>
      <c r="V180" s="211"/>
      <c r="W180" s="209" t="str">
        <f t="shared" si="44"/>
        <v>dt 441146.254,3034734.0733 5 0 R=0*T=0*S=0*α=0*</v>
      </c>
    </row>
    <row r="181" spans="1:23" x14ac:dyDescent="0.25">
      <c r="A181" s="199">
        <f t="shared" si="47"/>
        <v>116</v>
      </c>
      <c r="B181" s="199" t="str">
        <f t="shared" si="48"/>
        <v>15#倒虹吸进</v>
      </c>
      <c r="C181" s="206" t="s">
        <v>646</v>
      </c>
      <c r="D181" s="199">
        <v>180</v>
      </c>
      <c r="E181" s="204">
        <f>中心线!D183</f>
        <v>441149.26870000002</v>
      </c>
      <c r="F181" s="204">
        <f>中心线!E183</f>
        <v>3034743.6069999998</v>
      </c>
      <c r="G181" s="201">
        <v>0</v>
      </c>
      <c r="H181" s="202">
        <f t="shared" si="49"/>
        <v>0</v>
      </c>
      <c r="I181" s="202">
        <f t="shared" si="41"/>
        <v>0</v>
      </c>
      <c r="J181" s="202">
        <f t="shared" si="42"/>
        <v>0</v>
      </c>
      <c r="K181" s="202">
        <f t="shared" si="50"/>
        <v>7.000846504529064</v>
      </c>
      <c r="L181" s="202">
        <f t="shared" si="54"/>
        <v>20225.107913264019</v>
      </c>
      <c r="M181" s="202">
        <f t="shared" si="55"/>
        <v>20225.107913264019</v>
      </c>
      <c r="N181" s="202">
        <f t="shared" si="56"/>
        <v>20225.107913264019</v>
      </c>
      <c r="O181" s="202" t="str">
        <f t="shared" si="45"/>
        <v>circle 441149.2687,3034743.607 1</v>
      </c>
      <c r="Q181" s="208">
        <f t="shared" si="51"/>
        <v>7.000846504529064</v>
      </c>
      <c r="R181" s="202">
        <f t="shared" si="52"/>
        <v>48.206067711528938</v>
      </c>
      <c r="S181" s="202">
        <f t="shared" si="53"/>
        <v>7.000846504529064</v>
      </c>
      <c r="T181" s="199" t="str">
        <f t="shared" si="46"/>
        <v>-text 441149.2687,3034743.607 7 0 15#倒虹吸进</v>
      </c>
      <c r="U181" s="199" t="str">
        <f t="shared" si="43"/>
        <v>dt 441149.2687,3034743.607 5 0 15#倒虹吸进(441149.2687,3034743.607)*</v>
      </c>
      <c r="V181" s="211"/>
      <c r="W181" s="209" t="str">
        <f t="shared" si="44"/>
        <v>dt 441139.2687,3034733.607 5 0 R=0*T=0*S=0*α=0*</v>
      </c>
    </row>
    <row r="182" spans="1:23" x14ac:dyDescent="0.25">
      <c r="A182" s="199">
        <f t="shared" si="47"/>
        <v>117</v>
      </c>
      <c r="B182" s="199" t="str">
        <f t="shared" si="48"/>
        <v>IP117</v>
      </c>
      <c r="C182" s="206"/>
      <c r="D182" s="199">
        <v>181</v>
      </c>
      <c r="E182" s="204">
        <f>中心线!D184</f>
        <v>441101.16970000003</v>
      </c>
      <c r="F182" s="204">
        <f>中心线!E184</f>
        <v>3034740.3958999999</v>
      </c>
      <c r="G182" s="215">
        <v>4.2</v>
      </c>
      <c r="H182" s="202">
        <f t="shared" si="49"/>
        <v>26.972000000000001</v>
      </c>
      <c r="I182" s="202">
        <f t="shared" si="41"/>
        <v>1.0072454471727252</v>
      </c>
      <c r="J182" s="202">
        <f t="shared" si="42"/>
        <v>1.9771508645612246</v>
      </c>
      <c r="K182" s="202">
        <f t="shared" si="50"/>
        <v>48.206067711528938</v>
      </c>
      <c r="L182" s="202">
        <f t="shared" si="54"/>
        <v>20272.306735528375</v>
      </c>
      <c r="M182" s="202">
        <f t="shared" si="55"/>
        <v>20273.295310960657</v>
      </c>
      <c r="N182" s="202">
        <f t="shared" si="56"/>
        <v>20274.283886392936</v>
      </c>
      <c r="O182" s="202" t="str">
        <f t="shared" si="45"/>
        <v>circle 441101.1697,3034740.3959 1</v>
      </c>
      <c r="Q182" s="208">
        <f t="shared" si="51"/>
        <v>47.19882226435621</v>
      </c>
      <c r="R182" s="202">
        <f t="shared" si="52"/>
        <v>126.18482023163827</v>
      </c>
      <c r="S182" s="202">
        <f t="shared" si="53"/>
        <v>47.19882226435621</v>
      </c>
      <c r="T182" s="199" t="str">
        <f t="shared" si="46"/>
        <v>-text 441101.1697,3034740.3959 7 0 IP117</v>
      </c>
      <c r="U182" s="199" t="str">
        <f t="shared" si="43"/>
        <v>dt 441101.1697,3034740.3959 5 0 IP117(441101.1697,3034740.3959)*</v>
      </c>
      <c r="V182" s="211"/>
      <c r="W182" s="209" t="str">
        <f t="shared" si="44"/>
        <v>dt 441091.1697,3034730.3959 5 0 R=4.2*T=1.007*S=1.977*α=26.972*</v>
      </c>
    </row>
    <row r="183" spans="1:23" x14ac:dyDescent="0.25">
      <c r="A183" s="199">
        <f t="shared" si="47"/>
        <v>118</v>
      </c>
      <c r="B183" s="199" t="str">
        <f t="shared" si="48"/>
        <v>IP118</v>
      </c>
      <c r="C183" s="206"/>
      <c r="D183" s="199">
        <v>182</v>
      </c>
      <c r="E183" s="204">
        <f>中心线!D185</f>
        <v>440984.22149999999</v>
      </c>
      <c r="F183" s="204">
        <f>中心线!E185</f>
        <v>3034790.4053000002</v>
      </c>
      <c r="G183" s="216">
        <v>4.2</v>
      </c>
      <c r="H183" s="202">
        <f t="shared" si="49"/>
        <v>43.531999999999996</v>
      </c>
      <c r="I183" s="202">
        <f t="shared" si="41"/>
        <v>1.6769897886909781</v>
      </c>
      <c r="J183" s="202">
        <f t="shared" si="42"/>
        <v>3.1910622659083199</v>
      </c>
      <c r="K183" s="202">
        <f t="shared" si="50"/>
        <v>127.19206567881099</v>
      </c>
      <c r="L183" s="202">
        <f t="shared" si="54"/>
        <v>20398.791716835884</v>
      </c>
      <c r="M183" s="202">
        <f t="shared" si="55"/>
        <v>20400.387247968836</v>
      </c>
      <c r="N183" s="202">
        <f t="shared" si="56"/>
        <v>20401.982779101792</v>
      </c>
      <c r="O183" s="202" t="str">
        <f t="shared" si="45"/>
        <v>circle 440984.2215,3034790.4053 1</v>
      </c>
      <c r="P183" s="217"/>
      <c r="Q183" s="208">
        <f t="shared" si="51"/>
        <v>125.51507589012002</v>
      </c>
      <c r="R183" s="202">
        <f t="shared" si="52"/>
        <v>54.123051413635977</v>
      </c>
      <c r="S183" s="202">
        <f t="shared" si="53"/>
        <v>124.5078304429473</v>
      </c>
      <c r="T183" s="199" t="str">
        <f t="shared" si="46"/>
        <v>-text 440984.2215,3034790.4053 7 0 IP118</v>
      </c>
      <c r="U183" s="199" t="str">
        <f t="shared" si="43"/>
        <v>dt 440984.2215,3034790.4053 5 0 IP118(440984.2215,3034790.4053)*</v>
      </c>
      <c r="V183" s="211"/>
      <c r="W183" s="209" t="str">
        <f t="shared" si="44"/>
        <v>dt 440974.2215,3034780.4053 5 0 R=4.2*T=1.676*S=3.191*α=43.532*</v>
      </c>
    </row>
    <row r="184" spans="1:23" x14ac:dyDescent="0.25">
      <c r="A184" s="199">
        <f t="shared" si="47"/>
        <v>118</v>
      </c>
      <c r="B184" s="199" t="str">
        <f t="shared" si="48"/>
        <v>15#倒虹吸出</v>
      </c>
      <c r="C184" s="199" t="s">
        <v>647</v>
      </c>
      <c r="D184" s="199">
        <v>183</v>
      </c>
      <c r="E184" s="204">
        <f>中心线!D186</f>
        <v>440931.9142</v>
      </c>
      <c r="F184" s="204">
        <f>中心线!E186</f>
        <v>3034770.9736000001</v>
      </c>
      <c r="G184" s="206">
        <v>0</v>
      </c>
      <c r="H184" s="202">
        <f t="shared" si="49"/>
        <v>0</v>
      </c>
      <c r="I184" s="202">
        <f t="shared" si="41"/>
        <v>0</v>
      </c>
      <c r="J184" s="202">
        <f t="shared" si="42"/>
        <v>0</v>
      </c>
      <c r="K184" s="202">
        <f t="shared" si="50"/>
        <v>55.800041202326952</v>
      </c>
      <c r="L184" s="202">
        <f t="shared" si="54"/>
        <v>20456.105830515426</v>
      </c>
      <c r="M184" s="202">
        <f t="shared" si="55"/>
        <v>20456.105830515426</v>
      </c>
      <c r="N184" s="202">
        <f t="shared" si="56"/>
        <v>20456.105830515426</v>
      </c>
      <c r="O184" s="202" t="str">
        <f t="shared" si="45"/>
        <v>circle 440931.9142,3034770.9736 1</v>
      </c>
      <c r="P184" s="217"/>
      <c r="Q184" s="208">
        <f t="shared" si="51"/>
        <v>55.800041202326952</v>
      </c>
      <c r="R184" s="202">
        <f t="shared" si="52"/>
        <v>6.6596727007636645</v>
      </c>
      <c r="S184" s="202">
        <f t="shared" si="53"/>
        <v>54.123051413635977</v>
      </c>
      <c r="T184" s="199" t="str">
        <f t="shared" si="46"/>
        <v>-text 440931.9142,3034770.9736 7 0 15#倒虹吸出</v>
      </c>
      <c r="U184" s="199" t="str">
        <f t="shared" si="43"/>
        <v>dt 440931.9142,3034770.9736 5 0 15#倒虹吸出(440931.9142,3034770.9736)*</v>
      </c>
      <c r="V184" s="211"/>
      <c r="W184" s="209" t="str">
        <f t="shared" si="44"/>
        <v>dt 440921.9142,3034760.9736 5 0 R=0*T=0*S=0*α=0*</v>
      </c>
    </row>
    <row r="185" spans="1:23" x14ac:dyDescent="0.25">
      <c r="A185" s="199">
        <f t="shared" si="47"/>
        <v>119</v>
      </c>
      <c r="B185" s="199" t="str">
        <f t="shared" si="48"/>
        <v>IP119</v>
      </c>
      <c r="C185" s="199"/>
      <c r="D185" s="199">
        <v>184</v>
      </c>
      <c r="E185" s="204">
        <f>中心线!D187</f>
        <v>440925.67139999999</v>
      </c>
      <c r="F185" s="204">
        <f>中心线!E187</f>
        <v>3034768.6543999999</v>
      </c>
      <c r="G185" s="206">
        <v>10</v>
      </c>
      <c r="H185" s="202">
        <f t="shared" si="49"/>
        <v>32.463999999999999</v>
      </c>
      <c r="I185" s="202">
        <f t="shared" si="41"/>
        <v>2.9113260156638092</v>
      </c>
      <c r="J185" s="202">
        <f t="shared" si="42"/>
        <v>5.6660368836743906</v>
      </c>
      <c r="K185" s="202">
        <f t="shared" si="50"/>
        <v>6.6596727007636645</v>
      </c>
      <c r="L185" s="202">
        <f t="shared" si="54"/>
        <v>20459.854177200526</v>
      </c>
      <c r="M185" s="202">
        <f t="shared" si="55"/>
        <v>20462.687195642364</v>
      </c>
      <c r="N185" s="202">
        <f t="shared" si="56"/>
        <v>20465.520214084201</v>
      </c>
      <c r="O185" s="202" t="str">
        <f t="shared" si="45"/>
        <v>circle 440925.6714,3034768.6544 1</v>
      </c>
      <c r="P185" s="217"/>
      <c r="Q185" s="208">
        <f t="shared" si="51"/>
        <v>3.7483466850998552</v>
      </c>
      <c r="R185" s="202">
        <f t="shared" si="52"/>
        <v>14.744533389140562</v>
      </c>
      <c r="S185" s="202">
        <f t="shared" si="53"/>
        <v>3.7483466850998552</v>
      </c>
      <c r="T185" s="199" t="str">
        <f t="shared" si="46"/>
        <v>-text 440925.6714,3034768.6544 7 0 IP119</v>
      </c>
      <c r="U185" s="199" t="str">
        <f t="shared" si="43"/>
        <v>dt 440925.6714,3034768.6544 5 0 IP119(440925.6714,3034768.6544)*</v>
      </c>
      <c r="V185" s="211"/>
      <c r="W185" s="209" t="str">
        <f t="shared" si="44"/>
        <v>dt 440915.6714,3034758.6544 5 0 R=10*T=2.911*S=5.666*α=32.464*</v>
      </c>
    </row>
    <row r="186" spans="1:23" x14ac:dyDescent="0.25">
      <c r="A186" s="199">
        <f t="shared" si="47"/>
        <v>119</v>
      </c>
      <c r="B186" s="199" t="str">
        <f t="shared" si="48"/>
        <v>梅雨三支渠节制闸(九流量段末)</v>
      </c>
      <c r="C186" s="199" t="s">
        <v>648</v>
      </c>
      <c r="D186" s="199">
        <v>185</v>
      </c>
      <c r="E186" s="204">
        <f>中心线!D188</f>
        <v>440915.00760000001</v>
      </c>
      <c r="F186" s="204">
        <f>中心线!E188</f>
        <v>3034754.5827000001</v>
      </c>
      <c r="G186" s="206"/>
      <c r="H186" s="202">
        <f t="shared" si="49"/>
        <v>1E-3</v>
      </c>
      <c r="I186" s="202">
        <f t="shared" si="41"/>
        <v>0</v>
      </c>
      <c r="J186" s="202">
        <f t="shared" si="42"/>
        <v>0</v>
      </c>
      <c r="K186" s="202">
        <f t="shared" si="50"/>
        <v>17.655859404804371</v>
      </c>
      <c r="L186" s="202">
        <f t="shared" si="54"/>
        <v>20480.264747473342</v>
      </c>
      <c r="M186" s="202">
        <f t="shared" si="55"/>
        <v>20480.264747473342</v>
      </c>
      <c r="N186" s="202">
        <f t="shared" si="56"/>
        <v>20480.264747473342</v>
      </c>
      <c r="O186" s="202" t="str">
        <f t="shared" si="45"/>
        <v>circle 440915.0076,3034754.5827 1</v>
      </c>
      <c r="P186" s="217"/>
      <c r="Q186" s="208">
        <f t="shared" si="51"/>
        <v>17.655859404804371</v>
      </c>
      <c r="R186" s="202">
        <f t="shared" si="52"/>
        <v>12.831758608978181</v>
      </c>
      <c r="S186" s="202">
        <f t="shared" si="53"/>
        <v>14.744533389140562</v>
      </c>
      <c r="T186" s="199" t="str">
        <f t="shared" si="46"/>
        <v>-text 440915.0076,3034754.5827 7 0 梅雨三支渠节制闸(九流量段末)</v>
      </c>
      <c r="U186" s="199" t="str">
        <f t="shared" si="43"/>
        <v>dt 440915.0076,3034754.5827 5 0 梅雨三支渠节制闸(九流量段末)(440915.0076,3034754.5827)*</v>
      </c>
      <c r="V186" s="211"/>
      <c r="W186" s="209" t="str">
        <f t="shared" si="44"/>
        <v>dt 440905.0076,3034744.5827 5 0 R=*T=0*S=0*α=0.001*</v>
      </c>
    </row>
    <row r="187" spans="1:23" x14ac:dyDescent="0.25">
      <c r="A187" s="199">
        <f t="shared" si="47"/>
        <v>119</v>
      </c>
      <c r="B187" s="199" t="str">
        <f t="shared" si="48"/>
        <v>8#隧洞进</v>
      </c>
      <c r="C187" s="199" t="s">
        <v>649</v>
      </c>
      <c r="D187" s="199">
        <v>186</v>
      </c>
      <c r="E187" s="204">
        <f>中心线!D189</f>
        <v>440907.25760000001</v>
      </c>
      <c r="F187" s="204">
        <f>中心线!E189</f>
        <v>3034744.3557000002</v>
      </c>
      <c r="G187" s="206"/>
      <c r="H187" s="202">
        <f t="shared" si="49"/>
        <v>1E-3</v>
      </c>
      <c r="I187" s="202">
        <f t="shared" si="41"/>
        <v>0</v>
      </c>
      <c r="J187" s="202">
        <f t="shared" si="42"/>
        <v>0</v>
      </c>
      <c r="K187" s="202">
        <f t="shared" si="50"/>
        <v>12.831758608978181</v>
      </c>
      <c r="L187" s="202">
        <f t="shared" si="54"/>
        <v>20493.096506082322</v>
      </c>
      <c r="M187" s="202">
        <f t="shared" si="55"/>
        <v>20493.096506082322</v>
      </c>
      <c r="N187" s="202">
        <f t="shared" si="56"/>
        <v>20493.096506082322</v>
      </c>
      <c r="O187" s="202" t="str">
        <f t="shared" si="45"/>
        <v>circle 440907.2576,3034744.3557 1</v>
      </c>
      <c r="P187" s="217"/>
      <c r="Q187" s="208">
        <f t="shared" si="51"/>
        <v>12.831758608978181</v>
      </c>
      <c r="R187" s="202">
        <f t="shared" si="52"/>
        <v>283.18699343387482</v>
      </c>
      <c r="S187" s="202">
        <f t="shared" si="53"/>
        <v>12.831758608978181</v>
      </c>
      <c r="T187" s="199" t="str">
        <f t="shared" si="46"/>
        <v>-text 440907.2576,3034744.3557 7 0 8#隧洞进</v>
      </c>
      <c r="U187" s="199" t="str">
        <f t="shared" si="43"/>
        <v>dt 440907.2576,3034744.3557 5 0 8#隧洞进(440907.2576,3034744.3557)*</v>
      </c>
      <c r="V187" s="211"/>
      <c r="W187" s="209" t="str">
        <f t="shared" si="44"/>
        <v>dt 440897.2576,3034734.3557 5 0 R=*T=0*S=0*α=0.001*</v>
      </c>
    </row>
    <row r="188" spans="1:23" x14ac:dyDescent="0.25">
      <c r="A188" s="199">
        <f t="shared" si="47"/>
        <v>119</v>
      </c>
      <c r="B188" s="199" t="str">
        <f t="shared" si="48"/>
        <v>8#隧洞出</v>
      </c>
      <c r="C188" s="199" t="s">
        <v>650</v>
      </c>
      <c r="D188" s="199">
        <v>187</v>
      </c>
      <c r="E188" s="204">
        <f>中心线!D190</f>
        <v>440736.21899999998</v>
      </c>
      <c r="F188" s="204">
        <f>中心线!E190</f>
        <v>3034518.6553000002</v>
      </c>
      <c r="G188" s="206"/>
      <c r="H188" s="202">
        <f t="shared" si="49"/>
        <v>0</v>
      </c>
      <c r="I188" s="202">
        <f t="shared" si="41"/>
        <v>0</v>
      </c>
      <c r="J188" s="202">
        <f t="shared" si="42"/>
        <v>0</v>
      </c>
      <c r="K188" s="202">
        <f t="shared" si="50"/>
        <v>283.18699343387482</v>
      </c>
      <c r="L188" s="202">
        <f t="shared" si="54"/>
        <v>20776.283499516197</v>
      </c>
      <c r="M188" s="202">
        <f t="shared" si="55"/>
        <v>20776.283499516197</v>
      </c>
      <c r="N188" s="202">
        <f t="shared" si="56"/>
        <v>20776.283499516197</v>
      </c>
      <c r="O188" s="202" t="str">
        <f t="shared" si="45"/>
        <v>circle 440736.219,3034518.6553 1</v>
      </c>
      <c r="P188" s="217"/>
      <c r="Q188" s="208">
        <f t="shared" si="51"/>
        <v>283.18699343387482</v>
      </c>
      <c r="R188" s="202">
        <f t="shared" si="52"/>
        <v>17.375055915311652</v>
      </c>
      <c r="S188" s="202">
        <f t="shared" si="53"/>
        <v>283.18699343387482</v>
      </c>
      <c r="T188" s="199" t="str">
        <f t="shared" si="46"/>
        <v>-text 440736.219,3034518.6553 7 0 8#隧洞出</v>
      </c>
      <c r="U188" s="199" t="str">
        <f t="shared" si="43"/>
        <v>dt 440736.219,3034518.6553 5 0 8#隧洞出(440736.219,3034518.6553)*</v>
      </c>
      <c r="V188" s="211"/>
      <c r="W188" s="209" t="str">
        <f t="shared" si="44"/>
        <v>dt 440726.219,3034508.6553 5 0 R=*T=0*S=0*α=0*</v>
      </c>
    </row>
    <row r="189" spans="1:23" x14ac:dyDescent="0.25">
      <c r="A189" s="199">
        <f t="shared" si="47"/>
        <v>119</v>
      </c>
      <c r="B189" s="199" t="str">
        <f t="shared" si="48"/>
        <v>16#倒虹吸进</v>
      </c>
      <c r="C189" s="199" t="s">
        <v>651</v>
      </c>
      <c r="D189" s="199">
        <v>188</v>
      </c>
      <c r="E189" s="204">
        <f>中心线!D191</f>
        <v>440725.72480000003</v>
      </c>
      <c r="F189" s="204">
        <f>中心线!E191</f>
        <v>3034504.8073999998</v>
      </c>
      <c r="G189" s="206"/>
      <c r="H189" s="202">
        <f t="shared" si="49"/>
        <v>0</v>
      </c>
      <c r="I189" s="202">
        <f t="shared" si="41"/>
        <v>0</v>
      </c>
      <c r="J189" s="202">
        <f t="shared" si="42"/>
        <v>0</v>
      </c>
      <c r="K189" s="202">
        <f t="shared" si="50"/>
        <v>17.375055915311652</v>
      </c>
      <c r="L189" s="202">
        <f t="shared" si="54"/>
        <v>20793.65855543151</v>
      </c>
      <c r="M189" s="202">
        <f t="shared" si="55"/>
        <v>20793.65855543151</v>
      </c>
      <c r="N189" s="202">
        <f t="shared" si="56"/>
        <v>20793.65855543151</v>
      </c>
      <c r="O189" s="202" t="str">
        <f t="shared" si="45"/>
        <v>circle 440725.7248,3034504.8074 1</v>
      </c>
      <c r="P189" s="217"/>
      <c r="Q189" s="208">
        <f t="shared" si="51"/>
        <v>17.375055915311652</v>
      </c>
      <c r="R189" s="202">
        <f t="shared" si="52"/>
        <v>675.12659588839858</v>
      </c>
      <c r="S189" s="202">
        <f t="shared" si="53"/>
        <v>17.375055915311652</v>
      </c>
      <c r="T189" s="199" t="str">
        <f t="shared" si="46"/>
        <v>-text 440725.7248,3034504.8074 7 0 16#倒虹吸进</v>
      </c>
      <c r="U189" s="199" t="str">
        <f t="shared" si="43"/>
        <v>dt 440725.7248,3034504.8074 5 0 16#倒虹吸进(440725.7248,3034504.8074)*</v>
      </c>
      <c r="V189" s="211"/>
      <c r="W189" s="209" t="str">
        <f t="shared" si="44"/>
        <v>dt 440715.7248,3034494.8074 5 0 R=*T=0*S=0*α=0*</v>
      </c>
    </row>
    <row r="190" spans="1:23" x14ac:dyDescent="0.25">
      <c r="A190" s="199">
        <f t="shared" si="47"/>
        <v>119</v>
      </c>
      <c r="B190" s="199" t="str">
        <f t="shared" si="48"/>
        <v>16#倒虹吸出</v>
      </c>
      <c r="C190" s="199" t="s">
        <v>652</v>
      </c>
      <c r="D190" s="199">
        <v>189</v>
      </c>
      <c r="E190" s="204">
        <f>中心线!D192</f>
        <v>440317.96350000001</v>
      </c>
      <c r="F190" s="204">
        <f>中心线!E192</f>
        <v>3033966.7305999999</v>
      </c>
      <c r="G190" s="206"/>
      <c r="H190" s="202">
        <f t="shared" si="49"/>
        <v>0</v>
      </c>
      <c r="I190" s="202">
        <f t="shared" si="41"/>
        <v>0</v>
      </c>
      <c r="J190" s="202">
        <f t="shared" si="42"/>
        <v>0</v>
      </c>
      <c r="K190" s="202">
        <f t="shared" si="50"/>
        <v>675.12659588839858</v>
      </c>
      <c r="L190" s="202">
        <f t="shared" si="54"/>
        <v>21468.785151319909</v>
      </c>
      <c r="M190" s="202">
        <f t="shared" si="55"/>
        <v>21468.785151319909</v>
      </c>
      <c r="N190" s="202">
        <f t="shared" si="56"/>
        <v>21468.785151319909</v>
      </c>
      <c r="O190" s="202" t="str">
        <f t="shared" si="45"/>
        <v>circle 440317.9635,3033966.7306 1</v>
      </c>
      <c r="P190" s="217"/>
      <c r="Q190" s="208">
        <f t="shared" si="51"/>
        <v>675.12659588839858</v>
      </c>
      <c r="R190" s="202">
        <f t="shared" si="52"/>
        <v>17.000050604894046</v>
      </c>
      <c r="S190" s="202">
        <f t="shared" si="53"/>
        <v>675.12659588839858</v>
      </c>
      <c r="T190" s="199" t="str">
        <f t="shared" si="46"/>
        <v>-text 440317.9635,3033966.7306 7 0 16#倒虹吸出</v>
      </c>
      <c r="U190" s="199" t="str">
        <f t="shared" si="43"/>
        <v>dt 440317.9635,3033966.7306 5 0 16#倒虹吸出(440317.9635,3033966.7306)*</v>
      </c>
      <c r="V190" s="211"/>
      <c r="W190" s="209" t="str">
        <f t="shared" si="44"/>
        <v>dt 440307.9635,3033956.7306 5 0 R=*T=0*S=0*α=0*</v>
      </c>
    </row>
    <row r="191" spans="1:23" ht="14.4" x14ac:dyDescent="0.25">
      <c r="A191" s="199">
        <f t="shared" si="47"/>
        <v>119</v>
      </c>
      <c r="B191" s="199" t="str">
        <f t="shared" si="48"/>
        <v>9-1#隧洞进</v>
      </c>
      <c r="C191" s="199" t="s">
        <v>653</v>
      </c>
      <c r="D191" s="199">
        <v>190</v>
      </c>
      <c r="E191" s="204">
        <f>中心线!D193</f>
        <v>440307.69589999999</v>
      </c>
      <c r="F191" s="204">
        <f>中心线!E193</f>
        <v>3033953.1814999999</v>
      </c>
      <c r="G191" s="206"/>
      <c r="H191" s="202">
        <f t="shared" si="49"/>
        <v>0</v>
      </c>
      <c r="I191" s="202">
        <f t="shared" si="41"/>
        <v>0</v>
      </c>
      <c r="J191" s="202">
        <f t="shared" si="42"/>
        <v>0</v>
      </c>
      <c r="K191" s="202">
        <f t="shared" si="50"/>
        <v>17.000050604894046</v>
      </c>
      <c r="L191" s="202">
        <f t="shared" si="54"/>
        <v>21485.785201924802</v>
      </c>
      <c r="M191" s="202">
        <f t="shared" si="55"/>
        <v>21485.785201924802</v>
      </c>
      <c r="N191" s="202">
        <f t="shared" si="56"/>
        <v>21485.785201924802</v>
      </c>
      <c r="O191" s="202" t="str">
        <f t="shared" si="45"/>
        <v>circle 440307.6959,3033953.1815 1</v>
      </c>
      <c r="P191" s="217"/>
      <c r="Q191" s="208">
        <f t="shared" si="51"/>
        <v>17.000050604894046</v>
      </c>
      <c r="R191" s="202">
        <f t="shared" si="52"/>
        <v>139.88021473512796</v>
      </c>
      <c r="S191" s="202">
        <f t="shared" si="53"/>
        <v>17.000050604894046</v>
      </c>
      <c r="T191" s="199" t="str">
        <f t="shared" si="46"/>
        <v>-text 440307.6959,3033953.1815 7 0 9-1#隧洞进</v>
      </c>
      <c r="U191" s="199" t="str">
        <f t="shared" si="43"/>
        <v>dt 440307.6959,3033953.1815 5 0 9-1#隧洞进(440307.6959,3033953.1815)*</v>
      </c>
      <c r="V191" s="211"/>
      <c r="W191" s="209" t="str">
        <f t="shared" si="44"/>
        <v>dt 440297.6959,3033943.1815 5 0 R=*T=0*S=0*α=0*</v>
      </c>
    </row>
    <row r="192" spans="1:23" ht="14.4" x14ac:dyDescent="0.25">
      <c r="A192" s="199">
        <f t="shared" si="47"/>
        <v>119</v>
      </c>
      <c r="B192" s="199" t="str">
        <f t="shared" si="48"/>
        <v>9-1#隧洞出</v>
      </c>
      <c r="C192" s="199" t="s">
        <v>654</v>
      </c>
      <c r="D192" s="199">
        <v>191</v>
      </c>
      <c r="E192" s="204">
        <f>中心线!D194</f>
        <v>440223.21149999998</v>
      </c>
      <c r="F192" s="204">
        <f>中心线!E194</f>
        <v>3033841.6967000002</v>
      </c>
      <c r="G192" s="206"/>
      <c r="H192" s="202">
        <f t="shared" si="49"/>
        <v>0</v>
      </c>
      <c r="I192" s="202">
        <f t="shared" si="41"/>
        <v>0</v>
      </c>
      <c r="J192" s="202">
        <f t="shared" si="42"/>
        <v>0</v>
      </c>
      <c r="K192" s="202">
        <f t="shared" si="50"/>
        <v>139.88021473512796</v>
      </c>
      <c r="L192" s="202">
        <f t="shared" si="54"/>
        <v>21625.665416659929</v>
      </c>
      <c r="M192" s="202">
        <f t="shared" si="55"/>
        <v>21625.665416659929</v>
      </c>
      <c r="N192" s="202">
        <f t="shared" si="56"/>
        <v>21625.665416659929</v>
      </c>
      <c r="O192" s="202" t="str">
        <f t="shared" si="45"/>
        <v>circle 440223.2115,3033841.6967 1</v>
      </c>
      <c r="P192" s="217"/>
      <c r="Q192" s="208">
        <f t="shared" si="51"/>
        <v>139.88021473512796</v>
      </c>
      <c r="R192" s="202">
        <f t="shared" si="52"/>
        <v>89.999697224470495</v>
      </c>
      <c r="S192" s="202">
        <f t="shared" si="53"/>
        <v>139.88021473512796</v>
      </c>
      <c r="T192" s="199" t="str">
        <f t="shared" si="46"/>
        <v>-text 440223.2115,3033841.6967 7 0 9-1#隧洞出</v>
      </c>
      <c r="U192" s="199" t="str">
        <f t="shared" si="43"/>
        <v>dt 440223.2115,3033841.6967 5 0 9-1#隧洞出(440223.2115,3033841.6967)*</v>
      </c>
      <c r="V192" s="211"/>
      <c r="W192" s="209" t="str">
        <f t="shared" si="44"/>
        <v>dt 440213.2115,3033831.6967 5 0 R=*T=0*S=0*α=0*</v>
      </c>
    </row>
    <row r="193" spans="1:23" ht="14.4" x14ac:dyDescent="0.25">
      <c r="A193" s="199">
        <f t="shared" si="47"/>
        <v>119</v>
      </c>
      <c r="B193" s="199" t="str">
        <f t="shared" si="48"/>
        <v>9-2#隧洞进</v>
      </c>
      <c r="C193" s="199" t="s">
        <v>655</v>
      </c>
      <c r="D193" s="199">
        <v>192</v>
      </c>
      <c r="E193" s="204">
        <f>中心线!D195</f>
        <v>440168.85359999997</v>
      </c>
      <c r="F193" s="204">
        <f>中心线!E195</f>
        <v>3033769.9668999999</v>
      </c>
      <c r="G193" s="206"/>
      <c r="H193" s="202">
        <f t="shared" si="49"/>
        <v>0</v>
      </c>
      <c r="I193" s="202">
        <f t="shared" si="41"/>
        <v>0</v>
      </c>
      <c r="J193" s="202">
        <f t="shared" si="42"/>
        <v>0</v>
      </c>
      <c r="K193" s="202">
        <f t="shared" si="50"/>
        <v>89.999697224470495</v>
      </c>
      <c r="L193" s="202">
        <f t="shared" si="54"/>
        <v>21715.665113884399</v>
      </c>
      <c r="M193" s="202">
        <f t="shared" si="55"/>
        <v>21715.665113884399</v>
      </c>
      <c r="N193" s="202">
        <f t="shared" si="56"/>
        <v>21715.665113884399</v>
      </c>
      <c r="O193" s="202" t="str">
        <f t="shared" si="45"/>
        <v>circle 440168.8536,3033769.9669 1</v>
      </c>
      <c r="P193" s="217"/>
      <c r="Q193" s="208">
        <f t="shared" si="51"/>
        <v>89.999697224470495</v>
      </c>
      <c r="R193" s="202">
        <f t="shared" si="52"/>
        <v>16.91274969531937</v>
      </c>
      <c r="S193" s="202">
        <f t="shared" si="53"/>
        <v>89.999697224470495</v>
      </c>
      <c r="T193" s="199" t="str">
        <f t="shared" si="46"/>
        <v>-text 440168.8536,3033769.9669 7 0 9-2#隧洞进</v>
      </c>
      <c r="U193" s="199" t="str">
        <f t="shared" si="43"/>
        <v>dt 440168.8536,3033769.9669 5 0 9-2#隧洞进(440168.8536,3033769.9669)*</v>
      </c>
      <c r="V193" s="211"/>
      <c r="W193" s="209" t="str">
        <f t="shared" si="44"/>
        <v>dt 440158.8536,3033759.9669 5 0 R=*T=0*S=0*α=0*</v>
      </c>
    </row>
    <row r="194" spans="1:23" x14ac:dyDescent="0.25">
      <c r="A194" s="199">
        <f t="shared" si="47"/>
        <v>120</v>
      </c>
      <c r="B194" s="199" t="str">
        <f t="shared" si="48"/>
        <v>IP120</v>
      </c>
      <c r="C194" s="199"/>
      <c r="D194" s="199">
        <v>193</v>
      </c>
      <c r="E194" s="204">
        <f>中心线!D196</f>
        <v>440158.63870000001</v>
      </c>
      <c r="F194" s="204">
        <f>中心线!E196</f>
        <v>3033756.4874</v>
      </c>
      <c r="G194" s="206">
        <v>10</v>
      </c>
      <c r="H194" s="202">
        <f t="shared" si="49"/>
        <v>3.4140000000000001</v>
      </c>
      <c r="I194" s="202">
        <f t="shared" ref="I194:I195" si="57">G194*TAN(PI()/180*H194/2)</f>
        <v>0.2980158824095534</v>
      </c>
      <c r="J194" s="202">
        <f t="shared" ref="J194:J195" si="58">H194*PI()*G194/180</f>
        <v>0.59585540663086412</v>
      </c>
      <c r="K194" s="202">
        <f t="shared" si="50"/>
        <v>16.91274969531937</v>
      </c>
      <c r="L194" s="202">
        <f t="shared" si="54"/>
        <v>21732.279847697308</v>
      </c>
      <c r="M194" s="202">
        <f t="shared" si="55"/>
        <v>21732.577775400623</v>
      </c>
      <c r="N194" s="202">
        <f t="shared" si="56"/>
        <v>21732.875703103939</v>
      </c>
      <c r="O194" s="202" t="str">
        <f t="shared" si="45"/>
        <v>circle 440158.6387,3033756.4874 1</v>
      </c>
      <c r="P194" s="217"/>
      <c r="Q194" s="208">
        <f t="shared" si="51"/>
        <v>16.614733812909815</v>
      </c>
      <c r="R194" s="202">
        <f t="shared" si="52"/>
        <v>281.4737906771781</v>
      </c>
      <c r="S194" s="202">
        <f t="shared" si="53"/>
        <v>16.614733812909815</v>
      </c>
      <c r="T194" s="199" t="str">
        <f t="shared" si="46"/>
        <v>-text 440158.6387,3033756.4874 7 0 IP120</v>
      </c>
      <c r="U194" s="199" t="str">
        <f t="shared" ref="U194:U195" si="59">"dt"&amp;" "&amp;E194&amp;","&amp;F194&amp;" "&amp;"5"&amp;" "&amp;"0"&amp;" "&amp;B194&amp;"("&amp;E194&amp;","&amp;F194&amp;")*"</f>
        <v>dt 440158.6387,3033756.4874 5 0 IP120(440158.6387,3033756.4874)*</v>
      </c>
      <c r="V194" s="211"/>
      <c r="W194" s="209" t="str">
        <f t="shared" ref="W194:W195" si="60">"dt"&amp;" "&amp;E194-10&amp;","&amp;F194-10&amp;" "&amp;"5 "&amp;"0 "&amp;"R="&amp;G194&amp;"*"&amp;"T="&amp;INT(I194*1000)/1000&amp;"*"&amp;"S="&amp;INT(J194*1000)/1000&amp;"*"&amp;"α="&amp;INT(H194*1000)/1000&amp;"*"</f>
        <v>dt 440148.6387,3033746.4874 5 0 R=10*T=0.298*S=0.595*α=3.414*</v>
      </c>
    </row>
    <row r="195" spans="1:23" ht="14.4" x14ac:dyDescent="0.25">
      <c r="A195" s="199">
        <f t="shared" si="47"/>
        <v>120</v>
      </c>
      <c r="B195" s="199" t="str">
        <f t="shared" si="48"/>
        <v>9-2#隧洞出</v>
      </c>
      <c r="C195" s="199" t="s">
        <v>656</v>
      </c>
      <c r="D195" s="199">
        <v>194</v>
      </c>
      <c r="E195" s="204">
        <f>中心线!D197</f>
        <v>439975.3824</v>
      </c>
      <c r="F195" s="204">
        <f>中心线!E197</f>
        <v>3033542.4489000002</v>
      </c>
      <c r="G195" s="206"/>
      <c r="H195" s="202">
        <f t="shared" si="49"/>
        <v>0</v>
      </c>
      <c r="I195" s="202">
        <f t="shared" si="57"/>
        <v>0</v>
      </c>
      <c r="J195" s="202">
        <f t="shared" si="58"/>
        <v>0</v>
      </c>
      <c r="K195" s="202">
        <f t="shared" si="50"/>
        <v>281.77180655958767</v>
      </c>
      <c r="L195" s="202">
        <f t="shared" si="54"/>
        <v>22014.349493781116</v>
      </c>
      <c r="M195" s="202">
        <f t="shared" si="55"/>
        <v>22014.349493781116</v>
      </c>
      <c r="N195" s="202">
        <f t="shared" si="56"/>
        <v>22014.349493781116</v>
      </c>
      <c r="O195" s="202" t="str">
        <f t="shared" ref="O195" si="61">"circle "&amp;E195&amp;","&amp;F195&amp;" 1"</f>
        <v>circle 439975.3824,3033542.4489 1</v>
      </c>
      <c r="P195" s="217"/>
      <c r="Q195" s="208">
        <f t="shared" si="51"/>
        <v>281.77180655958767</v>
      </c>
      <c r="R195" s="202">
        <f t="shared" si="52"/>
        <v>0</v>
      </c>
      <c r="S195" s="202">
        <f t="shared" si="53"/>
        <v>281.4737906771781</v>
      </c>
      <c r="T195" s="199" t="str">
        <f t="shared" ref="T195" si="62">"-text"&amp;" "&amp;E195&amp;","&amp;F195&amp;" "&amp;"7"&amp;" "&amp;"0"&amp;" "&amp;B195</f>
        <v>-text 439975.3824,3033542.4489 7 0 9-2#隧洞出</v>
      </c>
      <c r="U195" s="199" t="str">
        <f t="shared" si="59"/>
        <v>dt 439975.3824,3033542.4489 5 0 9-2#隧洞出(439975.3824,3033542.4489)*</v>
      </c>
      <c r="V195" s="211"/>
      <c r="W195" s="209" t="str">
        <f t="shared" si="60"/>
        <v>dt 439965.3824,3033532.4489 5 0 R=*T=0*S=0*α=0*</v>
      </c>
    </row>
    <row r="196" spans="1:23" x14ac:dyDescent="0.25">
      <c r="E196" s="204">
        <f>E195</f>
        <v>439975.3824</v>
      </c>
      <c r="F196" s="204">
        <f>F195</f>
        <v>3033542.4489000002</v>
      </c>
    </row>
  </sheetData>
  <phoneticPr fontId="31" type="noConversion"/>
  <pageMargins left="0.75" right="0.75" top="1" bottom="1" header="0.5" footer="0.5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A1:BCX207"/>
  <sheetViews>
    <sheetView zoomScale="85" zoomScaleNormal="85" workbookViewId="0">
      <pane xSplit="2" ySplit="4" topLeftCell="AV25" activePane="bottomRight" state="frozen"/>
      <selection pane="topRight"/>
      <selection pane="bottomLeft"/>
      <selection pane="bottomRight" activeCell="AX1" sqref="AX1"/>
    </sheetView>
  </sheetViews>
  <sheetFormatPr defaultColWidth="8.88671875" defaultRowHeight="14.4" x14ac:dyDescent="0.25"/>
  <cols>
    <col min="1" max="1" width="4.6640625" style="59" customWidth="1"/>
    <col min="2" max="2" width="25.77734375" style="60" customWidth="1"/>
    <col min="3" max="3" width="12.88671875" customWidth="1"/>
    <col min="4" max="4" width="13.33203125" customWidth="1"/>
    <col min="5" max="5" width="5.77734375" customWidth="1"/>
    <col min="6" max="6" width="5.44140625" customWidth="1"/>
    <col min="7" max="7" width="15.33203125" customWidth="1"/>
    <col min="8" max="8" width="17.33203125" customWidth="1"/>
    <col min="9" max="9" width="15.33203125" customWidth="1"/>
    <col min="10" max="10" width="7" customWidth="1"/>
    <col min="11" max="11" width="8.6640625" customWidth="1"/>
    <col min="12" max="12" width="7" customWidth="1"/>
    <col min="13" max="13" width="5.6640625" customWidth="1"/>
    <col min="14" max="14" width="6.6640625" customWidth="1"/>
    <col min="15" max="15" width="8.6640625" customWidth="1"/>
    <col min="16" max="16" width="7.44140625" style="61" customWidth="1"/>
    <col min="17" max="17" width="7.44140625" customWidth="1"/>
    <col min="18" max="18" width="9.44140625" customWidth="1"/>
    <col min="19" max="19" width="7" customWidth="1"/>
    <col min="20" max="20" width="5.44140625" customWidth="1"/>
    <col min="21" max="21" width="6.77734375" customWidth="1"/>
    <col min="22" max="22" width="9" customWidth="1"/>
    <col min="23" max="23" width="8.109375" style="42" customWidth="1"/>
    <col min="24" max="24" width="8.88671875" customWidth="1"/>
    <col min="25" max="25" width="9.6640625" customWidth="1"/>
    <col min="26" max="26" width="6.5546875" customWidth="1"/>
    <col min="27" max="27" width="9.109375" style="62" customWidth="1"/>
    <col min="28" max="28" width="7.21875" customWidth="1"/>
    <col min="29" max="29" width="8" customWidth="1"/>
    <col min="30" max="30" width="10" customWidth="1"/>
    <col min="31" max="31" width="8.109375" customWidth="1"/>
    <col min="32" max="32" width="9.44140625" customWidth="1"/>
    <col min="33" max="35" width="9.6640625" customWidth="1"/>
    <col min="40" max="40" width="4.77734375" style="1" customWidth="1"/>
    <col min="41" max="41" width="6.77734375" customWidth="1"/>
    <col min="42" max="42" width="9.5546875" style="63"/>
    <col min="43" max="43" width="17.21875" style="42" customWidth="1"/>
    <col min="44" max="44" width="19.77734375" style="42" customWidth="1"/>
    <col min="45" max="45" width="14.44140625" style="42" customWidth="1"/>
    <col min="46" max="46" width="8.88671875" style="42" customWidth="1"/>
    <col min="47" max="47" width="41.109375" style="64" customWidth="1"/>
    <col min="48" max="48" width="38.77734375" style="64" customWidth="1"/>
    <col min="49" max="49" width="49.21875" style="42" customWidth="1"/>
    <col min="50" max="50" width="44.5546875" style="42" customWidth="1"/>
    <col min="51" max="51" width="47.6640625" style="42" customWidth="1"/>
    <col min="52" max="52" width="56.33203125" style="42" customWidth="1"/>
    <col min="53" max="63" width="8.88671875" style="42"/>
  </cols>
  <sheetData>
    <row r="1" spans="1:1454" s="49" customFormat="1" ht="13.2" x14ac:dyDescent="0.25">
      <c r="A1" s="65" t="s">
        <v>657</v>
      </c>
      <c r="B1" s="66" t="s">
        <v>658</v>
      </c>
      <c r="C1" s="67" t="s">
        <v>659</v>
      </c>
      <c r="D1" s="68" t="s">
        <v>660</v>
      </c>
      <c r="E1" s="69"/>
      <c r="F1" s="70" t="s">
        <v>661</v>
      </c>
      <c r="G1" s="71" t="s">
        <v>662</v>
      </c>
      <c r="H1" s="72" t="s">
        <v>663</v>
      </c>
      <c r="I1" s="103" t="s">
        <v>664</v>
      </c>
      <c r="J1" s="104"/>
      <c r="K1" s="104"/>
      <c r="L1" s="104"/>
      <c r="M1" s="104"/>
      <c r="N1" s="105"/>
      <c r="O1" s="69"/>
      <c r="P1" s="106"/>
      <c r="Q1" s="105"/>
      <c r="R1" s="104"/>
      <c r="S1" s="104"/>
      <c r="T1" s="104"/>
      <c r="U1" s="104"/>
      <c r="V1" s="105"/>
      <c r="W1" s="121"/>
      <c r="X1" s="105"/>
      <c r="Y1" s="105"/>
      <c r="Z1" s="104"/>
      <c r="AA1" s="129"/>
      <c r="AB1" s="121"/>
      <c r="AC1" s="121"/>
      <c r="AD1" s="121"/>
      <c r="AE1" s="69"/>
      <c r="AF1" s="121"/>
      <c r="AG1" s="121"/>
      <c r="AH1" s="121"/>
      <c r="AI1" s="121"/>
      <c r="AJ1" s="121"/>
      <c r="AK1" s="121"/>
      <c r="AL1" s="149"/>
      <c r="AM1" s="149"/>
      <c r="AN1" s="150"/>
      <c r="AO1" s="150"/>
      <c r="AP1" s="153"/>
      <c r="AQ1" s="154"/>
      <c r="AU1" s="155"/>
      <c r="AV1" s="155"/>
    </row>
    <row r="2" spans="1:1454" s="49" customFormat="1" ht="13.2" x14ac:dyDescent="0.25">
      <c r="A2" s="65" t="s">
        <v>239</v>
      </c>
      <c r="B2" s="66">
        <v>1</v>
      </c>
      <c r="C2" s="67">
        <v>2</v>
      </c>
      <c r="D2" s="68"/>
      <c r="E2" s="69"/>
      <c r="F2" s="70"/>
      <c r="G2" s="73">
        <v>3</v>
      </c>
      <c r="H2" s="74"/>
      <c r="I2" s="107">
        <v>0</v>
      </c>
      <c r="J2" s="104"/>
      <c r="K2" s="104"/>
      <c r="L2" s="104"/>
      <c r="M2" s="104"/>
      <c r="N2" s="105"/>
      <c r="O2" s="69"/>
      <c r="P2" s="106"/>
      <c r="Q2" s="105"/>
      <c r="R2" s="104"/>
      <c r="S2" s="104"/>
      <c r="T2" s="104"/>
      <c r="U2" s="104"/>
      <c r="V2" s="105"/>
      <c r="W2" s="121"/>
      <c r="X2" s="105"/>
      <c r="Y2" s="105"/>
      <c r="Z2" s="104"/>
      <c r="AA2" s="129"/>
      <c r="AB2" s="121"/>
      <c r="AC2" s="121"/>
      <c r="AD2" s="121"/>
      <c r="AE2" s="69"/>
      <c r="AF2" s="121"/>
      <c r="AG2" s="121"/>
      <c r="AH2" s="121"/>
      <c r="AI2" s="121"/>
      <c r="AJ2" s="121"/>
      <c r="AK2" s="121"/>
      <c r="AL2" s="149"/>
      <c r="AM2" s="149"/>
      <c r="AN2" s="150"/>
      <c r="AO2" s="150"/>
      <c r="AP2" s="153"/>
      <c r="AQ2" s="154"/>
      <c r="AU2" s="156" t="s">
        <v>665</v>
      </c>
      <c r="AV2" s="156"/>
    </row>
    <row r="3" spans="1:1454" s="50" customFormat="1" ht="36" x14ac:dyDescent="0.25">
      <c r="A3" s="75" t="s">
        <v>2</v>
      </c>
      <c r="B3" s="76" t="s">
        <v>666</v>
      </c>
      <c r="C3" s="77" t="s">
        <v>667</v>
      </c>
      <c r="D3" s="77" t="s">
        <v>668</v>
      </c>
      <c r="E3" s="78" t="s">
        <v>60</v>
      </c>
      <c r="F3" s="79" t="s">
        <v>669</v>
      </c>
      <c r="G3" s="396" t="s">
        <v>670</v>
      </c>
      <c r="H3" s="397"/>
      <c r="I3" s="398"/>
      <c r="J3" s="79" t="s">
        <v>671</v>
      </c>
      <c r="K3" s="79" t="s">
        <v>672</v>
      </c>
      <c r="L3" s="79" t="s">
        <v>4</v>
      </c>
      <c r="M3" s="79" t="s">
        <v>673</v>
      </c>
      <c r="N3" s="108" t="s">
        <v>9</v>
      </c>
      <c r="O3" s="78" t="s">
        <v>674</v>
      </c>
      <c r="P3" s="109" t="s">
        <v>675</v>
      </c>
      <c r="Q3" s="108" t="s">
        <v>676</v>
      </c>
      <c r="R3" s="79" t="s">
        <v>677</v>
      </c>
      <c r="S3" s="79" t="s">
        <v>7</v>
      </c>
      <c r="T3" s="79" t="s">
        <v>8</v>
      </c>
      <c r="U3" s="79" t="s">
        <v>61</v>
      </c>
      <c r="V3" s="108" t="s">
        <v>678</v>
      </c>
      <c r="W3" s="122" t="s">
        <v>679</v>
      </c>
      <c r="X3" s="108" t="s">
        <v>680</v>
      </c>
      <c r="Y3" s="130" t="s">
        <v>681</v>
      </c>
      <c r="Z3" s="131"/>
      <c r="AA3" s="132" t="s">
        <v>682</v>
      </c>
      <c r="AB3" s="130" t="s">
        <v>683</v>
      </c>
      <c r="AC3" s="108" t="s">
        <v>684</v>
      </c>
      <c r="AD3" s="108" t="s">
        <v>685</v>
      </c>
      <c r="AE3" s="78" t="s">
        <v>686</v>
      </c>
      <c r="AF3" s="108" t="s">
        <v>687</v>
      </c>
      <c r="AG3" s="108" t="s">
        <v>687</v>
      </c>
      <c r="AH3" s="108" t="s">
        <v>688</v>
      </c>
      <c r="AI3" s="108" t="s">
        <v>688</v>
      </c>
      <c r="AJ3" s="108" t="s">
        <v>689</v>
      </c>
      <c r="AK3" s="108" t="s">
        <v>689</v>
      </c>
      <c r="AL3" s="108" t="s">
        <v>690</v>
      </c>
      <c r="AM3" s="108" t="s">
        <v>690</v>
      </c>
      <c r="AN3" s="151"/>
      <c r="AO3" s="151"/>
      <c r="AP3" s="399"/>
      <c r="AT3" s="157"/>
      <c r="AU3" s="158" t="s">
        <v>691</v>
      </c>
      <c r="AV3" s="158" t="s">
        <v>692</v>
      </c>
      <c r="AW3" s="166" t="s">
        <v>693</v>
      </c>
      <c r="AX3" s="167" t="s">
        <v>694</v>
      </c>
      <c r="AY3" s="167" t="s">
        <v>695</v>
      </c>
      <c r="AZ3" s="167" t="s">
        <v>696</v>
      </c>
    </row>
    <row r="4" spans="1:1454" s="51" customFormat="1" x14ac:dyDescent="0.25">
      <c r="A4" s="80"/>
      <c r="B4" s="76"/>
      <c r="C4" s="81"/>
      <c r="D4" s="81"/>
      <c r="E4" s="82"/>
      <c r="F4" s="83"/>
      <c r="G4" s="84" t="s">
        <v>697</v>
      </c>
      <c r="H4" s="84" t="s">
        <v>698</v>
      </c>
      <c r="I4" s="84" t="s">
        <v>699</v>
      </c>
      <c r="J4" s="83"/>
      <c r="K4" s="83"/>
      <c r="L4" s="83" t="s">
        <v>700</v>
      </c>
      <c r="M4" s="83" t="s">
        <v>23</v>
      </c>
      <c r="N4" s="110" t="s">
        <v>27</v>
      </c>
      <c r="O4" s="82" t="s">
        <v>701</v>
      </c>
      <c r="P4" s="111" t="s">
        <v>29</v>
      </c>
      <c r="Q4" s="110" t="s">
        <v>21</v>
      </c>
      <c r="R4" s="83" t="s">
        <v>702</v>
      </c>
      <c r="S4" s="83" t="s">
        <v>25</v>
      </c>
      <c r="T4" s="83" t="s">
        <v>26</v>
      </c>
      <c r="U4" s="83" t="s">
        <v>703</v>
      </c>
      <c r="V4" s="110" t="s">
        <v>23</v>
      </c>
      <c r="W4" s="123" t="s">
        <v>23</v>
      </c>
      <c r="X4" s="110" t="s">
        <v>23</v>
      </c>
      <c r="Y4" s="133"/>
      <c r="Z4" s="134"/>
      <c r="AA4" s="83"/>
      <c r="AB4" s="133"/>
      <c r="AC4" s="110"/>
      <c r="AD4" s="110" t="s">
        <v>704</v>
      </c>
      <c r="AE4" s="82" t="s">
        <v>705</v>
      </c>
      <c r="AF4" s="110" t="s">
        <v>685</v>
      </c>
      <c r="AG4" s="110" t="s">
        <v>706</v>
      </c>
      <c r="AH4" s="110" t="s">
        <v>707</v>
      </c>
      <c r="AI4" s="110" t="s">
        <v>706</v>
      </c>
      <c r="AJ4" s="110" t="s">
        <v>707</v>
      </c>
      <c r="AK4" s="110" t="s">
        <v>706</v>
      </c>
      <c r="AL4" s="110" t="s">
        <v>707</v>
      </c>
      <c r="AM4" s="110" t="s">
        <v>706</v>
      </c>
      <c r="AN4" s="80"/>
      <c r="AO4" s="80"/>
      <c r="AP4" s="400"/>
      <c r="AT4" s="159"/>
      <c r="AU4" s="64"/>
      <c r="AV4" s="64"/>
      <c r="AW4" s="168"/>
    </row>
    <row r="5" spans="1:1454" s="49" customFormat="1" x14ac:dyDescent="0.25">
      <c r="A5" s="80">
        <v>1</v>
      </c>
      <c r="B5" s="76" t="str">
        <f>线路!B2</f>
        <v>IP0</v>
      </c>
      <c r="C5" s="81">
        <f>线路!E2</f>
        <v>451504.85830000002</v>
      </c>
      <c r="D5" s="81">
        <f>线路!F2</f>
        <v>3048142.1269</v>
      </c>
      <c r="E5" s="85">
        <f>线路!G2</f>
        <v>0</v>
      </c>
      <c r="F5" s="85">
        <f>线路!H2</f>
        <v>0</v>
      </c>
      <c r="G5" s="86">
        <f>线路!L2</f>
        <v>0</v>
      </c>
      <c r="H5" s="86">
        <f>线路!M2</f>
        <v>0</v>
      </c>
      <c r="I5" s="86">
        <f>线路!N2</f>
        <v>0</v>
      </c>
      <c r="J5" s="83">
        <f t="shared" ref="J5:J68" si="0">I5-G5</f>
        <v>0</v>
      </c>
      <c r="K5" s="83">
        <v>0</v>
      </c>
      <c r="L5" s="83">
        <f>IF(A5=1,断面设计!$D$7,IF(A5=2,断面设计!$D$8,IF(A5=3,断面设计!$D$9,IF(A5=4,断面设计!$D$10,IF(A5=5,断面设计!$D$11,IF(A5=6,断面设计!$D$12,IF(A5=7,断面设计!$D$13,IF(A5=8,断面设计!$D$14,IF(A5=9,断面设计!$D$15,IF(A5=10,断面设计!$D$16))))))))))</f>
        <v>1.5</v>
      </c>
      <c r="M5" s="83">
        <f>IF(AO5=0,1.2,0)</f>
        <v>1.2</v>
      </c>
      <c r="N5" s="110">
        <f t="shared" ref="N5:N70" si="1">IF(AO5=0,0.015,0.014)</f>
        <v>1.4999999999999999E-2</v>
      </c>
      <c r="O5" s="83">
        <f>IF(A5=1,断面设计!$J$7,IF(A5=2,断面设计!$J$8,IF(A5=3,断面设计!$J$9,IF(A5=4,断面设计!$J$10,IF(A5=5,断面设计!$J$11,IF(A5=6,断面设计!$J$12,IF(A5=7,断面设计!$J$13,IF(A5=8,断面设计!$J$14,IF(A5=9,断面设计!$J$15,IF(A5=10,断面设计!$J$16))))))))))</f>
        <v>5000</v>
      </c>
      <c r="P5" s="111">
        <f>IF(A5=1,断面设计!$K$7,IF(A5=2,断面设计!$K$8,IF(A5=3,断面设计!$K$9,IF(A5=4,断面设计!$K$10,IF(A5=5,断面设计!$K$11,IF(A5=6,断面设计!$K$12,IF(A5=7,断面设计!$K$13,IF(A5=8,断面设计!$K$14,IF(A5=9,断面设计!$K$15,IF(A5=10,断面设计!$K$16))))))))))</f>
        <v>4.6000062290098596</v>
      </c>
      <c r="Q5" s="110">
        <f>IF(A5=1,断面设计!$C$7,IF(A5=2,断面设计!$C$8,IF(A5=3,断面设计!$C$9,IF(A5=4,断面设计!$C$10,IF(A5=5,断面设计!$C$11,IF(A5=6,断面设计!$C$12,IF(A5=7,断面设计!$C$13,IF(A5=8,断面设计!$C$14,IF(A5=9,断面设计!$C$15,IF(A5=10,断面设计!$C$16))))))))))</f>
        <v>1.5999458363997501</v>
      </c>
      <c r="R5" s="83">
        <f>IF(A5=1,断面设计!$F$7,IF(A5=2,断面设计!$F$8,IF(A5=3,断面设计!$F$9,IF(A5=4,断面设计!$F$10,IF(A5=5,断面设计!$F$11,IF(A5=6,断面设计!$F$12,IF(A5=7,断面设计!$F$13,IF(A5=8,断面设计!$F$14,IF(A5=9,断面设计!$F$15,IF(A5=10,断面设计!$F$16))))))))))</f>
        <v>5.4717107698950995</v>
      </c>
      <c r="S5" s="83">
        <f>IF(A5=1,断面设计!$G$7,IF(A5=2,断面设计!$G$8,IF(A5=3,断面设计!$G$9,IF(A5=4,断面设计!$G$10,IF(A5=5,断面设计!$G$11,IF(A5=6,断面设计!$G$12,IF(A5=7,断面设计!$G$13,IF(A5=8,断面设计!$G$14,IF(A5=9,断面设计!$G$15,IF(A5=10,断面设计!$G$16))))))))))</f>
        <v>6.4983905800837398</v>
      </c>
      <c r="T5" s="83">
        <f t="shared" ref="T5" si="2">R5/S5</f>
        <v>0.84201014119785178</v>
      </c>
      <c r="U5" s="83">
        <f t="shared" ref="U5" si="3">P5/R5</f>
        <v>0.84068884896451646</v>
      </c>
      <c r="V5" s="123">
        <v>0</v>
      </c>
      <c r="W5" s="110"/>
      <c r="X5" s="110">
        <v>0</v>
      </c>
      <c r="Y5" s="133">
        <v>0</v>
      </c>
      <c r="Z5" s="134">
        <v>0</v>
      </c>
      <c r="AA5" s="83"/>
      <c r="AB5" s="133">
        <f t="shared" ref="AB5:AB68" si="4">Q5</f>
        <v>1.5999458363997501</v>
      </c>
      <c r="AC5" s="110">
        <f t="shared" ref="AC5:AC68" si="5">IF(AE5&lt;1,Y5+AA5+V5+X5,Y5+AA5+V5+X5+W5)</f>
        <v>0</v>
      </c>
      <c r="AD5" s="135">
        <v>2392.2710000000002</v>
      </c>
      <c r="AE5" s="82">
        <f>IF(AO5=0,0,IF(AO5=2,IF(AN5=1,20,IF(AN5=0,0,25)),IF(AN5=1,15,IF(AN5=0,0,IF(AO5=3,20,20)))))</f>
        <v>0</v>
      </c>
      <c r="AF5" s="110" t="str">
        <f t="shared" ref="AF5:AF68" si="6">IF(AE5=0," ",IF(AN5=1,AD5+W5,AD5))</f>
        <v xml:space="preserve"> </v>
      </c>
      <c r="AG5" s="110" t="str">
        <f>IF(AE5=0," ",AF5-断面设计!$C$7)</f>
        <v xml:space="preserve"> </v>
      </c>
      <c r="AH5" s="110" t="str">
        <f t="shared" ref="AH5:AH68" si="7">IF(J5&lt;0.01," ",AD5+V5+J5/2/O5+J5/2/1000*Z5)</f>
        <v xml:space="preserve"> </v>
      </c>
      <c r="AI5" s="110" t="str">
        <f t="shared" ref="AI5:AI68" si="8">IF(J5&lt;0.01," ",AH5-AB5)</f>
        <v xml:space="preserve"> </v>
      </c>
      <c r="AJ5" s="110" t="str">
        <f t="shared" ref="AJ5:AJ68" si="9">IF(J5&lt;0.01," ",AD5-J5/2/O5-J5/2/1000*Z5)</f>
        <v xml:space="preserve"> </v>
      </c>
      <c r="AK5" s="110" t="str">
        <f t="shared" ref="AK5:AK68" si="10">IF(J5&lt;0.01," ",AJ5-AB5)</f>
        <v xml:space="preserve"> </v>
      </c>
      <c r="AL5" s="110">
        <f t="shared" ref="AL5:AL68" si="11">AM5+AB5</f>
        <v>2392.2710000000002</v>
      </c>
      <c r="AM5" s="110">
        <f t="shared" ref="AM5:AM68" si="12">IF(AN5=2,IF(AE5=0,AD5-AB5,AD5+W5-AB5),AD5-AB5+V5/2)</f>
        <v>2390.6710541636003</v>
      </c>
      <c r="AN5" s="80"/>
      <c r="AO5" s="80">
        <v>0</v>
      </c>
      <c r="AP5" s="42"/>
      <c r="AQ5" s="160">
        <f>AL5-AM5</f>
        <v>1.5999458363999111</v>
      </c>
      <c r="AR5" s="42"/>
      <c r="AS5" s="42"/>
      <c r="AT5" s="42"/>
      <c r="AU5" s="64" t="str">
        <f>H5&amp;","&amp;AM5</f>
        <v>0,2390.6710541636</v>
      </c>
      <c r="AV5" s="64" t="str">
        <f>H5&amp;","&amp;AL5</f>
        <v>0,2392.271</v>
      </c>
      <c r="AW5" s="169" t="str">
        <f>"pl "&amp;H5&amp;",0 "&amp;H5&amp;",76 "</f>
        <v xml:space="preserve">pl 0,0 0,76 </v>
      </c>
      <c r="AX5" s="161" t="str">
        <f>"-text"&amp;" "&amp;H5&amp;","&amp;48&amp;" "&amp;"3.5"&amp;" "&amp;"90"&amp;" "&amp;FIXED(AM5,3,TRUE)</f>
        <v>-text 0,48 3.5 90 2390.671</v>
      </c>
      <c r="AY5" s="161" t="str">
        <f>"-text"&amp;" "&amp;H5&amp;","&amp;62.5&amp;" "&amp;"3.5"&amp;" "&amp;"90"&amp;" "&amp;FIXED(AL5,3,TRUE)</f>
        <v>-text 0,62.5 3.5 90 2392.271</v>
      </c>
      <c r="AZ5" s="42" t="str">
        <f>"-text"&amp;" "&amp;H5&amp;","&amp;23.5&amp;" "&amp;"3.5"&amp;" "&amp;"90"&amp;" "&amp;TEXT(H5,"马分0+000.00")</f>
        <v>-text 0,23.5 3.5 90 马分0+000.00</v>
      </c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</row>
    <row r="6" spans="1:1454" s="49" customFormat="1" x14ac:dyDescent="0.25">
      <c r="A6" s="80">
        <v>1</v>
      </c>
      <c r="B6" s="76" t="str">
        <f>线路!B3</f>
        <v>IP1</v>
      </c>
      <c r="C6" s="81">
        <f>线路!E3</f>
        <v>451485.89730000001</v>
      </c>
      <c r="D6" s="81">
        <f>线路!F3</f>
        <v>3048138.6324</v>
      </c>
      <c r="E6" s="85">
        <f>线路!G3</f>
        <v>13</v>
      </c>
      <c r="F6" s="85">
        <f>线路!H3</f>
        <v>66.192999999999998</v>
      </c>
      <c r="G6" s="86">
        <f>线路!L3</f>
        <v>10.806866259555488</v>
      </c>
      <c r="H6" s="86">
        <f>线路!M3</f>
        <v>18.316223906077429</v>
      </c>
      <c r="I6" s="86">
        <f>线路!N3</f>
        <v>25.825581552599374</v>
      </c>
      <c r="J6" s="83">
        <f t="shared" si="0"/>
        <v>15.018715293043886</v>
      </c>
      <c r="K6" s="83">
        <f t="shared" ref="K6:K69" si="13">H6-H5</f>
        <v>18.316223906077429</v>
      </c>
      <c r="L6" s="83">
        <f>IF(A6=1,断面设计!$D$7,IF(A6=2,断面设计!$D$8,IF(A6=3,断面设计!$D$9,IF(A6=4,断面设计!$D$10,IF(A6=5,断面设计!$D$11,IF(A6=6,断面设计!$D$12,IF(A6=7,断面设计!$D$13,IF(A6=8,断面设计!$D$14,IF(A6=9,断面设计!$D$15,IF(A6=10,断面设计!$D$16))))))))))</f>
        <v>1.5</v>
      </c>
      <c r="M6" s="83">
        <f t="shared" ref="M6:M69" si="14">IF(AO6=0,1.2,0)</f>
        <v>1.2</v>
      </c>
      <c r="N6" s="110">
        <f t="shared" si="1"/>
        <v>1.4999999999999999E-2</v>
      </c>
      <c r="O6" s="83">
        <f>IF(A6=1,断面设计!$J$7,IF(A6=2,断面设计!$J$8,IF(A6=3,断面设计!$J$9,IF(A6=4,断面设计!$J$10,IF(A6=5,断面设计!$J$11,IF(A6=6,断面设计!$J$12,IF(A6=7,断面设计!$J$13,IF(A6=8,断面设计!$J$14,IF(A6=9,断面设计!$J$15,IF(A6=10,断面设计!$J$16))))))))))</f>
        <v>5000</v>
      </c>
      <c r="P6" s="111">
        <f>IF(A6=1,断面设计!$K$7,IF(A6=2,断面设计!$K$8,IF(A6=3,断面设计!$K$9,IF(A6=4,断面设计!$K$10,IF(A6=5,断面设计!$K$11,IF(A6=6,断面设计!$K$12,IF(A6=7,断面设计!$K$13,IF(A6=8,断面设计!$K$14,IF(A6=9,断面设计!$K$15,IF(A6=10,断面设计!$K$16))))))))))</f>
        <v>4.6000062290098596</v>
      </c>
      <c r="Q6" s="110">
        <f>IF(A6=1,断面设计!$C$7,IF(A6=2,断面设计!$C$8,IF(A6=3,断面设计!$C$9,IF(A6=4,断面设计!$C$10,IF(A6=5,断面设计!$C$11,IF(A6=6,断面设计!$C$12,IF(A6=7,断面设计!$C$13,IF(A6=8,断面设计!$C$14,IF(A6=9,断面设计!$C$15,IF(A6=10,断面设计!$C$16))))))))))</f>
        <v>1.5999458363997501</v>
      </c>
      <c r="R6" s="83">
        <f>IF(A6=1,断面设计!$F$7,IF(A6=2,断面设计!$F$8,IF(A6=3,断面设计!$F$9,IF(A6=4,断面设计!$F$10,IF(A6=5,断面设计!$F$11,IF(A6=6,断面设计!$F$12,IF(A6=7,断面设计!$F$13,IF(A6=8,断面设计!$F$14,IF(A6=9,断面设计!$F$15,IF(A6=10,断面设计!$F$16))))))))))</f>
        <v>5.4717107698950995</v>
      </c>
      <c r="S6" s="83">
        <f>IF(A6=1,断面设计!$G$7,IF(A6=2,断面设计!$G$8,IF(A6=3,断面设计!$G$9,IF(A6=4,断面设计!$G$10,IF(A6=5,断面设计!$G$11,IF(A6=6,断面设计!$G$12,IF(A6=7,断面设计!$G$13,IF(A6=8,断面设计!$G$14,IF(A6=9,断面设计!$G$15,IF(A6=10,断面设计!$G$16))))))))))</f>
        <v>6.4983905800837398</v>
      </c>
      <c r="T6" s="83">
        <f t="shared" ref="T6:T69" si="15">R6/S6</f>
        <v>0.84201014119785178</v>
      </c>
      <c r="U6" s="83">
        <f t="shared" ref="U6:U69" si="16">P6/R6</f>
        <v>0.84068884896451646</v>
      </c>
      <c r="V6" s="123">
        <f t="shared" ref="V6:V69" si="17">(I6-G6)*N6^2/T6^(4/3)*U6^2*3/4*((L6+Q6*M6*2*1.3)/E6)^0.5</f>
        <v>1.591973999551459E-3</v>
      </c>
      <c r="W6" s="110"/>
      <c r="X6" s="110">
        <f>IF(AN6=0,IF(AN5=2,(H6-H5-AE5)/O6,(H6-H5)/O6),IF(AN6=1,IF(AN5=2,IF(AE6&lt;9,(H6-H5-AE6-AE5)/断面设计!$J$7,(H6-H5-AE6-AE5)/断面设计!$J$7),(H6-H5-AE6)/O5),(H6-H5)/O6))</f>
        <v>3.6632447812154859E-3</v>
      </c>
      <c r="Y6" s="133">
        <v>0</v>
      </c>
      <c r="Z6" s="134">
        <f>Z5</f>
        <v>0</v>
      </c>
      <c r="AA6" s="83"/>
      <c r="AB6" s="133">
        <f t="shared" si="4"/>
        <v>1.5999458363997501</v>
      </c>
      <c r="AC6" s="110">
        <f t="shared" si="5"/>
        <v>5.2552187807669449E-3</v>
      </c>
      <c r="AD6" s="110">
        <f t="shared" ref="AD6:AD69" si="18">AD5-AC6</f>
        <v>2392.2657447812194</v>
      </c>
      <c r="AE6" s="82">
        <f t="shared" ref="AE6:AE69" si="19">IF(AO6=0,0,IF(AO6=2,IF(AN6=1,20,IF(AN6=0,0,25)),IF(AN6=1,15,IF(AN6=0,0,IF(AO6=3,20,20)))))</f>
        <v>0</v>
      </c>
      <c r="AF6" s="110" t="str">
        <f t="shared" si="6"/>
        <v xml:space="preserve"> </v>
      </c>
      <c r="AG6" s="110" t="str">
        <f>IF(AE6=0," ",AF6-断面设计!$C$7)</f>
        <v xml:space="preserve"> </v>
      </c>
      <c r="AH6" s="110">
        <f t="shared" si="7"/>
        <v>2392.2688386267482</v>
      </c>
      <c r="AI6" s="110">
        <f t="shared" si="8"/>
        <v>2390.6688927903483</v>
      </c>
      <c r="AJ6" s="110">
        <f t="shared" si="9"/>
        <v>2392.26424290969</v>
      </c>
      <c r="AK6" s="110">
        <f t="shared" si="10"/>
        <v>2390.6642970732901</v>
      </c>
      <c r="AL6" s="110">
        <f t="shared" si="11"/>
        <v>2392.2665407682193</v>
      </c>
      <c r="AM6" s="110">
        <f t="shared" si="12"/>
        <v>2390.6665949318194</v>
      </c>
      <c r="AN6" s="80"/>
      <c r="AO6" s="80">
        <v>0</v>
      </c>
      <c r="AP6" s="161"/>
      <c r="AQ6" s="42"/>
      <c r="AR6" s="42"/>
      <c r="AS6" s="42"/>
      <c r="AT6" s="42"/>
      <c r="AU6" s="64" t="str">
        <f t="shared" ref="AU6:AU69" si="20">H6&amp;","&amp;AM6</f>
        <v>18.3162239060774,2390.66659493182</v>
      </c>
      <c r="AV6" s="64" t="str">
        <f t="shared" ref="AV6:AV44" si="21">H6&amp;","&amp;AL6</f>
        <v>18.3162239060774,2392.26654076822</v>
      </c>
      <c r="AW6" s="169" t="str">
        <f t="shared" ref="AW6:AW44" si="22">"pl "&amp;H6&amp;",0 "&amp;H6&amp;",76 "</f>
        <v xml:space="preserve">pl 18.3162239060774,0 18.3162239060774,76 </v>
      </c>
      <c r="AX6" s="161" t="str">
        <f t="shared" ref="AX6:AX43" si="23">"-text"&amp;" "&amp;H6&amp;","&amp;48&amp;" "&amp;"3.5"&amp;" "&amp;"90"&amp;" "&amp;FIXED(AM6,3,TRUE)</f>
        <v>-text 18.3162239060774,48 3.5 90 2390.667</v>
      </c>
      <c r="AY6" s="161" t="str">
        <f t="shared" ref="AY6:AY43" si="24">"-text"&amp;" "&amp;H6&amp;","&amp;62.5&amp;" "&amp;"3.5"&amp;" "&amp;"90"&amp;" "&amp;FIXED(AL6,3,TRUE)</f>
        <v>-text 18.3162239060774,62.5 3.5 90 2392.267</v>
      </c>
      <c r="AZ6" s="42" t="str">
        <f t="shared" ref="AZ6:AZ43" si="25">"-text"&amp;" "&amp;H6&amp;","&amp;23.5&amp;" "&amp;"3.5"&amp;" "&amp;"90"&amp;" "&amp;TEXT(H6,"马分0+000.00")</f>
        <v>-text 18.3162239060774,23.5 3.5 90 马分0+018.32</v>
      </c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  <c r="FI6" s="42"/>
      <c r="FJ6" s="42"/>
      <c r="FK6" s="42"/>
      <c r="FL6" s="42"/>
      <c r="FM6" s="42"/>
      <c r="FN6" s="42"/>
      <c r="FO6" s="42"/>
      <c r="FP6" s="42"/>
      <c r="FQ6" s="42"/>
      <c r="FR6" s="42"/>
      <c r="FS6" s="42"/>
      <c r="FT6" s="42"/>
      <c r="FU6" s="42"/>
      <c r="FV6" s="42"/>
      <c r="FW6" s="42"/>
      <c r="FX6" s="42"/>
      <c r="FY6" s="42"/>
      <c r="FZ6" s="42"/>
      <c r="GA6" s="42"/>
      <c r="GB6" s="42"/>
      <c r="GC6" s="42"/>
      <c r="GD6" s="42"/>
      <c r="GE6" s="42"/>
      <c r="GF6" s="42"/>
      <c r="GG6" s="42"/>
      <c r="GH6" s="42"/>
      <c r="GI6" s="42"/>
      <c r="GJ6" s="42"/>
      <c r="GK6" s="42"/>
      <c r="GL6" s="42"/>
      <c r="GM6" s="42"/>
      <c r="GN6" s="42"/>
      <c r="GO6" s="42"/>
      <c r="GP6" s="42"/>
      <c r="GQ6" s="42"/>
      <c r="GR6" s="42"/>
      <c r="GS6" s="42"/>
      <c r="GT6" s="42"/>
      <c r="GU6" s="42"/>
      <c r="GV6" s="42"/>
      <c r="GW6" s="42"/>
      <c r="GX6" s="42"/>
      <c r="GY6" s="42"/>
      <c r="GZ6" s="42"/>
      <c r="HA6" s="42"/>
      <c r="HB6" s="42"/>
      <c r="HC6" s="42"/>
      <c r="HD6" s="42"/>
      <c r="HE6" s="42"/>
      <c r="HF6" s="42"/>
      <c r="HG6" s="42"/>
      <c r="HH6" s="42"/>
      <c r="HI6" s="42"/>
      <c r="HJ6" s="42"/>
      <c r="HK6" s="42"/>
      <c r="HL6" s="42"/>
      <c r="HM6" s="42"/>
      <c r="HN6" s="42"/>
      <c r="HO6" s="42"/>
      <c r="HP6" s="42"/>
      <c r="HQ6" s="42"/>
      <c r="HR6" s="42"/>
      <c r="HS6" s="42"/>
      <c r="HT6" s="42"/>
      <c r="HU6" s="42"/>
      <c r="HV6" s="42"/>
      <c r="HW6" s="42"/>
      <c r="HX6" s="42"/>
      <c r="HY6" s="42"/>
      <c r="HZ6" s="42"/>
      <c r="IA6" s="42"/>
      <c r="IB6" s="42"/>
      <c r="IC6" s="42"/>
      <c r="ID6" s="42"/>
      <c r="IE6" s="42"/>
      <c r="IF6" s="42"/>
      <c r="IG6" s="42"/>
      <c r="IH6" s="42"/>
      <c r="II6" s="42"/>
      <c r="IJ6" s="42"/>
      <c r="IK6" s="42"/>
      <c r="IL6" s="42"/>
      <c r="IM6" s="42"/>
      <c r="IN6" s="42"/>
      <c r="IO6" s="42"/>
      <c r="IP6" s="42"/>
      <c r="IQ6" s="42"/>
      <c r="IR6" s="42"/>
      <c r="IS6" s="42"/>
      <c r="IT6" s="42"/>
      <c r="IU6" s="42"/>
      <c r="IV6" s="42"/>
      <c r="IW6" s="42"/>
      <c r="IX6" s="42"/>
      <c r="IY6" s="42"/>
      <c r="IZ6" s="42"/>
      <c r="JA6" s="42"/>
      <c r="JB6" s="42"/>
      <c r="JC6" s="42"/>
      <c r="JD6" s="42"/>
      <c r="JE6" s="42"/>
      <c r="JF6" s="42"/>
      <c r="JG6" s="42"/>
      <c r="JH6" s="42"/>
      <c r="JI6" s="42"/>
      <c r="JJ6" s="42"/>
      <c r="JK6" s="42"/>
      <c r="JL6" s="42"/>
      <c r="JM6" s="42"/>
      <c r="JN6" s="42"/>
      <c r="JO6" s="42"/>
      <c r="JP6" s="42"/>
      <c r="JQ6" s="42"/>
      <c r="JR6" s="42"/>
      <c r="JS6" s="42"/>
      <c r="JT6" s="42"/>
      <c r="JU6" s="42"/>
      <c r="JV6" s="42"/>
      <c r="JW6" s="42"/>
      <c r="JX6" s="42"/>
      <c r="JY6" s="42"/>
      <c r="JZ6" s="42"/>
      <c r="KA6" s="42"/>
      <c r="KB6" s="42"/>
      <c r="KC6" s="42"/>
      <c r="KD6" s="42"/>
      <c r="KE6" s="42"/>
      <c r="KF6" s="42"/>
      <c r="KG6" s="42"/>
      <c r="KH6" s="42"/>
      <c r="KI6" s="42"/>
      <c r="KJ6" s="42"/>
      <c r="KK6" s="42"/>
      <c r="KL6" s="42"/>
      <c r="KM6" s="42"/>
      <c r="KN6" s="42"/>
      <c r="KO6" s="42"/>
      <c r="KP6" s="42"/>
      <c r="KQ6" s="42"/>
      <c r="KR6" s="42"/>
      <c r="KS6" s="42"/>
      <c r="KT6" s="42"/>
      <c r="KU6" s="42"/>
      <c r="KV6" s="42"/>
      <c r="KW6" s="42"/>
      <c r="KX6" s="42"/>
      <c r="KY6" s="42"/>
      <c r="KZ6" s="42"/>
      <c r="LA6" s="42"/>
      <c r="LB6" s="42"/>
      <c r="LC6" s="42"/>
      <c r="LD6" s="42"/>
      <c r="LE6" s="42"/>
      <c r="LF6" s="42"/>
      <c r="LG6" s="42"/>
      <c r="LH6" s="42"/>
      <c r="LI6" s="42"/>
      <c r="LJ6" s="42"/>
      <c r="LK6" s="42"/>
      <c r="LL6" s="42"/>
      <c r="LM6" s="42"/>
      <c r="LN6" s="42"/>
      <c r="LO6" s="42"/>
      <c r="LP6" s="42"/>
      <c r="LQ6" s="42"/>
      <c r="LR6" s="42"/>
      <c r="LS6" s="42"/>
      <c r="LT6" s="42"/>
      <c r="LU6" s="42"/>
      <c r="LV6" s="42"/>
      <c r="LW6" s="42"/>
      <c r="LX6" s="42"/>
      <c r="LY6" s="42"/>
      <c r="LZ6" s="42"/>
      <c r="MA6" s="42"/>
      <c r="MB6" s="42"/>
      <c r="MC6" s="42"/>
      <c r="MD6" s="42"/>
      <c r="ME6" s="42"/>
      <c r="MF6" s="42"/>
      <c r="MG6" s="42"/>
      <c r="MH6" s="42"/>
      <c r="MI6" s="42"/>
      <c r="MJ6" s="42"/>
      <c r="MK6" s="42"/>
      <c r="ML6" s="42"/>
      <c r="MM6" s="42"/>
      <c r="MN6" s="42"/>
      <c r="MO6" s="42"/>
      <c r="MP6" s="42"/>
      <c r="MQ6" s="42"/>
      <c r="MR6" s="42"/>
      <c r="MS6" s="42"/>
      <c r="MT6" s="42"/>
      <c r="MU6" s="42"/>
      <c r="MV6" s="42"/>
      <c r="MW6" s="42"/>
      <c r="MX6" s="42"/>
      <c r="MY6" s="42"/>
      <c r="MZ6" s="42"/>
      <c r="NA6" s="42"/>
      <c r="NB6" s="42"/>
      <c r="NC6" s="42"/>
      <c r="ND6" s="42"/>
      <c r="NE6" s="42"/>
      <c r="NF6" s="42"/>
      <c r="NG6" s="42"/>
      <c r="NH6" s="42"/>
      <c r="NI6" s="42"/>
      <c r="NJ6" s="42"/>
      <c r="NK6" s="42"/>
      <c r="NL6" s="42"/>
      <c r="NM6" s="42"/>
      <c r="NN6" s="42"/>
      <c r="NO6" s="42"/>
      <c r="NP6" s="42"/>
      <c r="NQ6" s="42"/>
      <c r="NR6" s="42"/>
      <c r="NS6" s="42"/>
      <c r="NT6" s="42"/>
      <c r="NU6" s="42"/>
      <c r="NV6" s="42"/>
      <c r="NW6" s="42"/>
      <c r="NX6" s="42"/>
      <c r="NY6" s="42"/>
      <c r="NZ6" s="42"/>
      <c r="OA6" s="42"/>
      <c r="OB6" s="42"/>
      <c r="OC6" s="42"/>
      <c r="OD6" s="42"/>
      <c r="OE6" s="42"/>
      <c r="OF6" s="42"/>
      <c r="OG6" s="42"/>
      <c r="OH6" s="42"/>
      <c r="OI6" s="42"/>
      <c r="OJ6" s="42"/>
      <c r="OK6" s="42"/>
      <c r="OL6" s="42"/>
      <c r="OM6" s="42"/>
      <c r="ON6" s="42"/>
      <c r="OO6" s="42"/>
      <c r="OP6" s="42"/>
      <c r="OQ6" s="42"/>
      <c r="OR6" s="42"/>
      <c r="OS6" s="42"/>
      <c r="OT6" s="42"/>
      <c r="OU6" s="42"/>
      <c r="OV6" s="42"/>
      <c r="OW6" s="42"/>
      <c r="OX6" s="42"/>
      <c r="OY6" s="42"/>
      <c r="OZ6" s="42"/>
      <c r="PA6" s="42"/>
      <c r="PB6" s="42"/>
      <c r="PC6" s="42"/>
      <c r="PD6" s="42"/>
      <c r="PE6" s="42"/>
      <c r="PF6" s="42"/>
      <c r="PG6" s="42"/>
      <c r="PH6" s="42"/>
      <c r="PI6" s="42"/>
      <c r="PJ6" s="42"/>
      <c r="PK6" s="42"/>
      <c r="PL6" s="42"/>
      <c r="PM6" s="42"/>
      <c r="PN6" s="42"/>
      <c r="PO6" s="42"/>
      <c r="PP6" s="42"/>
      <c r="PQ6" s="42"/>
      <c r="PR6" s="42"/>
      <c r="PS6" s="42"/>
      <c r="PT6" s="42"/>
      <c r="PU6" s="42"/>
      <c r="PV6" s="42"/>
      <c r="PW6" s="42"/>
      <c r="PX6" s="42"/>
      <c r="PY6" s="42"/>
      <c r="PZ6" s="42"/>
      <c r="QA6" s="42"/>
      <c r="QB6" s="42"/>
      <c r="QC6" s="42"/>
      <c r="QD6" s="42"/>
      <c r="QE6" s="42"/>
      <c r="QF6" s="42"/>
      <c r="QG6" s="42"/>
      <c r="QH6" s="42"/>
      <c r="QI6" s="42"/>
      <c r="QJ6" s="42"/>
      <c r="QK6" s="42"/>
      <c r="QL6" s="42"/>
      <c r="QM6" s="42"/>
      <c r="QN6" s="42"/>
      <c r="QO6" s="42"/>
      <c r="QP6" s="42"/>
      <c r="QQ6" s="42"/>
      <c r="QR6" s="42"/>
      <c r="QS6" s="42"/>
      <c r="QT6" s="42"/>
      <c r="QU6" s="42"/>
      <c r="QV6" s="42"/>
      <c r="QW6" s="42"/>
      <c r="QX6" s="42"/>
      <c r="QY6" s="42"/>
      <c r="QZ6" s="42"/>
      <c r="RA6" s="42"/>
      <c r="RB6" s="42"/>
      <c r="RC6" s="42"/>
      <c r="RD6" s="42"/>
      <c r="RE6" s="42"/>
      <c r="RF6" s="42"/>
      <c r="RG6" s="42"/>
      <c r="RH6" s="42"/>
      <c r="RI6" s="42"/>
      <c r="RJ6" s="42"/>
      <c r="RK6" s="42"/>
      <c r="RL6" s="42"/>
      <c r="RM6" s="42"/>
      <c r="RN6" s="42"/>
      <c r="RO6" s="42"/>
      <c r="RP6" s="42"/>
      <c r="RQ6" s="42"/>
      <c r="RR6" s="42"/>
      <c r="RS6" s="42"/>
      <c r="RT6" s="42"/>
      <c r="RU6" s="42"/>
      <c r="RV6" s="42"/>
      <c r="RW6" s="42"/>
      <c r="RX6" s="42"/>
      <c r="RY6" s="42"/>
      <c r="RZ6" s="42"/>
      <c r="SA6" s="42"/>
      <c r="SB6" s="42"/>
      <c r="SC6" s="42"/>
      <c r="SD6" s="42"/>
      <c r="SE6" s="42"/>
      <c r="SF6" s="42"/>
      <c r="SG6" s="42"/>
      <c r="SH6" s="42"/>
      <c r="SI6" s="42"/>
      <c r="SJ6" s="42"/>
      <c r="SK6" s="42"/>
      <c r="SL6" s="42"/>
      <c r="SM6" s="42"/>
      <c r="SN6" s="42"/>
      <c r="SO6" s="42"/>
      <c r="SP6" s="42"/>
      <c r="SQ6" s="42"/>
      <c r="SR6" s="42"/>
      <c r="SS6" s="42"/>
      <c r="ST6" s="42"/>
      <c r="SU6" s="42"/>
      <c r="SV6" s="42"/>
      <c r="SW6" s="42"/>
      <c r="SX6" s="42"/>
      <c r="SY6" s="42"/>
      <c r="SZ6" s="42"/>
      <c r="TA6" s="42"/>
      <c r="TB6" s="42"/>
      <c r="TC6" s="42"/>
      <c r="TD6" s="42"/>
      <c r="TE6" s="42"/>
      <c r="TF6" s="42"/>
      <c r="TG6" s="42"/>
      <c r="TH6" s="42"/>
      <c r="TI6" s="42"/>
      <c r="TJ6" s="42"/>
      <c r="TK6" s="42"/>
      <c r="TL6" s="42"/>
      <c r="TM6" s="42"/>
      <c r="TN6" s="42"/>
      <c r="TO6" s="42"/>
      <c r="TP6" s="42"/>
      <c r="TQ6" s="42"/>
      <c r="TR6" s="42"/>
      <c r="TS6" s="42"/>
      <c r="TT6" s="42"/>
      <c r="TU6" s="42"/>
      <c r="TV6" s="42"/>
      <c r="TW6" s="42"/>
      <c r="TX6" s="42"/>
      <c r="TY6" s="42"/>
      <c r="TZ6" s="42"/>
      <c r="UA6" s="42"/>
      <c r="UB6" s="42"/>
      <c r="UC6" s="42"/>
      <c r="UD6" s="42"/>
      <c r="UE6" s="42"/>
      <c r="UF6" s="42"/>
      <c r="UG6" s="42"/>
      <c r="UH6" s="42"/>
      <c r="UI6" s="42"/>
      <c r="UJ6" s="42"/>
      <c r="UK6" s="42"/>
      <c r="UL6" s="42"/>
      <c r="UM6" s="42"/>
      <c r="UN6" s="42"/>
      <c r="UO6" s="42"/>
      <c r="UP6" s="42"/>
      <c r="UQ6" s="42"/>
      <c r="UR6" s="42"/>
      <c r="US6" s="42"/>
      <c r="UT6" s="42"/>
      <c r="UU6" s="42"/>
      <c r="UV6" s="42"/>
      <c r="UW6" s="42"/>
      <c r="UX6" s="42"/>
      <c r="UY6" s="42"/>
      <c r="UZ6" s="42"/>
      <c r="VA6" s="42"/>
      <c r="VB6" s="42"/>
      <c r="VC6" s="42"/>
      <c r="VD6" s="42"/>
      <c r="VE6" s="42"/>
      <c r="VF6" s="42"/>
      <c r="VG6" s="42"/>
      <c r="VH6" s="42"/>
      <c r="VI6" s="42"/>
      <c r="VJ6" s="42"/>
      <c r="VK6" s="42"/>
      <c r="VL6" s="42"/>
      <c r="VM6" s="42"/>
      <c r="VN6" s="42"/>
      <c r="VO6" s="42"/>
      <c r="VP6" s="42"/>
      <c r="VQ6" s="42"/>
      <c r="VR6" s="42"/>
      <c r="VS6" s="42"/>
      <c r="VT6" s="42"/>
      <c r="VU6" s="42"/>
      <c r="VV6" s="42"/>
      <c r="VW6" s="42"/>
      <c r="VX6" s="42"/>
      <c r="VY6" s="42"/>
      <c r="VZ6" s="42"/>
      <c r="WA6" s="42"/>
      <c r="WB6" s="42"/>
      <c r="WC6" s="42"/>
      <c r="WD6" s="42"/>
      <c r="WE6" s="42"/>
      <c r="WF6" s="42"/>
      <c r="WG6" s="42"/>
      <c r="WH6" s="42"/>
      <c r="WI6" s="42"/>
      <c r="WJ6" s="42"/>
      <c r="WK6" s="42"/>
      <c r="WL6" s="42"/>
      <c r="WM6" s="42"/>
      <c r="WN6" s="42"/>
      <c r="WO6" s="42"/>
      <c r="WP6" s="42"/>
      <c r="WQ6" s="42"/>
      <c r="WR6" s="42"/>
      <c r="WS6" s="42"/>
      <c r="WT6" s="42"/>
      <c r="WU6" s="42"/>
      <c r="WV6" s="42"/>
      <c r="WW6" s="42"/>
      <c r="WX6" s="42"/>
      <c r="WY6" s="42"/>
      <c r="WZ6" s="42"/>
      <c r="XA6" s="42"/>
      <c r="XB6" s="42"/>
      <c r="XC6" s="42"/>
      <c r="XD6" s="42"/>
      <c r="XE6" s="42"/>
      <c r="XF6" s="42"/>
      <c r="XG6" s="42"/>
      <c r="XH6" s="42"/>
      <c r="XI6" s="42"/>
      <c r="XJ6" s="42"/>
      <c r="XK6" s="42"/>
      <c r="XL6" s="42"/>
      <c r="XM6" s="42"/>
      <c r="XN6" s="42"/>
      <c r="XO6" s="42"/>
      <c r="XP6" s="42"/>
      <c r="XQ6" s="42"/>
      <c r="XR6" s="42"/>
      <c r="XS6" s="42"/>
      <c r="XT6" s="42"/>
      <c r="XU6" s="42"/>
      <c r="XV6" s="42"/>
      <c r="XW6" s="42"/>
      <c r="XX6" s="42"/>
      <c r="XY6" s="42"/>
      <c r="XZ6" s="42"/>
      <c r="YA6" s="42"/>
      <c r="YB6" s="42"/>
      <c r="YC6" s="42"/>
      <c r="YD6" s="42"/>
      <c r="YE6" s="42"/>
      <c r="YF6" s="42"/>
      <c r="YG6" s="42"/>
      <c r="YH6" s="42"/>
      <c r="YI6" s="42"/>
      <c r="YJ6" s="42"/>
      <c r="YK6" s="42"/>
      <c r="YL6" s="42"/>
      <c r="YM6" s="42"/>
      <c r="YN6" s="42"/>
      <c r="YO6" s="42"/>
      <c r="YP6" s="42"/>
      <c r="YQ6" s="42"/>
      <c r="YR6" s="42"/>
      <c r="YS6" s="42"/>
      <c r="YT6" s="42"/>
      <c r="YU6" s="42"/>
      <c r="YV6" s="42"/>
      <c r="YW6" s="42"/>
      <c r="YX6" s="42"/>
      <c r="YY6" s="42"/>
      <c r="YZ6" s="42"/>
      <c r="ZA6" s="42"/>
      <c r="ZB6" s="42"/>
      <c r="ZC6" s="42"/>
      <c r="ZD6" s="42"/>
      <c r="ZE6" s="42"/>
      <c r="ZF6" s="42"/>
      <c r="ZG6" s="42"/>
      <c r="ZH6" s="42"/>
      <c r="ZI6" s="42"/>
      <c r="ZJ6" s="42"/>
      <c r="ZK6" s="42"/>
      <c r="ZL6" s="42"/>
      <c r="ZM6" s="42"/>
      <c r="ZN6" s="42"/>
      <c r="ZO6" s="42"/>
      <c r="ZP6" s="42"/>
      <c r="ZQ6" s="42"/>
      <c r="ZR6" s="42"/>
      <c r="ZS6" s="42"/>
      <c r="ZT6" s="42"/>
      <c r="ZU6" s="42"/>
      <c r="ZV6" s="42"/>
      <c r="ZW6" s="42"/>
      <c r="ZX6" s="42"/>
      <c r="ZY6" s="42"/>
      <c r="ZZ6" s="42"/>
      <c r="AAA6" s="42"/>
      <c r="AAB6" s="42"/>
      <c r="AAC6" s="42"/>
      <c r="AAD6" s="42"/>
      <c r="AAE6" s="42"/>
      <c r="AAF6" s="42"/>
      <c r="AAG6" s="42"/>
      <c r="AAH6" s="42"/>
      <c r="AAI6" s="42"/>
      <c r="AAJ6" s="42"/>
      <c r="AAK6" s="42"/>
      <c r="AAL6" s="42"/>
      <c r="AAM6" s="42"/>
      <c r="AAN6" s="42"/>
      <c r="AAO6" s="42"/>
      <c r="AAP6" s="42"/>
      <c r="AAQ6" s="42"/>
      <c r="AAR6" s="42"/>
      <c r="AAS6" s="42"/>
      <c r="AAT6" s="42"/>
      <c r="AAU6" s="42"/>
      <c r="AAV6" s="42"/>
      <c r="AAW6" s="42"/>
      <c r="AAX6" s="42"/>
      <c r="AAY6" s="42"/>
      <c r="AAZ6" s="42"/>
      <c r="ABA6" s="42"/>
      <c r="ABB6" s="42"/>
      <c r="ABC6" s="42"/>
      <c r="ABD6" s="42"/>
      <c r="ABE6" s="42"/>
      <c r="ABF6" s="42"/>
      <c r="ABG6" s="42"/>
      <c r="ABH6" s="42"/>
      <c r="ABI6" s="42"/>
      <c r="ABJ6" s="42"/>
      <c r="ABK6" s="42"/>
      <c r="ABL6" s="42"/>
      <c r="ABM6" s="42"/>
      <c r="ABN6" s="42"/>
      <c r="ABO6" s="42"/>
      <c r="ABP6" s="42"/>
      <c r="ABQ6" s="42"/>
      <c r="ABR6" s="42"/>
      <c r="ABS6" s="42"/>
      <c r="ABT6" s="42"/>
      <c r="ABU6" s="42"/>
      <c r="ABV6" s="42"/>
      <c r="ABW6" s="42"/>
      <c r="ABX6" s="42"/>
      <c r="ABY6" s="42"/>
      <c r="ABZ6" s="42"/>
      <c r="ACA6" s="42"/>
      <c r="ACB6" s="42"/>
      <c r="ACC6" s="42"/>
      <c r="ACD6" s="42"/>
      <c r="ACE6" s="42"/>
      <c r="ACF6" s="42"/>
      <c r="ACG6" s="42"/>
      <c r="ACH6" s="42"/>
      <c r="ACI6" s="42"/>
      <c r="ACJ6" s="42"/>
      <c r="ACK6" s="42"/>
      <c r="ACL6" s="42"/>
      <c r="ACM6" s="42"/>
      <c r="ACN6" s="42"/>
      <c r="ACO6" s="42"/>
      <c r="ACP6" s="42"/>
      <c r="ACQ6" s="42"/>
      <c r="ACR6" s="42"/>
      <c r="ACS6" s="42"/>
      <c r="ACT6" s="42"/>
      <c r="ACU6" s="42"/>
      <c r="ACV6" s="42"/>
      <c r="ACW6" s="42"/>
      <c r="ACX6" s="42"/>
      <c r="ACY6" s="42"/>
      <c r="ACZ6" s="42"/>
      <c r="ADA6" s="42"/>
      <c r="ADB6" s="42"/>
      <c r="ADC6" s="42"/>
      <c r="ADD6" s="42"/>
      <c r="ADE6" s="42"/>
      <c r="ADF6" s="42"/>
      <c r="ADG6" s="42"/>
      <c r="ADH6" s="42"/>
      <c r="ADI6" s="42"/>
      <c r="ADJ6" s="42"/>
      <c r="ADK6" s="42"/>
      <c r="ADL6" s="42"/>
      <c r="ADM6" s="42"/>
      <c r="ADN6" s="42"/>
      <c r="ADO6" s="42"/>
      <c r="ADP6" s="42"/>
      <c r="ADQ6" s="42"/>
      <c r="ADR6" s="42"/>
      <c r="ADS6" s="42"/>
      <c r="ADT6" s="42"/>
      <c r="ADU6" s="42"/>
      <c r="ADV6" s="42"/>
      <c r="ADW6" s="42"/>
      <c r="ADX6" s="42"/>
      <c r="ADY6" s="42"/>
      <c r="ADZ6" s="42"/>
      <c r="AEA6" s="42"/>
      <c r="AEB6" s="42"/>
      <c r="AEC6" s="42"/>
      <c r="AED6" s="42"/>
      <c r="AEE6" s="42"/>
      <c r="AEF6" s="42"/>
      <c r="AEG6" s="42"/>
      <c r="AEH6" s="42"/>
      <c r="AEI6" s="42"/>
      <c r="AEJ6" s="42"/>
      <c r="AEK6" s="42"/>
      <c r="AEL6" s="42"/>
      <c r="AEM6" s="42"/>
      <c r="AEN6" s="42"/>
      <c r="AEO6" s="42"/>
      <c r="AEP6" s="42"/>
      <c r="AEQ6" s="42"/>
      <c r="AER6" s="42"/>
      <c r="AES6" s="42"/>
      <c r="AET6" s="42"/>
      <c r="AEU6" s="42"/>
      <c r="AEV6" s="42"/>
      <c r="AEW6" s="42"/>
      <c r="AEX6" s="42"/>
      <c r="AEY6" s="42"/>
      <c r="AEZ6" s="42"/>
      <c r="AFA6" s="42"/>
      <c r="AFB6" s="42"/>
      <c r="AFC6" s="42"/>
      <c r="AFD6" s="42"/>
      <c r="AFE6" s="42"/>
      <c r="AFF6" s="42"/>
      <c r="AFG6" s="42"/>
      <c r="AFH6" s="42"/>
      <c r="AFI6" s="42"/>
      <c r="AFJ6" s="42"/>
      <c r="AFK6" s="42"/>
      <c r="AFL6" s="42"/>
      <c r="AFM6" s="42"/>
      <c r="AFN6" s="42"/>
      <c r="AFO6" s="42"/>
      <c r="AFP6" s="42"/>
      <c r="AFQ6" s="42"/>
      <c r="AFR6" s="42"/>
      <c r="AFS6" s="42"/>
      <c r="AFT6" s="42"/>
      <c r="AFU6" s="42"/>
      <c r="AFV6" s="42"/>
      <c r="AFW6" s="42"/>
      <c r="AFX6" s="42"/>
      <c r="AFY6" s="42"/>
      <c r="AFZ6" s="42"/>
      <c r="AGA6" s="42"/>
      <c r="AGB6" s="42"/>
      <c r="AGC6" s="42"/>
      <c r="AGD6" s="42"/>
      <c r="AGE6" s="42"/>
      <c r="AGF6" s="42"/>
      <c r="AGG6" s="42"/>
      <c r="AGH6" s="42"/>
      <c r="AGI6" s="42"/>
      <c r="AGJ6" s="42"/>
      <c r="AGK6" s="42"/>
      <c r="AGL6" s="42"/>
      <c r="AGM6" s="42"/>
      <c r="AGN6" s="42"/>
      <c r="AGO6" s="42"/>
      <c r="AGP6" s="42"/>
      <c r="AGQ6" s="42"/>
      <c r="AGR6" s="42"/>
      <c r="AGS6" s="42"/>
      <c r="AGT6" s="42"/>
      <c r="AGU6" s="42"/>
      <c r="AGV6" s="42"/>
      <c r="AGW6" s="42"/>
      <c r="AGX6" s="42"/>
      <c r="AGY6" s="42"/>
      <c r="AGZ6" s="42"/>
      <c r="AHA6" s="42"/>
      <c r="AHB6" s="42"/>
      <c r="AHC6" s="42"/>
      <c r="AHD6" s="42"/>
      <c r="AHE6" s="42"/>
      <c r="AHF6" s="42"/>
      <c r="AHG6" s="42"/>
      <c r="AHH6" s="42"/>
      <c r="AHI6" s="42"/>
      <c r="AHJ6" s="42"/>
      <c r="AHK6" s="42"/>
      <c r="AHL6" s="42"/>
      <c r="AHM6" s="42"/>
      <c r="AHN6" s="42"/>
      <c r="AHO6" s="42"/>
      <c r="AHP6" s="42"/>
      <c r="AHQ6" s="42"/>
      <c r="AHR6" s="42"/>
      <c r="AHS6" s="42"/>
      <c r="AHT6" s="42"/>
      <c r="AHU6" s="42"/>
      <c r="AHV6" s="42"/>
      <c r="AHW6" s="42"/>
      <c r="AHX6" s="42"/>
      <c r="AHY6" s="42"/>
      <c r="AHZ6" s="42"/>
      <c r="AIA6" s="42"/>
      <c r="AIB6" s="42"/>
      <c r="AIC6" s="42"/>
      <c r="AID6" s="42"/>
      <c r="AIE6" s="42"/>
      <c r="AIF6" s="42"/>
      <c r="AIG6" s="42"/>
      <c r="AIH6" s="42"/>
      <c r="AII6" s="42"/>
      <c r="AIJ6" s="42"/>
      <c r="AIK6" s="42"/>
      <c r="AIL6" s="42"/>
      <c r="AIM6" s="42"/>
      <c r="AIN6" s="42"/>
      <c r="AIO6" s="42"/>
      <c r="AIP6" s="42"/>
      <c r="AIQ6" s="42"/>
      <c r="AIR6" s="42"/>
      <c r="AIS6" s="42"/>
      <c r="AIT6" s="42"/>
      <c r="AIU6" s="42"/>
      <c r="AIV6" s="42"/>
      <c r="AIW6" s="42"/>
      <c r="AIX6" s="42"/>
      <c r="AIY6" s="42"/>
      <c r="AIZ6" s="42"/>
      <c r="AJA6" s="42"/>
      <c r="AJB6" s="42"/>
      <c r="AJC6" s="42"/>
      <c r="AJD6" s="42"/>
      <c r="AJE6" s="42"/>
      <c r="AJF6" s="42"/>
      <c r="AJG6" s="42"/>
      <c r="AJH6" s="42"/>
      <c r="AJI6" s="42"/>
      <c r="AJJ6" s="42"/>
      <c r="AJK6" s="42"/>
      <c r="AJL6" s="42"/>
      <c r="AJM6" s="42"/>
      <c r="AJN6" s="42"/>
      <c r="AJO6" s="42"/>
      <c r="AJP6" s="42"/>
      <c r="AJQ6" s="42"/>
      <c r="AJR6" s="42"/>
      <c r="AJS6" s="42"/>
      <c r="AJT6" s="42"/>
      <c r="AJU6" s="42"/>
      <c r="AJV6" s="42"/>
      <c r="AJW6" s="42"/>
      <c r="AJX6" s="42"/>
      <c r="AJY6" s="42"/>
      <c r="AJZ6" s="42"/>
      <c r="AKA6" s="42"/>
      <c r="AKB6" s="42"/>
      <c r="AKC6" s="42"/>
      <c r="AKD6" s="42"/>
      <c r="AKE6" s="42"/>
      <c r="AKF6" s="42"/>
      <c r="AKG6" s="42"/>
      <c r="AKH6" s="42"/>
      <c r="AKI6" s="42"/>
      <c r="AKJ6" s="42"/>
      <c r="AKK6" s="42"/>
      <c r="AKL6" s="42"/>
      <c r="AKM6" s="42"/>
      <c r="AKN6" s="42"/>
      <c r="AKO6" s="42"/>
      <c r="AKP6" s="42"/>
      <c r="AKQ6" s="42"/>
      <c r="AKR6" s="42"/>
      <c r="AKS6" s="42"/>
      <c r="AKT6" s="42"/>
      <c r="AKU6" s="42"/>
      <c r="AKV6" s="42"/>
      <c r="AKW6" s="42"/>
      <c r="AKX6" s="42"/>
      <c r="AKY6" s="42"/>
      <c r="AKZ6" s="42"/>
      <c r="ALA6" s="42"/>
      <c r="ALB6" s="42"/>
      <c r="ALC6" s="42"/>
      <c r="ALD6" s="42"/>
      <c r="ALE6" s="42"/>
      <c r="ALF6" s="42"/>
      <c r="ALG6" s="42"/>
      <c r="ALH6" s="42"/>
      <c r="ALI6" s="42"/>
      <c r="ALJ6" s="42"/>
      <c r="ALK6" s="42"/>
      <c r="ALL6" s="42"/>
      <c r="ALM6" s="42"/>
      <c r="ALN6" s="42"/>
      <c r="ALO6" s="42"/>
      <c r="ALP6" s="42"/>
      <c r="ALQ6" s="42"/>
      <c r="ALR6" s="42"/>
      <c r="ALS6" s="42"/>
      <c r="ALT6" s="42"/>
      <c r="ALU6" s="42"/>
      <c r="ALV6" s="42"/>
      <c r="ALW6" s="42"/>
      <c r="ALX6" s="42"/>
      <c r="ALY6" s="42"/>
      <c r="ALZ6" s="42"/>
      <c r="AMA6" s="42"/>
      <c r="AMB6" s="42"/>
      <c r="AMC6" s="42"/>
      <c r="AMD6" s="42"/>
      <c r="AME6" s="42"/>
      <c r="AMF6" s="42"/>
      <c r="AMG6" s="42"/>
      <c r="AMH6" s="42"/>
      <c r="AMI6" s="42"/>
      <c r="AMJ6" s="42"/>
      <c r="AMK6" s="42"/>
      <c r="AML6" s="42"/>
      <c r="AMM6" s="42"/>
      <c r="AMN6" s="42"/>
      <c r="AMO6" s="42"/>
      <c r="AMP6" s="42"/>
      <c r="AMQ6" s="42"/>
      <c r="AMR6" s="42"/>
      <c r="AMS6" s="42"/>
      <c r="AMT6" s="42"/>
      <c r="AMU6" s="42"/>
      <c r="AMV6" s="42"/>
      <c r="AMW6" s="42"/>
      <c r="AMX6" s="42"/>
      <c r="AMY6" s="42"/>
      <c r="AMZ6" s="42"/>
      <c r="ANA6" s="42"/>
      <c r="ANB6" s="42"/>
      <c r="ANC6" s="42"/>
      <c r="AND6" s="42"/>
      <c r="ANE6" s="42"/>
      <c r="ANF6" s="42"/>
      <c r="ANG6" s="42"/>
      <c r="ANH6" s="42"/>
      <c r="ANI6" s="42"/>
      <c r="ANJ6" s="42"/>
      <c r="ANK6" s="42"/>
      <c r="ANL6" s="42"/>
      <c r="ANM6" s="42"/>
      <c r="ANN6" s="42"/>
      <c r="ANO6" s="42"/>
      <c r="ANP6" s="42"/>
      <c r="ANQ6" s="42"/>
      <c r="ANR6" s="42"/>
      <c r="ANS6" s="42"/>
      <c r="ANT6" s="42"/>
      <c r="ANU6" s="42"/>
      <c r="ANV6" s="42"/>
      <c r="ANW6" s="42"/>
      <c r="ANX6" s="42"/>
      <c r="ANY6" s="42"/>
      <c r="ANZ6" s="42"/>
      <c r="AOA6" s="42"/>
      <c r="AOB6" s="42"/>
      <c r="AOC6" s="42"/>
      <c r="AOD6" s="42"/>
      <c r="AOE6" s="42"/>
      <c r="AOF6" s="42"/>
      <c r="AOG6" s="42"/>
      <c r="AOH6" s="42"/>
      <c r="AOI6" s="42"/>
      <c r="AOJ6" s="42"/>
      <c r="AOK6" s="42"/>
      <c r="AOL6" s="42"/>
      <c r="AOM6" s="42"/>
      <c r="AON6" s="42"/>
      <c r="AOO6" s="42"/>
      <c r="AOP6" s="42"/>
      <c r="AOQ6" s="42"/>
      <c r="AOR6" s="42"/>
      <c r="AOS6" s="42"/>
      <c r="AOT6" s="42"/>
      <c r="AOU6" s="42"/>
      <c r="AOV6" s="42"/>
      <c r="AOW6" s="42"/>
      <c r="AOX6" s="42"/>
      <c r="AOY6" s="42"/>
      <c r="AOZ6" s="42"/>
      <c r="APA6" s="42"/>
      <c r="APB6" s="42"/>
      <c r="APC6" s="42"/>
      <c r="APD6" s="42"/>
      <c r="APE6" s="42"/>
      <c r="APF6" s="42"/>
      <c r="APG6" s="42"/>
      <c r="APH6" s="42"/>
      <c r="API6" s="42"/>
      <c r="APJ6" s="42"/>
      <c r="APK6" s="42"/>
      <c r="APL6" s="42"/>
      <c r="APM6" s="42"/>
      <c r="APN6" s="42"/>
      <c r="APO6" s="42"/>
      <c r="APP6" s="42"/>
      <c r="APQ6" s="42"/>
      <c r="APR6" s="42"/>
      <c r="APS6" s="42"/>
      <c r="APT6" s="42"/>
      <c r="APU6" s="42"/>
      <c r="APV6" s="42"/>
      <c r="APW6" s="42"/>
      <c r="APX6" s="42"/>
      <c r="APY6" s="42"/>
      <c r="APZ6" s="42"/>
      <c r="AQA6" s="42"/>
      <c r="AQB6" s="42"/>
      <c r="AQC6" s="42"/>
      <c r="AQD6" s="42"/>
      <c r="AQE6" s="42"/>
      <c r="AQF6" s="42"/>
      <c r="AQG6" s="42"/>
      <c r="AQH6" s="42"/>
      <c r="AQI6" s="42"/>
      <c r="AQJ6" s="42"/>
      <c r="AQK6" s="42"/>
      <c r="AQL6" s="42"/>
      <c r="AQM6" s="42"/>
      <c r="AQN6" s="42"/>
      <c r="AQO6" s="42"/>
      <c r="AQP6" s="42"/>
      <c r="AQQ6" s="42"/>
      <c r="AQR6" s="42"/>
      <c r="AQS6" s="42"/>
      <c r="AQT6" s="42"/>
      <c r="AQU6" s="42"/>
      <c r="AQV6" s="42"/>
      <c r="AQW6" s="42"/>
      <c r="AQX6" s="42"/>
      <c r="AQY6" s="42"/>
      <c r="AQZ6" s="42"/>
      <c r="ARA6" s="42"/>
      <c r="ARB6" s="42"/>
      <c r="ARC6" s="42"/>
      <c r="ARD6" s="42"/>
      <c r="ARE6" s="42"/>
      <c r="ARF6" s="42"/>
      <c r="ARG6" s="42"/>
      <c r="ARH6" s="42"/>
      <c r="ARI6" s="42"/>
      <c r="ARJ6" s="42"/>
      <c r="ARK6" s="42"/>
      <c r="ARL6" s="42"/>
      <c r="ARM6" s="42"/>
      <c r="ARN6" s="42"/>
      <c r="ARO6" s="42"/>
      <c r="ARP6" s="42"/>
      <c r="ARQ6" s="42"/>
      <c r="ARR6" s="42"/>
      <c r="ARS6" s="42"/>
      <c r="ART6" s="42"/>
      <c r="ARU6" s="42"/>
      <c r="ARV6" s="42"/>
      <c r="ARW6" s="42"/>
      <c r="ARX6" s="42"/>
      <c r="ARY6" s="42"/>
      <c r="ARZ6" s="42"/>
      <c r="ASA6" s="42"/>
      <c r="ASB6" s="42"/>
      <c r="ASC6" s="42"/>
      <c r="ASD6" s="42"/>
      <c r="ASE6" s="42"/>
      <c r="ASF6" s="42"/>
      <c r="ASG6" s="42"/>
      <c r="ASH6" s="42"/>
      <c r="ASI6" s="42"/>
      <c r="ASJ6" s="42"/>
      <c r="ASK6" s="42"/>
      <c r="ASL6" s="42"/>
      <c r="ASM6" s="42"/>
      <c r="ASN6" s="42"/>
      <c r="ASO6" s="42"/>
      <c r="ASP6" s="42"/>
      <c r="ASQ6" s="42"/>
      <c r="ASR6" s="42"/>
      <c r="ASS6" s="42"/>
      <c r="AST6" s="42"/>
      <c r="ASU6" s="42"/>
      <c r="ASV6" s="42"/>
      <c r="ASW6" s="42"/>
      <c r="ASX6" s="42"/>
      <c r="ASY6" s="42"/>
      <c r="ASZ6" s="42"/>
      <c r="ATA6" s="42"/>
      <c r="ATB6" s="42"/>
      <c r="ATC6" s="42"/>
      <c r="ATD6" s="42"/>
      <c r="ATE6" s="42"/>
      <c r="ATF6" s="42"/>
      <c r="ATG6" s="42"/>
      <c r="ATH6" s="42"/>
      <c r="ATI6" s="42"/>
      <c r="ATJ6" s="42"/>
      <c r="ATK6" s="42"/>
      <c r="ATL6" s="42"/>
      <c r="ATM6" s="42"/>
      <c r="ATN6" s="42"/>
      <c r="ATO6" s="42"/>
      <c r="ATP6" s="42"/>
      <c r="ATQ6" s="42"/>
      <c r="ATR6" s="42"/>
      <c r="ATS6" s="42"/>
      <c r="ATT6" s="42"/>
      <c r="ATU6" s="42"/>
      <c r="ATV6" s="42"/>
      <c r="ATW6" s="42"/>
      <c r="ATX6" s="42"/>
      <c r="ATY6" s="42"/>
      <c r="ATZ6" s="42"/>
      <c r="AUA6" s="42"/>
      <c r="AUB6" s="42"/>
      <c r="AUC6" s="42"/>
      <c r="AUD6" s="42"/>
      <c r="AUE6" s="42"/>
      <c r="AUF6" s="42"/>
      <c r="AUG6" s="42"/>
      <c r="AUH6" s="42"/>
      <c r="AUI6" s="42"/>
      <c r="AUJ6" s="42"/>
      <c r="AUK6" s="42"/>
      <c r="AUL6" s="42"/>
      <c r="AUM6" s="42"/>
      <c r="AUN6" s="42"/>
      <c r="AUO6" s="42"/>
      <c r="AUP6" s="42"/>
      <c r="AUQ6" s="42"/>
      <c r="AUR6" s="42"/>
      <c r="AUS6" s="42"/>
      <c r="AUT6" s="42"/>
      <c r="AUU6" s="42"/>
      <c r="AUV6" s="42"/>
      <c r="AUW6" s="42"/>
      <c r="AUX6" s="42"/>
      <c r="AUY6" s="42"/>
      <c r="AUZ6" s="42"/>
      <c r="AVA6" s="42"/>
      <c r="AVB6" s="42"/>
      <c r="AVC6" s="42"/>
      <c r="AVD6" s="42"/>
      <c r="AVE6" s="42"/>
      <c r="AVF6" s="42"/>
      <c r="AVG6" s="42"/>
      <c r="AVH6" s="42"/>
      <c r="AVI6" s="42"/>
      <c r="AVJ6" s="42"/>
      <c r="AVK6" s="42"/>
      <c r="AVL6" s="42"/>
      <c r="AVM6" s="42"/>
      <c r="AVN6" s="42"/>
      <c r="AVO6" s="42"/>
      <c r="AVP6" s="42"/>
      <c r="AVQ6" s="42"/>
      <c r="AVR6" s="42"/>
      <c r="AVS6" s="42"/>
      <c r="AVT6" s="42"/>
      <c r="AVU6" s="42"/>
      <c r="AVV6" s="42"/>
      <c r="AVW6" s="42"/>
      <c r="AVX6" s="42"/>
      <c r="AVY6" s="42"/>
      <c r="AVZ6" s="42"/>
      <c r="AWA6" s="42"/>
      <c r="AWB6" s="42"/>
      <c r="AWC6" s="42"/>
      <c r="AWD6" s="42"/>
      <c r="AWE6" s="42"/>
      <c r="AWF6" s="42"/>
      <c r="AWG6" s="42"/>
      <c r="AWH6" s="42"/>
      <c r="AWI6" s="42"/>
      <c r="AWJ6" s="42"/>
      <c r="AWK6" s="42"/>
      <c r="AWL6" s="42"/>
      <c r="AWM6" s="42"/>
      <c r="AWN6" s="42"/>
      <c r="AWO6" s="42"/>
      <c r="AWP6" s="42"/>
      <c r="AWQ6" s="42"/>
      <c r="AWR6" s="42"/>
      <c r="AWS6" s="42"/>
      <c r="AWT6" s="42"/>
      <c r="AWU6" s="42"/>
      <c r="AWV6" s="42"/>
      <c r="AWW6" s="42"/>
      <c r="AWX6" s="42"/>
      <c r="AWY6" s="42"/>
      <c r="AWZ6" s="42"/>
      <c r="AXA6" s="42"/>
      <c r="AXB6" s="42"/>
      <c r="AXC6" s="42"/>
      <c r="AXD6" s="42"/>
      <c r="AXE6" s="42"/>
      <c r="AXF6" s="42"/>
      <c r="AXG6" s="42"/>
      <c r="AXH6" s="42"/>
      <c r="AXI6" s="42"/>
      <c r="AXJ6" s="42"/>
      <c r="AXK6" s="42"/>
      <c r="AXL6" s="42"/>
      <c r="AXM6" s="42"/>
      <c r="AXN6" s="42"/>
      <c r="AXO6" s="42"/>
      <c r="AXP6" s="42"/>
      <c r="AXQ6" s="42"/>
      <c r="AXR6" s="42"/>
      <c r="AXS6" s="42"/>
      <c r="AXT6" s="42"/>
      <c r="AXU6" s="42"/>
      <c r="AXV6" s="42"/>
      <c r="AXW6" s="42"/>
      <c r="AXX6" s="42"/>
      <c r="AXY6" s="42"/>
      <c r="AXZ6" s="42"/>
      <c r="AYA6" s="42"/>
      <c r="AYB6" s="42"/>
      <c r="AYC6" s="42"/>
      <c r="AYD6" s="42"/>
      <c r="AYE6" s="42"/>
      <c r="AYF6" s="42"/>
      <c r="AYG6" s="42"/>
      <c r="AYH6" s="42"/>
      <c r="AYI6" s="42"/>
      <c r="AYJ6" s="42"/>
      <c r="AYK6" s="42"/>
      <c r="AYL6" s="42"/>
      <c r="AYM6" s="42"/>
      <c r="AYN6" s="42"/>
      <c r="AYO6" s="42"/>
      <c r="AYP6" s="42"/>
      <c r="AYQ6" s="42"/>
      <c r="AYR6" s="42"/>
      <c r="AYS6" s="42"/>
      <c r="AYT6" s="42"/>
      <c r="AYU6" s="42"/>
      <c r="AYV6" s="42"/>
      <c r="AYW6" s="42"/>
      <c r="AYX6" s="42"/>
      <c r="AYY6" s="42"/>
      <c r="AYZ6" s="42"/>
      <c r="AZA6" s="42"/>
      <c r="AZB6" s="42"/>
      <c r="AZC6" s="42"/>
      <c r="AZD6" s="42"/>
      <c r="AZE6" s="42"/>
      <c r="AZF6" s="42"/>
      <c r="AZG6" s="42"/>
      <c r="AZH6" s="42"/>
      <c r="AZI6" s="42"/>
      <c r="AZJ6" s="42"/>
      <c r="AZK6" s="42"/>
      <c r="AZL6" s="42"/>
      <c r="AZM6" s="42"/>
      <c r="AZN6" s="42"/>
      <c r="AZO6" s="42"/>
      <c r="AZP6" s="42"/>
      <c r="AZQ6" s="42"/>
      <c r="AZR6" s="42"/>
      <c r="AZS6" s="42"/>
      <c r="AZT6" s="42"/>
      <c r="AZU6" s="42"/>
      <c r="AZV6" s="42"/>
      <c r="AZW6" s="42"/>
      <c r="AZX6" s="42"/>
      <c r="AZY6" s="42"/>
      <c r="AZZ6" s="42"/>
      <c r="BAA6" s="42"/>
      <c r="BAB6" s="42"/>
      <c r="BAC6" s="42"/>
      <c r="BAD6" s="42"/>
      <c r="BAE6" s="42"/>
      <c r="BAF6" s="42"/>
      <c r="BAG6" s="42"/>
      <c r="BAH6" s="42"/>
      <c r="BAI6" s="42"/>
      <c r="BAJ6" s="42"/>
      <c r="BAK6" s="42"/>
      <c r="BAL6" s="42"/>
      <c r="BAM6" s="42"/>
      <c r="BAN6" s="42"/>
      <c r="BAO6" s="42"/>
      <c r="BAP6" s="42"/>
      <c r="BAQ6" s="42"/>
      <c r="BAR6" s="42"/>
      <c r="BAS6" s="42"/>
      <c r="BAT6" s="42"/>
      <c r="BAU6" s="42"/>
      <c r="BAV6" s="42"/>
      <c r="BAW6" s="42"/>
      <c r="BAX6" s="42"/>
      <c r="BAY6" s="42"/>
      <c r="BAZ6" s="42"/>
      <c r="BBA6" s="42"/>
      <c r="BBB6" s="42"/>
      <c r="BBC6" s="42"/>
      <c r="BBD6" s="42"/>
      <c r="BBE6" s="42"/>
      <c r="BBF6" s="42"/>
      <c r="BBG6" s="42"/>
      <c r="BBH6" s="42"/>
      <c r="BBI6" s="42"/>
      <c r="BBJ6" s="42"/>
      <c r="BBK6" s="42"/>
      <c r="BBL6" s="42"/>
      <c r="BBM6" s="42"/>
      <c r="BBN6" s="42"/>
      <c r="BBO6" s="42"/>
      <c r="BBP6" s="42"/>
      <c r="BBQ6" s="42"/>
      <c r="BBR6" s="42"/>
      <c r="BBS6" s="42"/>
      <c r="BBT6" s="42"/>
      <c r="BBU6" s="42"/>
      <c r="BBV6" s="42"/>
      <c r="BBW6" s="42"/>
      <c r="BBX6" s="42"/>
      <c r="BBY6" s="42"/>
      <c r="BBZ6" s="42"/>
      <c r="BCA6" s="42"/>
      <c r="BCB6" s="42"/>
      <c r="BCC6" s="42"/>
      <c r="BCD6" s="42"/>
      <c r="BCE6" s="42"/>
      <c r="BCF6" s="42"/>
      <c r="BCG6" s="42"/>
      <c r="BCH6" s="42"/>
      <c r="BCI6" s="42"/>
      <c r="BCJ6" s="42"/>
      <c r="BCK6" s="42"/>
      <c r="BCL6" s="42"/>
      <c r="BCM6" s="42"/>
      <c r="BCN6" s="42"/>
      <c r="BCO6" s="42"/>
      <c r="BCP6" s="42"/>
      <c r="BCQ6" s="42"/>
      <c r="BCR6" s="42"/>
      <c r="BCS6" s="42"/>
      <c r="BCT6" s="42"/>
      <c r="BCU6" s="42"/>
      <c r="BCV6" s="42"/>
      <c r="BCW6" s="42"/>
      <c r="BCX6" s="42"/>
    </row>
    <row r="7" spans="1:1454" s="52" customFormat="1" x14ac:dyDescent="0.25">
      <c r="A7" s="80">
        <v>1</v>
      </c>
      <c r="B7" s="76" t="str">
        <f>线路!B4</f>
        <v>IP2</v>
      </c>
      <c r="C7" s="81">
        <f>线路!E4</f>
        <v>451464.65629999997</v>
      </c>
      <c r="D7" s="81">
        <f>线路!F4</f>
        <v>3048049.2302999999</v>
      </c>
      <c r="E7" s="85">
        <f>线路!G4</f>
        <v>13</v>
      </c>
      <c r="F7" s="85">
        <f>线路!H4</f>
        <v>58.598999999999997</v>
      </c>
      <c r="G7" s="86">
        <f>线路!L4</f>
        <v>101.94778976568698</v>
      </c>
      <c r="H7" s="86">
        <f>线路!M4</f>
        <v>108.595635440132</v>
      </c>
      <c r="I7" s="86">
        <f>线路!N4</f>
        <v>115.24348111457702</v>
      </c>
      <c r="J7" s="83">
        <f t="shared" si="0"/>
        <v>13.295691348890045</v>
      </c>
      <c r="K7" s="83">
        <f t="shared" si="13"/>
        <v>90.279411534054574</v>
      </c>
      <c r="L7" s="83">
        <f>IF(A7=1,断面设计!$D$7,IF(A7=2,断面设计!$D$8,IF(A7=3,断面设计!$D$9,IF(A7=4,断面设计!$D$10,IF(A7=5,断面设计!$D$11,IF(A7=6,断面设计!$D$12,IF(A7=7,断面设计!$D$13,IF(A7=8,断面设计!$D$14,IF(A7=9,断面设计!$D$15,IF(A7=10,断面设计!$D$16))))))))))</f>
        <v>1.5</v>
      </c>
      <c r="M7" s="83">
        <f t="shared" si="14"/>
        <v>1.2</v>
      </c>
      <c r="N7" s="110">
        <f t="shared" si="1"/>
        <v>1.4999999999999999E-2</v>
      </c>
      <c r="O7" s="83">
        <f>IF(A7=1,断面设计!$J$7,IF(A7=2,断面设计!$J$8,IF(A7=3,断面设计!$J$9,IF(A7=4,断面设计!$J$10,IF(A7=5,断面设计!$J$11,IF(A7=6,断面设计!$J$12,IF(A7=7,断面设计!$J$13,IF(A7=8,断面设计!$J$14,IF(A7=9,断面设计!$J$15,IF(A7=10,断面设计!$J$16))))))))))</f>
        <v>5000</v>
      </c>
      <c r="P7" s="111">
        <f>IF(A7=1,断面设计!$K$7,IF(A7=2,断面设计!$K$8,IF(A7=3,断面设计!$K$9,IF(A7=4,断面设计!$K$10,IF(A7=5,断面设计!$K$11,IF(A7=6,断面设计!$K$12,IF(A7=7,断面设计!$K$13,IF(A7=8,断面设计!$K$14,IF(A7=9,断面设计!$K$15,IF(A7=10,断面设计!$K$16))))))))))</f>
        <v>4.6000062290098596</v>
      </c>
      <c r="Q7" s="110">
        <f>IF(A7=1,断面设计!$C$7,IF(A7=2,断面设计!$C$8,IF(A7=3,断面设计!$C$9,IF(A7=4,断面设计!$C$10,IF(A7=5,断面设计!$C$11,IF(A7=6,断面设计!$C$12,IF(A7=7,断面设计!$C$13,IF(A7=8,断面设计!$C$14,IF(A7=9,断面设计!$C$15,IF(A7=10,断面设计!$C$16))))))))))</f>
        <v>1.5999458363997501</v>
      </c>
      <c r="R7" s="83">
        <f>IF(A7=1,断面设计!$F$7,IF(A7=2,断面设计!$F$8,IF(A7=3,断面设计!$F$9,IF(A7=4,断面设计!$F$10,IF(A7=5,断面设计!$F$11,IF(A7=6,断面设计!$F$12,IF(A7=7,断面设计!$F$13,IF(A7=8,断面设计!$F$14,IF(A7=9,断面设计!$F$15,IF(A7=10,断面设计!$F$16))))))))))</f>
        <v>5.4717107698950995</v>
      </c>
      <c r="S7" s="83">
        <f>IF(A7=1,断面设计!$G$7,IF(A7=2,断面设计!$G$8,IF(A7=3,断面设计!$G$9,IF(A7=4,断面设计!$G$10,IF(A7=5,断面设计!$G$11,IF(A7=6,断面设计!$G$12,IF(A7=7,断面设计!$G$13,IF(A7=8,断面设计!$G$14,IF(A7=9,断面设计!$G$15,IF(A7=10,断面设计!$G$16))))))))))</f>
        <v>6.4983905800837398</v>
      </c>
      <c r="T7" s="83">
        <f t="shared" si="15"/>
        <v>0.84201014119785178</v>
      </c>
      <c r="U7" s="83">
        <f t="shared" si="16"/>
        <v>0.84068884896451646</v>
      </c>
      <c r="V7" s="123">
        <f t="shared" si="17"/>
        <v>1.4093345882452218E-3</v>
      </c>
      <c r="W7" s="110"/>
      <c r="X7" s="110">
        <f>IF(AN7=0,IF(AN6=2,(H7-H6-AE6)/O7,(H7-H6)/O7),IF(AN7=1,IF(AN6=2,IF(AE7&lt;9,(H7-H6-AE7-AE6)/断面设计!$J$7,(H7-H6-AE7-AE6)/断面设计!$J$7),(H7-H6-AE7)/O6),(H7-H6)/O7))</f>
        <v>1.8055882306810916E-2</v>
      </c>
      <c r="Y7" s="133">
        <v>0</v>
      </c>
      <c r="Z7" s="134">
        <f t="shared" ref="Z7:Z70" si="26">Z6</f>
        <v>0</v>
      </c>
      <c r="AA7" s="83"/>
      <c r="AB7" s="133">
        <f t="shared" si="4"/>
        <v>1.5999458363997501</v>
      </c>
      <c r="AC7" s="110">
        <f t="shared" si="5"/>
        <v>1.9465216895056137E-2</v>
      </c>
      <c r="AD7" s="110">
        <f t="shared" si="18"/>
        <v>2392.2462795643241</v>
      </c>
      <c r="AE7" s="82">
        <f t="shared" si="19"/>
        <v>0</v>
      </c>
      <c r="AF7" s="110" t="str">
        <f t="shared" si="6"/>
        <v xml:space="preserve"> </v>
      </c>
      <c r="AG7" s="110" t="str">
        <f>IF(AE7=0," ",AF7-断面设计!$C$7)</f>
        <v xml:space="preserve"> </v>
      </c>
      <c r="AH7" s="110">
        <f t="shared" si="7"/>
        <v>2392.2490184680469</v>
      </c>
      <c r="AI7" s="110">
        <f t="shared" si="8"/>
        <v>2390.649072631647</v>
      </c>
      <c r="AJ7" s="110">
        <f t="shared" si="9"/>
        <v>2392.2449499951895</v>
      </c>
      <c r="AK7" s="110">
        <f t="shared" si="10"/>
        <v>2390.6450041587896</v>
      </c>
      <c r="AL7" s="110">
        <f t="shared" si="11"/>
        <v>2392.2469842316182</v>
      </c>
      <c r="AM7" s="110">
        <f t="shared" si="12"/>
        <v>2390.6470383952183</v>
      </c>
      <c r="AN7" s="80"/>
      <c r="AO7" s="80">
        <v>0</v>
      </c>
      <c r="AP7" s="161"/>
      <c r="AQ7" s="42"/>
      <c r="AR7" s="42"/>
      <c r="AS7" s="42"/>
      <c r="AT7" s="42"/>
      <c r="AU7" s="64" t="str">
        <f t="shared" si="20"/>
        <v>108.595635440132,2390.64703839522</v>
      </c>
      <c r="AV7" s="64" t="str">
        <f t="shared" si="21"/>
        <v>108.595635440132,2392.24698423162</v>
      </c>
      <c r="AW7" s="169" t="str">
        <f t="shared" si="22"/>
        <v xml:space="preserve">pl 108.595635440132,0 108.595635440132,76 </v>
      </c>
      <c r="AX7" s="161" t="str">
        <f t="shared" si="23"/>
        <v>-text 108.595635440132,48 3.5 90 2390.647</v>
      </c>
      <c r="AY7" s="161" t="str">
        <f t="shared" si="24"/>
        <v>-text 108.595635440132,62.5 3.5 90 2392.247</v>
      </c>
      <c r="AZ7" s="42" t="str">
        <f t="shared" si="25"/>
        <v>-text 108.595635440132,23.5 3.5 90 马分0+108.60</v>
      </c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  <c r="IS7" s="42"/>
      <c r="IT7" s="42"/>
      <c r="IU7" s="42"/>
      <c r="IV7" s="42"/>
      <c r="IW7" s="42"/>
      <c r="IX7" s="42"/>
      <c r="IY7" s="42"/>
      <c r="IZ7" s="42"/>
      <c r="JA7" s="42"/>
      <c r="JB7" s="42"/>
      <c r="JC7" s="42"/>
      <c r="JD7" s="42"/>
      <c r="JE7" s="42"/>
      <c r="JF7" s="42"/>
      <c r="JG7" s="42"/>
      <c r="JH7" s="42"/>
      <c r="JI7" s="42"/>
      <c r="JJ7" s="42"/>
      <c r="JK7" s="42"/>
      <c r="JL7" s="42"/>
      <c r="JM7" s="42"/>
      <c r="JN7" s="42"/>
      <c r="JO7" s="42"/>
      <c r="JP7" s="42"/>
      <c r="JQ7" s="42"/>
      <c r="JR7" s="42"/>
      <c r="JS7" s="42"/>
      <c r="JT7" s="42"/>
      <c r="JU7" s="42"/>
      <c r="JV7" s="42"/>
      <c r="JW7" s="42"/>
      <c r="JX7" s="42"/>
      <c r="JY7" s="42"/>
      <c r="JZ7" s="42"/>
      <c r="KA7" s="42"/>
      <c r="KB7" s="42"/>
      <c r="KC7" s="42"/>
      <c r="KD7" s="42"/>
      <c r="KE7" s="42"/>
      <c r="KF7" s="42"/>
      <c r="KG7" s="42"/>
      <c r="KH7" s="42"/>
      <c r="KI7" s="42"/>
      <c r="KJ7" s="42"/>
      <c r="KK7" s="42"/>
      <c r="KL7" s="42"/>
      <c r="KM7" s="42"/>
      <c r="KN7" s="42"/>
      <c r="KO7" s="42"/>
      <c r="KP7" s="42"/>
      <c r="KQ7" s="42"/>
      <c r="KR7" s="42"/>
      <c r="KS7" s="42"/>
      <c r="KT7" s="42"/>
      <c r="KU7" s="42"/>
      <c r="KV7" s="42"/>
      <c r="KW7" s="42"/>
      <c r="KX7" s="42"/>
      <c r="KY7" s="42"/>
      <c r="KZ7" s="42"/>
      <c r="LA7" s="42"/>
      <c r="LB7" s="42"/>
      <c r="LC7" s="42"/>
      <c r="LD7" s="42"/>
      <c r="LE7" s="42"/>
      <c r="LF7" s="42"/>
      <c r="LG7" s="42"/>
      <c r="LH7" s="42"/>
      <c r="LI7" s="42"/>
      <c r="LJ7" s="42"/>
      <c r="LK7" s="42"/>
      <c r="LL7" s="42"/>
      <c r="LM7" s="42"/>
      <c r="LN7" s="42"/>
      <c r="LO7" s="42"/>
      <c r="LP7" s="42"/>
      <c r="LQ7" s="42"/>
      <c r="LR7" s="42"/>
      <c r="LS7" s="42"/>
      <c r="LT7" s="42"/>
      <c r="LU7" s="42"/>
      <c r="LV7" s="42"/>
      <c r="LW7" s="42"/>
      <c r="LX7" s="42"/>
      <c r="LY7" s="42"/>
      <c r="LZ7" s="42"/>
      <c r="MA7" s="42"/>
      <c r="MB7" s="42"/>
      <c r="MC7" s="42"/>
      <c r="MD7" s="42"/>
      <c r="ME7" s="42"/>
      <c r="MF7" s="42"/>
      <c r="MG7" s="42"/>
      <c r="MH7" s="42"/>
      <c r="MI7" s="42"/>
      <c r="MJ7" s="42"/>
      <c r="MK7" s="42"/>
      <c r="ML7" s="42"/>
      <c r="MM7" s="42"/>
      <c r="MN7" s="42"/>
      <c r="MO7" s="42"/>
      <c r="MP7" s="42"/>
      <c r="MQ7" s="42"/>
      <c r="MR7" s="42"/>
      <c r="MS7" s="42"/>
      <c r="MT7" s="42"/>
      <c r="MU7" s="42"/>
      <c r="MV7" s="42"/>
      <c r="MW7" s="42"/>
      <c r="MX7" s="42"/>
      <c r="MY7" s="42"/>
      <c r="MZ7" s="42"/>
      <c r="NA7" s="42"/>
      <c r="NB7" s="42"/>
      <c r="NC7" s="42"/>
      <c r="ND7" s="42"/>
      <c r="NE7" s="42"/>
      <c r="NF7" s="42"/>
      <c r="NG7" s="42"/>
      <c r="NH7" s="42"/>
      <c r="NI7" s="42"/>
      <c r="NJ7" s="42"/>
      <c r="NK7" s="42"/>
      <c r="NL7" s="42"/>
      <c r="NM7" s="42"/>
      <c r="NN7" s="42"/>
      <c r="NO7" s="42"/>
      <c r="NP7" s="42"/>
      <c r="NQ7" s="42"/>
      <c r="NR7" s="42"/>
      <c r="NS7" s="42"/>
      <c r="NT7" s="42"/>
      <c r="NU7" s="42"/>
      <c r="NV7" s="42"/>
      <c r="NW7" s="42"/>
      <c r="NX7" s="42"/>
      <c r="NY7" s="42"/>
      <c r="NZ7" s="42"/>
      <c r="OA7" s="42"/>
      <c r="OB7" s="42"/>
      <c r="OC7" s="42"/>
      <c r="OD7" s="42"/>
      <c r="OE7" s="42"/>
      <c r="OF7" s="42"/>
      <c r="OG7" s="42"/>
      <c r="OH7" s="42"/>
      <c r="OI7" s="42"/>
      <c r="OJ7" s="42"/>
      <c r="OK7" s="42"/>
      <c r="OL7" s="42"/>
      <c r="OM7" s="42"/>
      <c r="ON7" s="42"/>
      <c r="OO7" s="42"/>
      <c r="OP7" s="42"/>
      <c r="OQ7" s="42"/>
      <c r="OR7" s="42"/>
      <c r="OS7" s="42"/>
      <c r="OT7" s="42"/>
      <c r="OU7" s="42"/>
      <c r="OV7" s="42"/>
      <c r="OW7" s="42"/>
      <c r="OX7" s="42"/>
      <c r="OY7" s="42"/>
      <c r="OZ7" s="42"/>
      <c r="PA7" s="42"/>
      <c r="PB7" s="42"/>
      <c r="PC7" s="42"/>
      <c r="PD7" s="42"/>
      <c r="PE7" s="42"/>
      <c r="PF7" s="42"/>
      <c r="PG7" s="42"/>
      <c r="PH7" s="42"/>
      <c r="PI7" s="42"/>
      <c r="PJ7" s="42"/>
      <c r="PK7" s="42"/>
      <c r="PL7" s="42"/>
      <c r="PM7" s="42"/>
      <c r="PN7" s="42"/>
      <c r="PO7" s="42"/>
      <c r="PP7" s="42"/>
      <c r="PQ7" s="42"/>
      <c r="PR7" s="42"/>
      <c r="PS7" s="42"/>
      <c r="PT7" s="42"/>
      <c r="PU7" s="42"/>
      <c r="PV7" s="42"/>
      <c r="PW7" s="42"/>
      <c r="PX7" s="42"/>
      <c r="PY7" s="42"/>
      <c r="PZ7" s="42"/>
      <c r="QA7" s="42"/>
      <c r="QB7" s="42"/>
      <c r="QC7" s="42"/>
      <c r="QD7" s="42"/>
      <c r="QE7" s="42"/>
      <c r="QF7" s="42"/>
      <c r="QG7" s="42"/>
      <c r="QH7" s="42"/>
      <c r="QI7" s="42"/>
      <c r="QJ7" s="42"/>
      <c r="QK7" s="42"/>
      <c r="QL7" s="42"/>
      <c r="QM7" s="42"/>
      <c r="QN7" s="42"/>
      <c r="QO7" s="42"/>
      <c r="QP7" s="42"/>
      <c r="QQ7" s="42"/>
      <c r="QR7" s="42"/>
      <c r="QS7" s="42"/>
      <c r="QT7" s="42"/>
      <c r="QU7" s="42"/>
      <c r="QV7" s="42"/>
      <c r="QW7" s="42"/>
      <c r="QX7" s="42"/>
      <c r="QY7" s="42"/>
      <c r="QZ7" s="42"/>
      <c r="RA7" s="42"/>
      <c r="RB7" s="42"/>
      <c r="RC7" s="42"/>
      <c r="RD7" s="42"/>
      <c r="RE7" s="42"/>
      <c r="RF7" s="42"/>
      <c r="RG7" s="42"/>
      <c r="RH7" s="42"/>
      <c r="RI7" s="42"/>
      <c r="RJ7" s="42"/>
      <c r="RK7" s="42"/>
      <c r="RL7" s="42"/>
      <c r="RM7" s="42"/>
      <c r="RN7" s="42"/>
      <c r="RO7" s="42"/>
      <c r="RP7" s="42"/>
      <c r="RQ7" s="42"/>
      <c r="RR7" s="42"/>
      <c r="RS7" s="42"/>
      <c r="RT7" s="42"/>
      <c r="RU7" s="42"/>
      <c r="RV7" s="42"/>
      <c r="RW7" s="42"/>
      <c r="RX7" s="42"/>
      <c r="RY7" s="42"/>
      <c r="RZ7" s="42"/>
      <c r="SA7" s="42"/>
      <c r="SB7" s="42"/>
      <c r="SC7" s="42"/>
      <c r="SD7" s="42"/>
      <c r="SE7" s="42"/>
      <c r="SF7" s="42"/>
      <c r="SG7" s="42"/>
      <c r="SH7" s="42"/>
      <c r="SI7" s="42"/>
      <c r="SJ7" s="42"/>
      <c r="SK7" s="42"/>
      <c r="SL7" s="42"/>
      <c r="SM7" s="42"/>
      <c r="SN7" s="42"/>
      <c r="SO7" s="42"/>
      <c r="SP7" s="42"/>
      <c r="SQ7" s="42"/>
      <c r="SR7" s="42"/>
      <c r="SS7" s="42"/>
      <c r="ST7" s="42"/>
      <c r="SU7" s="42"/>
      <c r="SV7" s="42"/>
      <c r="SW7" s="42"/>
      <c r="SX7" s="42"/>
      <c r="SY7" s="42"/>
      <c r="SZ7" s="42"/>
      <c r="TA7" s="42"/>
      <c r="TB7" s="42"/>
      <c r="TC7" s="42"/>
      <c r="TD7" s="42"/>
      <c r="TE7" s="42"/>
      <c r="TF7" s="42"/>
      <c r="TG7" s="42"/>
      <c r="TH7" s="42"/>
      <c r="TI7" s="42"/>
      <c r="TJ7" s="42"/>
      <c r="TK7" s="42"/>
      <c r="TL7" s="42"/>
      <c r="TM7" s="42"/>
      <c r="TN7" s="42"/>
      <c r="TO7" s="42"/>
      <c r="TP7" s="42"/>
      <c r="TQ7" s="42"/>
      <c r="TR7" s="42"/>
      <c r="TS7" s="42"/>
      <c r="TT7" s="42"/>
      <c r="TU7" s="42"/>
      <c r="TV7" s="42"/>
      <c r="TW7" s="42"/>
      <c r="TX7" s="42"/>
      <c r="TY7" s="42"/>
      <c r="TZ7" s="42"/>
      <c r="UA7" s="42"/>
      <c r="UB7" s="42"/>
      <c r="UC7" s="42"/>
      <c r="UD7" s="42"/>
      <c r="UE7" s="42"/>
      <c r="UF7" s="42"/>
      <c r="UG7" s="42"/>
      <c r="UH7" s="42"/>
      <c r="UI7" s="42"/>
      <c r="UJ7" s="42"/>
      <c r="UK7" s="42"/>
      <c r="UL7" s="42"/>
      <c r="UM7" s="42"/>
      <c r="UN7" s="42"/>
      <c r="UO7" s="42"/>
      <c r="UP7" s="42"/>
      <c r="UQ7" s="42"/>
      <c r="UR7" s="42"/>
      <c r="US7" s="42"/>
      <c r="UT7" s="42"/>
      <c r="UU7" s="42"/>
      <c r="UV7" s="42"/>
      <c r="UW7" s="42"/>
      <c r="UX7" s="42"/>
      <c r="UY7" s="42"/>
      <c r="UZ7" s="42"/>
      <c r="VA7" s="42"/>
      <c r="VB7" s="42"/>
      <c r="VC7" s="42"/>
      <c r="VD7" s="42"/>
      <c r="VE7" s="42"/>
      <c r="VF7" s="42"/>
      <c r="VG7" s="42"/>
      <c r="VH7" s="42"/>
      <c r="VI7" s="42"/>
      <c r="VJ7" s="42"/>
      <c r="VK7" s="42"/>
      <c r="VL7" s="42"/>
      <c r="VM7" s="42"/>
      <c r="VN7" s="42"/>
      <c r="VO7" s="42"/>
      <c r="VP7" s="42"/>
      <c r="VQ7" s="42"/>
      <c r="VR7" s="42"/>
      <c r="VS7" s="42"/>
      <c r="VT7" s="42"/>
      <c r="VU7" s="42"/>
      <c r="VV7" s="42"/>
      <c r="VW7" s="42"/>
      <c r="VX7" s="42"/>
      <c r="VY7" s="42"/>
      <c r="VZ7" s="42"/>
      <c r="WA7" s="42"/>
      <c r="WB7" s="42"/>
      <c r="WC7" s="42"/>
      <c r="WD7" s="42"/>
      <c r="WE7" s="42"/>
      <c r="WF7" s="42"/>
      <c r="WG7" s="42"/>
      <c r="WH7" s="42"/>
      <c r="WI7" s="42"/>
      <c r="WJ7" s="42"/>
      <c r="WK7" s="42"/>
      <c r="WL7" s="42"/>
      <c r="WM7" s="42"/>
      <c r="WN7" s="42"/>
      <c r="WO7" s="42"/>
      <c r="WP7" s="42"/>
      <c r="WQ7" s="42"/>
      <c r="WR7" s="42"/>
      <c r="WS7" s="42"/>
      <c r="WT7" s="42"/>
      <c r="WU7" s="42"/>
      <c r="WV7" s="42"/>
      <c r="WW7" s="42"/>
      <c r="WX7" s="42"/>
      <c r="WY7" s="42"/>
      <c r="WZ7" s="42"/>
      <c r="XA7" s="42"/>
      <c r="XB7" s="42"/>
      <c r="XC7" s="42"/>
      <c r="XD7" s="42"/>
      <c r="XE7" s="42"/>
      <c r="XF7" s="42"/>
      <c r="XG7" s="42"/>
      <c r="XH7" s="42"/>
      <c r="XI7" s="42"/>
      <c r="XJ7" s="42"/>
      <c r="XK7" s="42"/>
      <c r="XL7" s="42"/>
      <c r="XM7" s="42"/>
      <c r="XN7" s="42"/>
      <c r="XO7" s="42"/>
      <c r="XP7" s="42"/>
      <c r="XQ7" s="42"/>
      <c r="XR7" s="42"/>
      <c r="XS7" s="42"/>
      <c r="XT7" s="42"/>
      <c r="XU7" s="42"/>
      <c r="XV7" s="42"/>
      <c r="XW7" s="42"/>
      <c r="XX7" s="42"/>
      <c r="XY7" s="42"/>
      <c r="XZ7" s="42"/>
      <c r="YA7" s="42"/>
      <c r="YB7" s="42"/>
      <c r="YC7" s="42"/>
      <c r="YD7" s="42"/>
      <c r="YE7" s="42"/>
      <c r="YF7" s="42"/>
      <c r="YG7" s="42"/>
      <c r="YH7" s="42"/>
      <c r="YI7" s="42"/>
      <c r="YJ7" s="42"/>
      <c r="YK7" s="42"/>
      <c r="YL7" s="42"/>
      <c r="YM7" s="42"/>
      <c r="YN7" s="42"/>
      <c r="YO7" s="42"/>
      <c r="YP7" s="42"/>
      <c r="YQ7" s="42"/>
      <c r="YR7" s="42"/>
      <c r="YS7" s="42"/>
      <c r="YT7" s="42"/>
      <c r="YU7" s="42"/>
      <c r="YV7" s="42"/>
      <c r="YW7" s="42"/>
      <c r="YX7" s="42"/>
      <c r="YY7" s="42"/>
      <c r="YZ7" s="42"/>
      <c r="ZA7" s="42"/>
      <c r="ZB7" s="42"/>
      <c r="ZC7" s="42"/>
      <c r="ZD7" s="42"/>
      <c r="ZE7" s="42"/>
      <c r="ZF7" s="42"/>
      <c r="ZG7" s="42"/>
      <c r="ZH7" s="42"/>
      <c r="ZI7" s="42"/>
      <c r="ZJ7" s="42"/>
      <c r="ZK7" s="42"/>
      <c r="ZL7" s="42"/>
      <c r="ZM7" s="42"/>
      <c r="ZN7" s="42"/>
      <c r="ZO7" s="42"/>
      <c r="ZP7" s="42"/>
      <c r="ZQ7" s="42"/>
      <c r="ZR7" s="42"/>
      <c r="ZS7" s="42"/>
      <c r="ZT7" s="42"/>
      <c r="ZU7" s="42"/>
      <c r="ZV7" s="42"/>
      <c r="ZW7" s="42"/>
      <c r="ZX7" s="42"/>
      <c r="ZY7" s="42"/>
      <c r="ZZ7" s="42"/>
      <c r="AAA7" s="42"/>
      <c r="AAB7" s="42"/>
      <c r="AAC7" s="42"/>
      <c r="AAD7" s="42"/>
      <c r="AAE7" s="42"/>
      <c r="AAF7" s="42"/>
      <c r="AAG7" s="42"/>
      <c r="AAH7" s="42"/>
      <c r="AAI7" s="42"/>
      <c r="AAJ7" s="42"/>
      <c r="AAK7" s="42"/>
      <c r="AAL7" s="42"/>
      <c r="AAM7" s="42"/>
      <c r="AAN7" s="42"/>
      <c r="AAO7" s="42"/>
      <c r="AAP7" s="42"/>
      <c r="AAQ7" s="42"/>
      <c r="AAR7" s="42"/>
      <c r="AAS7" s="42"/>
      <c r="AAT7" s="42"/>
      <c r="AAU7" s="42"/>
      <c r="AAV7" s="42"/>
      <c r="AAW7" s="42"/>
      <c r="AAX7" s="42"/>
      <c r="AAY7" s="42"/>
      <c r="AAZ7" s="42"/>
      <c r="ABA7" s="42"/>
      <c r="ABB7" s="42"/>
      <c r="ABC7" s="42"/>
      <c r="ABD7" s="42"/>
      <c r="ABE7" s="42"/>
      <c r="ABF7" s="42"/>
      <c r="ABG7" s="42"/>
      <c r="ABH7" s="42"/>
      <c r="ABI7" s="42"/>
      <c r="ABJ7" s="42"/>
      <c r="ABK7" s="42"/>
      <c r="ABL7" s="42"/>
      <c r="ABM7" s="42"/>
      <c r="ABN7" s="42"/>
      <c r="ABO7" s="42"/>
      <c r="ABP7" s="42"/>
      <c r="ABQ7" s="42"/>
      <c r="ABR7" s="42"/>
      <c r="ABS7" s="42"/>
      <c r="ABT7" s="42"/>
      <c r="ABU7" s="42"/>
      <c r="ABV7" s="42"/>
      <c r="ABW7" s="42"/>
      <c r="ABX7" s="42"/>
      <c r="ABY7" s="42"/>
      <c r="ABZ7" s="42"/>
      <c r="ACA7" s="42"/>
      <c r="ACB7" s="42"/>
      <c r="ACC7" s="42"/>
      <c r="ACD7" s="42"/>
      <c r="ACE7" s="42"/>
      <c r="ACF7" s="42"/>
      <c r="ACG7" s="42"/>
      <c r="ACH7" s="42"/>
      <c r="ACI7" s="42"/>
      <c r="ACJ7" s="42"/>
      <c r="ACK7" s="42"/>
      <c r="ACL7" s="42"/>
      <c r="ACM7" s="42"/>
      <c r="ACN7" s="42"/>
      <c r="ACO7" s="42"/>
      <c r="ACP7" s="42"/>
      <c r="ACQ7" s="42"/>
      <c r="ACR7" s="42"/>
      <c r="ACS7" s="42"/>
      <c r="ACT7" s="42"/>
      <c r="ACU7" s="42"/>
      <c r="ACV7" s="42"/>
      <c r="ACW7" s="42"/>
      <c r="ACX7" s="42"/>
      <c r="ACY7" s="42"/>
      <c r="ACZ7" s="42"/>
      <c r="ADA7" s="42"/>
      <c r="ADB7" s="42"/>
      <c r="ADC7" s="42"/>
      <c r="ADD7" s="42"/>
      <c r="ADE7" s="42"/>
      <c r="ADF7" s="42"/>
      <c r="ADG7" s="42"/>
      <c r="ADH7" s="42"/>
      <c r="ADI7" s="42"/>
      <c r="ADJ7" s="42"/>
      <c r="ADK7" s="42"/>
      <c r="ADL7" s="42"/>
      <c r="ADM7" s="42"/>
      <c r="ADN7" s="42"/>
      <c r="ADO7" s="42"/>
      <c r="ADP7" s="42"/>
      <c r="ADQ7" s="42"/>
      <c r="ADR7" s="42"/>
      <c r="ADS7" s="42"/>
      <c r="ADT7" s="42"/>
      <c r="ADU7" s="42"/>
      <c r="ADV7" s="42"/>
      <c r="ADW7" s="42"/>
      <c r="ADX7" s="42"/>
      <c r="ADY7" s="42"/>
      <c r="ADZ7" s="42"/>
      <c r="AEA7" s="42"/>
      <c r="AEB7" s="42"/>
      <c r="AEC7" s="42"/>
      <c r="AED7" s="42"/>
      <c r="AEE7" s="42"/>
      <c r="AEF7" s="42"/>
      <c r="AEG7" s="42"/>
      <c r="AEH7" s="42"/>
      <c r="AEI7" s="42"/>
      <c r="AEJ7" s="42"/>
      <c r="AEK7" s="42"/>
      <c r="AEL7" s="42"/>
      <c r="AEM7" s="42"/>
      <c r="AEN7" s="42"/>
      <c r="AEO7" s="42"/>
      <c r="AEP7" s="42"/>
      <c r="AEQ7" s="42"/>
      <c r="AER7" s="42"/>
      <c r="AES7" s="42"/>
      <c r="AET7" s="42"/>
      <c r="AEU7" s="42"/>
      <c r="AEV7" s="42"/>
      <c r="AEW7" s="42"/>
      <c r="AEX7" s="42"/>
      <c r="AEY7" s="42"/>
      <c r="AEZ7" s="42"/>
      <c r="AFA7" s="42"/>
      <c r="AFB7" s="42"/>
      <c r="AFC7" s="42"/>
      <c r="AFD7" s="42"/>
      <c r="AFE7" s="42"/>
      <c r="AFF7" s="42"/>
      <c r="AFG7" s="42"/>
      <c r="AFH7" s="42"/>
      <c r="AFI7" s="42"/>
      <c r="AFJ7" s="42"/>
      <c r="AFK7" s="42"/>
      <c r="AFL7" s="42"/>
      <c r="AFM7" s="42"/>
      <c r="AFN7" s="42"/>
      <c r="AFO7" s="42"/>
      <c r="AFP7" s="42"/>
      <c r="AFQ7" s="42"/>
      <c r="AFR7" s="42"/>
      <c r="AFS7" s="42"/>
      <c r="AFT7" s="42"/>
      <c r="AFU7" s="42"/>
      <c r="AFV7" s="42"/>
      <c r="AFW7" s="42"/>
      <c r="AFX7" s="42"/>
      <c r="AFY7" s="42"/>
      <c r="AFZ7" s="42"/>
      <c r="AGA7" s="42"/>
      <c r="AGB7" s="42"/>
      <c r="AGC7" s="42"/>
      <c r="AGD7" s="42"/>
      <c r="AGE7" s="42"/>
      <c r="AGF7" s="42"/>
      <c r="AGG7" s="42"/>
      <c r="AGH7" s="42"/>
      <c r="AGI7" s="42"/>
      <c r="AGJ7" s="42"/>
      <c r="AGK7" s="42"/>
      <c r="AGL7" s="42"/>
      <c r="AGM7" s="42"/>
      <c r="AGN7" s="42"/>
      <c r="AGO7" s="42"/>
      <c r="AGP7" s="42"/>
      <c r="AGQ7" s="42"/>
      <c r="AGR7" s="42"/>
      <c r="AGS7" s="42"/>
      <c r="AGT7" s="42"/>
      <c r="AGU7" s="42"/>
      <c r="AGV7" s="42"/>
      <c r="AGW7" s="42"/>
      <c r="AGX7" s="42"/>
      <c r="AGY7" s="42"/>
      <c r="AGZ7" s="42"/>
      <c r="AHA7" s="42"/>
      <c r="AHB7" s="42"/>
      <c r="AHC7" s="42"/>
      <c r="AHD7" s="42"/>
      <c r="AHE7" s="42"/>
      <c r="AHF7" s="42"/>
      <c r="AHG7" s="42"/>
      <c r="AHH7" s="42"/>
      <c r="AHI7" s="42"/>
      <c r="AHJ7" s="42"/>
      <c r="AHK7" s="42"/>
      <c r="AHL7" s="42"/>
      <c r="AHM7" s="42"/>
      <c r="AHN7" s="42"/>
      <c r="AHO7" s="42"/>
      <c r="AHP7" s="42"/>
      <c r="AHQ7" s="42"/>
      <c r="AHR7" s="42"/>
      <c r="AHS7" s="42"/>
      <c r="AHT7" s="42"/>
      <c r="AHU7" s="42"/>
      <c r="AHV7" s="42"/>
      <c r="AHW7" s="42"/>
      <c r="AHX7" s="42"/>
      <c r="AHY7" s="42"/>
      <c r="AHZ7" s="42"/>
      <c r="AIA7" s="42"/>
      <c r="AIB7" s="42"/>
      <c r="AIC7" s="42"/>
      <c r="AID7" s="42"/>
      <c r="AIE7" s="42"/>
      <c r="AIF7" s="42"/>
      <c r="AIG7" s="42"/>
      <c r="AIH7" s="42"/>
      <c r="AII7" s="42"/>
      <c r="AIJ7" s="42"/>
      <c r="AIK7" s="42"/>
      <c r="AIL7" s="42"/>
      <c r="AIM7" s="42"/>
      <c r="AIN7" s="42"/>
      <c r="AIO7" s="42"/>
      <c r="AIP7" s="42"/>
      <c r="AIQ7" s="42"/>
      <c r="AIR7" s="42"/>
      <c r="AIS7" s="42"/>
      <c r="AIT7" s="42"/>
      <c r="AIU7" s="42"/>
      <c r="AIV7" s="42"/>
      <c r="AIW7" s="42"/>
      <c r="AIX7" s="42"/>
      <c r="AIY7" s="42"/>
      <c r="AIZ7" s="42"/>
      <c r="AJA7" s="42"/>
      <c r="AJB7" s="42"/>
      <c r="AJC7" s="42"/>
      <c r="AJD7" s="42"/>
      <c r="AJE7" s="42"/>
      <c r="AJF7" s="42"/>
      <c r="AJG7" s="42"/>
      <c r="AJH7" s="42"/>
      <c r="AJI7" s="42"/>
      <c r="AJJ7" s="42"/>
      <c r="AJK7" s="42"/>
      <c r="AJL7" s="42"/>
      <c r="AJM7" s="42"/>
      <c r="AJN7" s="42"/>
      <c r="AJO7" s="42"/>
      <c r="AJP7" s="42"/>
      <c r="AJQ7" s="42"/>
      <c r="AJR7" s="42"/>
      <c r="AJS7" s="42"/>
      <c r="AJT7" s="42"/>
      <c r="AJU7" s="42"/>
      <c r="AJV7" s="42"/>
      <c r="AJW7" s="42"/>
      <c r="AJX7" s="42"/>
      <c r="AJY7" s="42"/>
      <c r="AJZ7" s="42"/>
      <c r="AKA7" s="42"/>
      <c r="AKB7" s="42"/>
      <c r="AKC7" s="42"/>
      <c r="AKD7" s="42"/>
      <c r="AKE7" s="42"/>
      <c r="AKF7" s="42"/>
      <c r="AKG7" s="42"/>
      <c r="AKH7" s="42"/>
      <c r="AKI7" s="42"/>
      <c r="AKJ7" s="42"/>
      <c r="AKK7" s="42"/>
      <c r="AKL7" s="42"/>
      <c r="AKM7" s="42"/>
      <c r="AKN7" s="42"/>
      <c r="AKO7" s="42"/>
      <c r="AKP7" s="42"/>
      <c r="AKQ7" s="42"/>
      <c r="AKR7" s="42"/>
      <c r="AKS7" s="42"/>
      <c r="AKT7" s="42"/>
      <c r="AKU7" s="42"/>
      <c r="AKV7" s="42"/>
      <c r="AKW7" s="42"/>
      <c r="AKX7" s="42"/>
      <c r="AKY7" s="42"/>
      <c r="AKZ7" s="42"/>
      <c r="ALA7" s="42"/>
      <c r="ALB7" s="42"/>
      <c r="ALC7" s="42"/>
      <c r="ALD7" s="42"/>
      <c r="ALE7" s="42"/>
      <c r="ALF7" s="42"/>
      <c r="ALG7" s="42"/>
      <c r="ALH7" s="42"/>
      <c r="ALI7" s="42"/>
      <c r="ALJ7" s="42"/>
      <c r="ALK7" s="42"/>
      <c r="ALL7" s="42"/>
      <c r="ALM7" s="42"/>
      <c r="ALN7" s="42"/>
      <c r="ALO7" s="42"/>
      <c r="ALP7" s="42"/>
      <c r="ALQ7" s="42"/>
      <c r="ALR7" s="42"/>
      <c r="ALS7" s="42"/>
      <c r="ALT7" s="42"/>
      <c r="ALU7" s="42"/>
      <c r="ALV7" s="42"/>
      <c r="ALW7" s="42"/>
      <c r="ALX7" s="42"/>
      <c r="ALY7" s="42"/>
      <c r="ALZ7" s="42"/>
      <c r="AMA7" s="42"/>
      <c r="AMB7" s="42"/>
      <c r="AMC7" s="42"/>
      <c r="AMD7" s="42"/>
      <c r="AME7" s="42"/>
      <c r="AMF7" s="42"/>
      <c r="AMG7" s="42"/>
      <c r="AMH7" s="42"/>
      <c r="AMI7" s="42"/>
      <c r="AMJ7" s="42"/>
      <c r="AMK7" s="42"/>
      <c r="AML7" s="42"/>
      <c r="AMM7" s="42"/>
      <c r="AMN7" s="42"/>
      <c r="AMO7" s="42"/>
      <c r="AMP7" s="42"/>
      <c r="AMQ7" s="42"/>
      <c r="AMR7" s="42"/>
      <c r="AMS7" s="42"/>
      <c r="AMT7" s="42"/>
      <c r="AMU7" s="42"/>
      <c r="AMV7" s="42"/>
      <c r="AMW7" s="42"/>
      <c r="AMX7" s="42"/>
      <c r="AMY7" s="42"/>
      <c r="AMZ7" s="42"/>
      <c r="ANA7" s="42"/>
      <c r="ANB7" s="42"/>
      <c r="ANC7" s="42"/>
      <c r="AND7" s="42"/>
      <c r="ANE7" s="42"/>
      <c r="ANF7" s="42"/>
      <c r="ANG7" s="42"/>
      <c r="ANH7" s="42"/>
      <c r="ANI7" s="42"/>
      <c r="ANJ7" s="42"/>
      <c r="ANK7" s="42"/>
      <c r="ANL7" s="42"/>
      <c r="ANM7" s="42"/>
      <c r="ANN7" s="42"/>
      <c r="ANO7" s="42"/>
      <c r="ANP7" s="42"/>
      <c r="ANQ7" s="42"/>
      <c r="ANR7" s="42"/>
      <c r="ANS7" s="42"/>
      <c r="ANT7" s="42"/>
      <c r="ANU7" s="42"/>
      <c r="ANV7" s="42"/>
      <c r="ANW7" s="42"/>
      <c r="ANX7" s="42"/>
      <c r="ANY7" s="42"/>
      <c r="ANZ7" s="42"/>
      <c r="AOA7" s="42"/>
      <c r="AOB7" s="42"/>
      <c r="AOC7" s="42"/>
      <c r="AOD7" s="42"/>
      <c r="AOE7" s="42"/>
      <c r="AOF7" s="42"/>
      <c r="AOG7" s="42"/>
      <c r="AOH7" s="42"/>
      <c r="AOI7" s="42"/>
      <c r="AOJ7" s="42"/>
      <c r="AOK7" s="42"/>
      <c r="AOL7" s="42"/>
      <c r="AOM7" s="42"/>
      <c r="AON7" s="42"/>
      <c r="AOO7" s="42"/>
      <c r="AOP7" s="42"/>
      <c r="AOQ7" s="42"/>
      <c r="AOR7" s="42"/>
      <c r="AOS7" s="42"/>
      <c r="AOT7" s="42"/>
      <c r="AOU7" s="42"/>
      <c r="AOV7" s="42"/>
      <c r="AOW7" s="42"/>
      <c r="AOX7" s="42"/>
      <c r="AOY7" s="42"/>
      <c r="AOZ7" s="42"/>
      <c r="APA7" s="42"/>
      <c r="APB7" s="42"/>
      <c r="APC7" s="42"/>
      <c r="APD7" s="42"/>
      <c r="APE7" s="42"/>
      <c r="APF7" s="42"/>
      <c r="APG7" s="42"/>
      <c r="APH7" s="42"/>
      <c r="API7" s="42"/>
      <c r="APJ7" s="42"/>
      <c r="APK7" s="42"/>
      <c r="APL7" s="42"/>
      <c r="APM7" s="42"/>
      <c r="APN7" s="42"/>
      <c r="APO7" s="42"/>
      <c r="APP7" s="42"/>
      <c r="APQ7" s="42"/>
      <c r="APR7" s="42"/>
      <c r="APS7" s="42"/>
      <c r="APT7" s="42"/>
      <c r="APU7" s="42"/>
      <c r="APV7" s="42"/>
      <c r="APW7" s="42"/>
      <c r="APX7" s="42"/>
      <c r="APY7" s="42"/>
      <c r="APZ7" s="42"/>
      <c r="AQA7" s="42"/>
      <c r="AQB7" s="42"/>
      <c r="AQC7" s="42"/>
      <c r="AQD7" s="42"/>
      <c r="AQE7" s="42"/>
      <c r="AQF7" s="42"/>
      <c r="AQG7" s="42"/>
      <c r="AQH7" s="42"/>
      <c r="AQI7" s="42"/>
      <c r="AQJ7" s="42"/>
      <c r="AQK7" s="42"/>
      <c r="AQL7" s="42"/>
      <c r="AQM7" s="42"/>
      <c r="AQN7" s="42"/>
      <c r="AQO7" s="42"/>
      <c r="AQP7" s="42"/>
      <c r="AQQ7" s="42"/>
      <c r="AQR7" s="42"/>
      <c r="AQS7" s="42"/>
      <c r="AQT7" s="42"/>
      <c r="AQU7" s="42"/>
      <c r="AQV7" s="42"/>
      <c r="AQW7" s="42"/>
      <c r="AQX7" s="42"/>
      <c r="AQY7" s="42"/>
      <c r="AQZ7" s="42"/>
      <c r="ARA7" s="42"/>
      <c r="ARB7" s="42"/>
      <c r="ARC7" s="42"/>
      <c r="ARD7" s="42"/>
      <c r="ARE7" s="42"/>
      <c r="ARF7" s="42"/>
      <c r="ARG7" s="42"/>
      <c r="ARH7" s="42"/>
      <c r="ARI7" s="42"/>
      <c r="ARJ7" s="42"/>
      <c r="ARK7" s="42"/>
      <c r="ARL7" s="42"/>
      <c r="ARM7" s="42"/>
      <c r="ARN7" s="42"/>
      <c r="ARO7" s="42"/>
      <c r="ARP7" s="42"/>
      <c r="ARQ7" s="42"/>
      <c r="ARR7" s="42"/>
      <c r="ARS7" s="42"/>
      <c r="ART7" s="42"/>
      <c r="ARU7" s="42"/>
      <c r="ARV7" s="42"/>
      <c r="ARW7" s="42"/>
      <c r="ARX7" s="42"/>
      <c r="ARY7" s="42"/>
      <c r="ARZ7" s="42"/>
      <c r="ASA7" s="42"/>
      <c r="ASB7" s="42"/>
      <c r="ASC7" s="42"/>
      <c r="ASD7" s="42"/>
      <c r="ASE7" s="42"/>
      <c r="ASF7" s="42"/>
      <c r="ASG7" s="42"/>
      <c r="ASH7" s="42"/>
      <c r="ASI7" s="42"/>
      <c r="ASJ7" s="42"/>
      <c r="ASK7" s="42"/>
      <c r="ASL7" s="42"/>
      <c r="ASM7" s="42"/>
      <c r="ASN7" s="42"/>
      <c r="ASO7" s="42"/>
      <c r="ASP7" s="42"/>
      <c r="ASQ7" s="42"/>
      <c r="ASR7" s="42"/>
      <c r="ASS7" s="42"/>
      <c r="AST7" s="42"/>
      <c r="ASU7" s="42"/>
      <c r="ASV7" s="42"/>
      <c r="ASW7" s="42"/>
      <c r="ASX7" s="42"/>
      <c r="ASY7" s="42"/>
      <c r="ASZ7" s="42"/>
      <c r="ATA7" s="42"/>
      <c r="ATB7" s="42"/>
      <c r="ATC7" s="42"/>
      <c r="ATD7" s="42"/>
      <c r="ATE7" s="42"/>
      <c r="ATF7" s="42"/>
      <c r="ATG7" s="42"/>
      <c r="ATH7" s="42"/>
      <c r="ATI7" s="42"/>
      <c r="ATJ7" s="42"/>
      <c r="ATK7" s="42"/>
      <c r="ATL7" s="42"/>
      <c r="ATM7" s="42"/>
      <c r="ATN7" s="42"/>
      <c r="ATO7" s="42"/>
      <c r="ATP7" s="42"/>
      <c r="ATQ7" s="42"/>
      <c r="ATR7" s="42"/>
      <c r="ATS7" s="42"/>
      <c r="ATT7" s="42"/>
      <c r="ATU7" s="42"/>
      <c r="ATV7" s="42"/>
      <c r="ATW7" s="42"/>
      <c r="ATX7" s="42"/>
      <c r="ATY7" s="42"/>
      <c r="ATZ7" s="42"/>
      <c r="AUA7" s="42"/>
      <c r="AUB7" s="42"/>
      <c r="AUC7" s="42"/>
      <c r="AUD7" s="42"/>
      <c r="AUE7" s="42"/>
      <c r="AUF7" s="42"/>
      <c r="AUG7" s="42"/>
      <c r="AUH7" s="42"/>
      <c r="AUI7" s="42"/>
      <c r="AUJ7" s="42"/>
      <c r="AUK7" s="42"/>
      <c r="AUL7" s="42"/>
      <c r="AUM7" s="42"/>
      <c r="AUN7" s="42"/>
      <c r="AUO7" s="42"/>
      <c r="AUP7" s="42"/>
      <c r="AUQ7" s="42"/>
      <c r="AUR7" s="42"/>
      <c r="AUS7" s="42"/>
      <c r="AUT7" s="42"/>
      <c r="AUU7" s="42"/>
      <c r="AUV7" s="42"/>
      <c r="AUW7" s="42"/>
      <c r="AUX7" s="42"/>
      <c r="AUY7" s="42"/>
      <c r="AUZ7" s="42"/>
      <c r="AVA7" s="42"/>
      <c r="AVB7" s="42"/>
      <c r="AVC7" s="42"/>
      <c r="AVD7" s="42"/>
      <c r="AVE7" s="42"/>
      <c r="AVF7" s="42"/>
      <c r="AVG7" s="42"/>
      <c r="AVH7" s="42"/>
      <c r="AVI7" s="42"/>
      <c r="AVJ7" s="42"/>
      <c r="AVK7" s="42"/>
      <c r="AVL7" s="42"/>
      <c r="AVM7" s="42"/>
      <c r="AVN7" s="42"/>
      <c r="AVO7" s="42"/>
      <c r="AVP7" s="42"/>
      <c r="AVQ7" s="42"/>
      <c r="AVR7" s="42"/>
      <c r="AVS7" s="42"/>
      <c r="AVT7" s="42"/>
      <c r="AVU7" s="42"/>
      <c r="AVV7" s="42"/>
      <c r="AVW7" s="42"/>
      <c r="AVX7" s="42"/>
      <c r="AVY7" s="42"/>
      <c r="AVZ7" s="42"/>
      <c r="AWA7" s="42"/>
      <c r="AWB7" s="42"/>
      <c r="AWC7" s="42"/>
      <c r="AWD7" s="42"/>
      <c r="AWE7" s="42"/>
      <c r="AWF7" s="42"/>
      <c r="AWG7" s="42"/>
      <c r="AWH7" s="42"/>
      <c r="AWI7" s="42"/>
      <c r="AWJ7" s="42"/>
      <c r="AWK7" s="42"/>
      <c r="AWL7" s="42"/>
      <c r="AWM7" s="42"/>
      <c r="AWN7" s="42"/>
      <c r="AWO7" s="42"/>
      <c r="AWP7" s="42"/>
      <c r="AWQ7" s="42"/>
      <c r="AWR7" s="42"/>
      <c r="AWS7" s="42"/>
      <c r="AWT7" s="42"/>
      <c r="AWU7" s="42"/>
      <c r="AWV7" s="42"/>
      <c r="AWW7" s="42"/>
      <c r="AWX7" s="42"/>
      <c r="AWY7" s="42"/>
      <c r="AWZ7" s="42"/>
      <c r="AXA7" s="42"/>
      <c r="AXB7" s="42"/>
      <c r="AXC7" s="42"/>
      <c r="AXD7" s="42"/>
      <c r="AXE7" s="42"/>
      <c r="AXF7" s="42"/>
      <c r="AXG7" s="42"/>
      <c r="AXH7" s="42"/>
      <c r="AXI7" s="42"/>
      <c r="AXJ7" s="42"/>
      <c r="AXK7" s="42"/>
      <c r="AXL7" s="42"/>
      <c r="AXM7" s="42"/>
      <c r="AXN7" s="42"/>
      <c r="AXO7" s="42"/>
      <c r="AXP7" s="42"/>
      <c r="AXQ7" s="42"/>
      <c r="AXR7" s="42"/>
      <c r="AXS7" s="42"/>
      <c r="AXT7" s="42"/>
      <c r="AXU7" s="42"/>
      <c r="AXV7" s="42"/>
      <c r="AXW7" s="42"/>
      <c r="AXX7" s="42"/>
      <c r="AXY7" s="42"/>
      <c r="AXZ7" s="42"/>
      <c r="AYA7" s="42"/>
      <c r="AYB7" s="42"/>
      <c r="AYC7" s="42"/>
      <c r="AYD7" s="42"/>
      <c r="AYE7" s="42"/>
      <c r="AYF7" s="42"/>
      <c r="AYG7" s="42"/>
      <c r="AYH7" s="42"/>
      <c r="AYI7" s="42"/>
      <c r="AYJ7" s="42"/>
      <c r="AYK7" s="42"/>
      <c r="AYL7" s="42"/>
      <c r="AYM7" s="42"/>
      <c r="AYN7" s="42"/>
      <c r="AYO7" s="42"/>
      <c r="AYP7" s="42"/>
      <c r="AYQ7" s="42"/>
      <c r="AYR7" s="42"/>
      <c r="AYS7" s="42"/>
      <c r="AYT7" s="42"/>
      <c r="AYU7" s="42"/>
      <c r="AYV7" s="42"/>
      <c r="AYW7" s="42"/>
      <c r="AYX7" s="42"/>
      <c r="AYY7" s="42"/>
      <c r="AYZ7" s="42"/>
      <c r="AZA7" s="42"/>
      <c r="AZB7" s="42"/>
      <c r="AZC7" s="42"/>
      <c r="AZD7" s="42"/>
      <c r="AZE7" s="42"/>
      <c r="AZF7" s="42"/>
      <c r="AZG7" s="42"/>
      <c r="AZH7" s="42"/>
      <c r="AZI7" s="42"/>
      <c r="AZJ7" s="42"/>
      <c r="AZK7" s="42"/>
      <c r="AZL7" s="42"/>
      <c r="AZM7" s="42"/>
      <c r="AZN7" s="42"/>
      <c r="AZO7" s="42"/>
      <c r="AZP7" s="42"/>
      <c r="AZQ7" s="42"/>
      <c r="AZR7" s="42"/>
      <c r="AZS7" s="42"/>
      <c r="AZT7" s="42"/>
      <c r="AZU7" s="42"/>
      <c r="AZV7" s="42"/>
      <c r="AZW7" s="42"/>
      <c r="AZX7" s="42"/>
      <c r="AZY7" s="42"/>
      <c r="AZZ7" s="42"/>
      <c r="BAA7" s="42"/>
      <c r="BAB7" s="42"/>
      <c r="BAC7" s="42"/>
      <c r="BAD7" s="42"/>
      <c r="BAE7" s="42"/>
      <c r="BAF7" s="42"/>
      <c r="BAG7" s="42"/>
      <c r="BAH7" s="42"/>
      <c r="BAI7" s="42"/>
      <c r="BAJ7" s="42"/>
      <c r="BAK7" s="42"/>
      <c r="BAL7" s="42"/>
      <c r="BAM7" s="42"/>
      <c r="BAN7" s="42"/>
      <c r="BAO7" s="42"/>
      <c r="BAP7" s="42"/>
      <c r="BAQ7" s="42"/>
      <c r="BAR7" s="42"/>
      <c r="BAS7" s="42"/>
      <c r="BAT7" s="42"/>
      <c r="BAU7" s="42"/>
      <c r="BAV7" s="42"/>
      <c r="BAW7" s="42"/>
      <c r="BAX7" s="42"/>
      <c r="BAY7" s="42"/>
      <c r="BAZ7" s="42"/>
      <c r="BBA7" s="42"/>
      <c r="BBB7" s="42"/>
      <c r="BBC7" s="42"/>
      <c r="BBD7" s="42"/>
      <c r="BBE7" s="42"/>
      <c r="BBF7" s="42"/>
      <c r="BBG7" s="42"/>
      <c r="BBH7" s="42"/>
      <c r="BBI7" s="42"/>
      <c r="BBJ7" s="42"/>
      <c r="BBK7" s="42"/>
      <c r="BBL7" s="42"/>
      <c r="BBM7" s="42"/>
      <c r="BBN7" s="42"/>
      <c r="BBO7" s="42"/>
      <c r="BBP7" s="42"/>
      <c r="BBQ7" s="42"/>
      <c r="BBR7" s="42"/>
      <c r="BBS7" s="42"/>
      <c r="BBT7" s="42"/>
      <c r="BBU7" s="42"/>
      <c r="BBV7" s="42"/>
      <c r="BBW7" s="42"/>
      <c r="BBX7" s="42"/>
      <c r="BBY7" s="42"/>
      <c r="BBZ7" s="42"/>
      <c r="BCA7" s="42"/>
      <c r="BCB7" s="42"/>
      <c r="BCC7" s="42"/>
      <c r="BCD7" s="42"/>
      <c r="BCE7" s="42"/>
      <c r="BCF7" s="42"/>
      <c r="BCG7" s="42"/>
      <c r="BCH7" s="42"/>
      <c r="BCI7" s="42"/>
      <c r="BCJ7" s="42"/>
      <c r="BCK7" s="42"/>
      <c r="BCL7" s="42"/>
      <c r="BCM7" s="42"/>
      <c r="BCN7" s="42"/>
      <c r="BCO7" s="42"/>
      <c r="BCP7" s="42"/>
      <c r="BCQ7" s="42"/>
      <c r="BCR7" s="42"/>
      <c r="BCS7" s="42"/>
      <c r="BCT7" s="42"/>
      <c r="BCU7" s="42"/>
      <c r="BCV7" s="42"/>
      <c r="BCW7" s="42"/>
      <c r="BCX7" s="42"/>
    </row>
    <row r="8" spans="1:1454" s="52" customFormat="1" x14ac:dyDescent="0.25">
      <c r="A8" s="80">
        <v>1</v>
      </c>
      <c r="B8" s="76" t="str">
        <f>线路!B5</f>
        <v>IP3</v>
      </c>
      <c r="C8" s="81">
        <f>线路!E5</f>
        <v>451431.47340000002</v>
      </c>
      <c r="D8" s="81">
        <f>线路!F5</f>
        <v>3048038.4252999998</v>
      </c>
      <c r="E8" s="85">
        <f>线路!G5</f>
        <v>13</v>
      </c>
      <c r="F8" s="85">
        <f>线路!H5</f>
        <v>33.454999999999998</v>
      </c>
      <c r="G8" s="86">
        <f>线路!L5</f>
        <v>138.93913035469956</v>
      </c>
      <c r="H8" s="86">
        <f>线路!M5</f>
        <v>142.73447971285512</v>
      </c>
      <c r="I8" s="86">
        <f>线路!N5</f>
        <v>146.52982907101068</v>
      </c>
      <c r="J8" s="83">
        <f t="shared" si="0"/>
        <v>7.5906987163111239</v>
      </c>
      <c r="K8" s="83">
        <f t="shared" si="13"/>
        <v>34.138844272723119</v>
      </c>
      <c r="L8" s="83">
        <f>IF(A8=1,断面设计!$D$7,IF(A8=2,断面设计!$D$8,IF(A8=3,断面设计!$D$9,IF(A8=4,断面设计!$D$10,IF(A8=5,断面设计!$D$11,IF(A8=6,断面设计!$D$12,IF(A8=7,断面设计!$D$13,IF(A8=8,断面设计!$D$14,IF(A8=9,断面设计!$D$15,IF(A8=10,断面设计!$D$16))))))))))</f>
        <v>1.5</v>
      </c>
      <c r="M8" s="83">
        <f t="shared" si="14"/>
        <v>1.2</v>
      </c>
      <c r="N8" s="110">
        <f t="shared" si="1"/>
        <v>1.4999999999999999E-2</v>
      </c>
      <c r="O8" s="83">
        <f>IF(A8=1,断面设计!$J$7,IF(A8=2,断面设计!$J$8,IF(A8=3,断面设计!$J$9,IF(A8=4,断面设计!$J$10,IF(A8=5,断面设计!$J$11,IF(A8=6,断面设计!$J$12,IF(A8=7,断面设计!$J$13,IF(A8=8,断面设计!$J$14,IF(A8=9,断面设计!$J$15,IF(A8=10,断面设计!$J$16))))))))))</f>
        <v>5000</v>
      </c>
      <c r="P8" s="111">
        <f>IF(A8=1,断面设计!$K$7,IF(A8=2,断面设计!$K$8,IF(A8=3,断面设计!$K$9,IF(A8=4,断面设计!$K$10,IF(A8=5,断面设计!$K$11,IF(A8=6,断面设计!$K$12,IF(A8=7,断面设计!$K$13,IF(A8=8,断面设计!$K$14,IF(A8=9,断面设计!$K$15,IF(A8=10,断面设计!$K$16))))))))))</f>
        <v>4.6000062290098596</v>
      </c>
      <c r="Q8" s="110">
        <f>IF(A8=1,断面设计!$C$7,IF(A8=2,断面设计!$C$8,IF(A8=3,断面设计!$C$9,IF(A8=4,断面设计!$C$10,IF(A8=5,断面设计!$C$11,IF(A8=6,断面设计!$C$12,IF(A8=7,断面设计!$C$13,IF(A8=8,断面设计!$C$14,IF(A8=9,断面设计!$C$15,IF(A8=10,断面设计!$C$16))))))))))</f>
        <v>1.5999458363997501</v>
      </c>
      <c r="R8" s="83">
        <f>IF(A8=1,断面设计!$F$7,IF(A8=2,断面设计!$F$8,IF(A8=3,断面设计!$F$9,IF(A8=4,断面设计!$F$10,IF(A8=5,断面设计!$F$11,IF(A8=6,断面设计!$F$12,IF(A8=7,断面设计!$F$13,IF(A8=8,断面设计!$F$14,IF(A8=9,断面设计!$F$15,IF(A8=10,断面设计!$F$16))))))))))</f>
        <v>5.4717107698950995</v>
      </c>
      <c r="S8" s="83">
        <f>IF(A8=1,断面设计!$G$7,IF(A8=2,断面设计!$G$8,IF(A8=3,断面设计!$G$9,IF(A8=4,断面设计!$G$10,IF(A8=5,断面设计!$G$11,IF(A8=6,断面设计!$G$12,IF(A8=7,断面设计!$G$13,IF(A8=8,断面设计!$G$14,IF(A8=9,断面设计!$G$15,IF(A8=10,断面设计!$G$16))))))))))</f>
        <v>6.4983905800837398</v>
      </c>
      <c r="T8" s="83">
        <f t="shared" si="15"/>
        <v>0.84201014119785178</v>
      </c>
      <c r="U8" s="83">
        <f t="shared" si="16"/>
        <v>0.84068884896451646</v>
      </c>
      <c r="V8" s="123">
        <f t="shared" si="17"/>
        <v>8.0460909998026936E-4</v>
      </c>
      <c r="W8" s="110"/>
      <c r="X8" s="110">
        <f>IF(AN8=0,IF(AN7=2,(H8-H7-AE7)/O8,(H8-H7)/O8),IF(AN8=1,IF(AN7=2,IF(AE8&lt;9,(H8-H7-AE8-AE7)/断面设计!$J$7,(H8-H7-AE8-AE7)/断面设计!$J$7),(H8-H7-AE8)/O7),(H8-H7)/O8))</f>
        <v>6.827768854544624E-3</v>
      </c>
      <c r="Y8" s="133">
        <v>0</v>
      </c>
      <c r="Z8" s="134">
        <f t="shared" si="26"/>
        <v>0</v>
      </c>
      <c r="AA8" s="83"/>
      <c r="AB8" s="133">
        <f t="shared" si="4"/>
        <v>1.5999458363997501</v>
      </c>
      <c r="AC8" s="110">
        <f t="shared" si="5"/>
        <v>7.6323779545248932E-3</v>
      </c>
      <c r="AD8" s="110">
        <f t="shared" si="18"/>
        <v>2392.2386471863697</v>
      </c>
      <c r="AE8" s="82">
        <f t="shared" si="19"/>
        <v>0</v>
      </c>
      <c r="AF8" s="110" t="str">
        <f t="shared" si="6"/>
        <v xml:space="preserve"> </v>
      </c>
      <c r="AG8" s="110" t="str">
        <f>IF(AE8=0," ",AF8-断面设计!$C$7)</f>
        <v xml:space="preserve"> </v>
      </c>
      <c r="AH8" s="110">
        <f t="shared" si="7"/>
        <v>2392.2402108653409</v>
      </c>
      <c r="AI8" s="110">
        <f t="shared" si="8"/>
        <v>2390.640265028941</v>
      </c>
      <c r="AJ8" s="110">
        <f t="shared" si="9"/>
        <v>2392.2378881164982</v>
      </c>
      <c r="AK8" s="110">
        <f t="shared" si="10"/>
        <v>2390.6379422800983</v>
      </c>
      <c r="AL8" s="110">
        <f t="shared" si="11"/>
        <v>2392.2390494909196</v>
      </c>
      <c r="AM8" s="110">
        <f t="shared" si="12"/>
        <v>2390.6391036545197</v>
      </c>
      <c r="AN8" s="80"/>
      <c r="AO8" s="80">
        <v>0</v>
      </c>
      <c r="AP8" s="161"/>
      <c r="AQ8" s="162" t="s">
        <v>192</v>
      </c>
      <c r="AR8" s="162" t="s">
        <v>708</v>
      </c>
      <c r="AS8" s="162" t="s">
        <v>709</v>
      </c>
      <c r="AT8" s="42"/>
      <c r="AU8" s="64" t="str">
        <f t="shared" si="20"/>
        <v>142.734479712855,2390.63910365452</v>
      </c>
      <c r="AV8" s="64" t="str">
        <f t="shared" si="21"/>
        <v>142.734479712855,2392.23904949092</v>
      </c>
      <c r="AW8" s="169" t="str">
        <f t="shared" si="22"/>
        <v xml:space="preserve">pl 142.734479712855,0 142.734479712855,76 </v>
      </c>
      <c r="AX8" s="161" t="str">
        <f t="shared" si="23"/>
        <v>-text 142.734479712855,48 3.5 90 2390.639</v>
      </c>
      <c r="AY8" s="161" t="str">
        <f t="shared" si="24"/>
        <v>-text 142.734479712855,62.5 3.5 90 2392.239</v>
      </c>
      <c r="AZ8" s="42" t="str">
        <f t="shared" si="25"/>
        <v>-text 142.734479712855,23.5 3.5 90 马分0+142.73</v>
      </c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  <c r="FI8" s="42"/>
      <c r="FJ8" s="42"/>
      <c r="FK8" s="42"/>
      <c r="FL8" s="42"/>
      <c r="FM8" s="42"/>
      <c r="FN8" s="42"/>
      <c r="FO8" s="42"/>
      <c r="FP8" s="42"/>
      <c r="FQ8" s="42"/>
      <c r="FR8" s="42"/>
      <c r="FS8" s="42"/>
      <c r="FT8" s="42"/>
      <c r="FU8" s="42"/>
      <c r="FV8" s="42"/>
      <c r="FW8" s="42"/>
      <c r="FX8" s="42"/>
      <c r="FY8" s="42"/>
      <c r="FZ8" s="42"/>
      <c r="GA8" s="42"/>
      <c r="GB8" s="42"/>
      <c r="GC8" s="42"/>
      <c r="GD8" s="42"/>
      <c r="GE8" s="42"/>
      <c r="GF8" s="42"/>
      <c r="GG8" s="42"/>
      <c r="GH8" s="42"/>
      <c r="GI8" s="42"/>
      <c r="GJ8" s="42"/>
      <c r="GK8" s="42"/>
      <c r="GL8" s="42"/>
      <c r="GM8" s="42"/>
      <c r="GN8" s="42"/>
      <c r="GO8" s="42"/>
      <c r="GP8" s="42"/>
      <c r="GQ8" s="42"/>
      <c r="GR8" s="42"/>
      <c r="GS8" s="42"/>
      <c r="GT8" s="42"/>
      <c r="GU8" s="42"/>
      <c r="GV8" s="42"/>
      <c r="GW8" s="42"/>
      <c r="GX8" s="42"/>
      <c r="GY8" s="42"/>
      <c r="GZ8" s="42"/>
      <c r="HA8" s="42"/>
      <c r="HB8" s="42"/>
      <c r="HC8" s="42"/>
      <c r="HD8" s="42"/>
      <c r="HE8" s="42"/>
      <c r="HF8" s="42"/>
      <c r="HG8" s="42"/>
      <c r="HH8" s="42"/>
      <c r="HI8" s="42"/>
      <c r="HJ8" s="42"/>
      <c r="HK8" s="42"/>
      <c r="HL8" s="42"/>
      <c r="HM8" s="42"/>
      <c r="HN8" s="42"/>
      <c r="HO8" s="42"/>
      <c r="HP8" s="42"/>
      <c r="HQ8" s="42"/>
      <c r="HR8" s="42"/>
      <c r="HS8" s="42"/>
      <c r="HT8" s="42"/>
      <c r="HU8" s="42"/>
      <c r="HV8" s="42"/>
      <c r="HW8" s="42"/>
      <c r="HX8" s="42"/>
      <c r="HY8" s="42"/>
      <c r="HZ8" s="42"/>
      <c r="IA8" s="42"/>
      <c r="IB8" s="42"/>
      <c r="IC8" s="42"/>
      <c r="ID8" s="42"/>
      <c r="IE8" s="42"/>
      <c r="IF8" s="42"/>
      <c r="IG8" s="42"/>
      <c r="IH8" s="42"/>
      <c r="II8" s="42"/>
      <c r="IJ8" s="42"/>
      <c r="IK8" s="42"/>
      <c r="IL8" s="42"/>
      <c r="IM8" s="42"/>
      <c r="IN8" s="42"/>
      <c r="IO8" s="42"/>
      <c r="IP8" s="42"/>
      <c r="IQ8" s="42"/>
      <c r="IR8" s="42"/>
      <c r="IS8" s="42"/>
      <c r="IT8" s="42"/>
      <c r="IU8" s="42"/>
      <c r="IV8" s="42"/>
      <c r="IW8" s="42"/>
      <c r="IX8" s="42"/>
      <c r="IY8" s="42"/>
      <c r="IZ8" s="42"/>
      <c r="JA8" s="42"/>
      <c r="JB8" s="42"/>
      <c r="JC8" s="42"/>
      <c r="JD8" s="42"/>
      <c r="JE8" s="42"/>
      <c r="JF8" s="42"/>
      <c r="JG8" s="42"/>
      <c r="JH8" s="42"/>
      <c r="JI8" s="42"/>
      <c r="JJ8" s="42"/>
      <c r="JK8" s="42"/>
      <c r="JL8" s="42"/>
      <c r="JM8" s="42"/>
      <c r="JN8" s="42"/>
      <c r="JO8" s="42"/>
      <c r="JP8" s="42"/>
      <c r="JQ8" s="42"/>
      <c r="JR8" s="42"/>
      <c r="JS8" s="42"/>
      <c r="JT8" s="42"/>
      <c r="JU8" s="42"/>
      <c r="JV8" s="42"/>
      <c r="JW8" s="42"/>
      <c r="JX8" s="42"/>
      <c r="JY8" s="42"/>
      <c r="JZ8" s="42"/>
      <c r="KA8" s="42"/>
      <c r="KB8" s="42"/>
      <c r="KC8" s="42"/>
      <c r="KD8" s="42"/>
      <c r="KE8" s="42"/>
      <c r="KF8" s="42"/>
      <c r="KG8" s="42"/>
      <c r="KH8" s="42"/>
      <c r="KI8" s="42"/>
      <c r="KJ8" s="42"/>
      <c r="KK8" s="42"/>
      <c r="KL8" s="42"/>
      <c r="KM8" s="42"/>
      <c r="KN8" s="42"/>
      <c r="KO8" s="42"/>
      <c r="KP8" s="42"/>
      <c r="KQ8" s="42"/>
      <c r="KR8" s="42"/>
      <c r="KS8" s="42"/>
      <c r="KT8" s="42"/>
      <c r="KU8" s="42"/>
      <c r="KV8" s="42"/>
      <c r="KW8" s="42"/>
      <c r="KX8" s="42"/>
      <c r="KY8" s="42"/>
      <c r="KZ8" s="42"/>
      <c r="LA8" s="42"/>
      <c r="LB8" s="42"/>
      <c r="LC8" s="42"/>
      <c r="LD8" s="42"/>
      <c r="LE8" s="42"/>
      <c r="LF8" s="42"/>
      <c r="LG8" s="42"/>
      <c r="LH8" s="42"/>
      <c r="LI8" s="42"/>
      <c r="LJ8" s="42"/>
      <c r="LK8" s="42"/>
      <c r="LL8" s="42"/>
      <c r="LM8" s="42"/>
      <c r="LN8" s="42"/>
      <c r="LO8" s="42"/>
      <c r="LP8" s="42"/>
      <c r="LQ8" s="42"/>
      <c r="LR8" s="42"/>
      <c r="LS8" s="42"/>
      <c r="LT8" s="42"/>
      <c r="LU8" s="42"/>
      <c r="LV8" s="42"/>
      <c r="LW8" s="42"/>
      <c r="LX8" s="42"/>
      <c r="LY8" s="42"/>
      <c r="LZ8" s="42"/>
      <c r="MA8" s="42"/>
      <c r="MB8" s="42"/>
      <c r="MC8" s="42"/>
      <c r="MD8" s="42"/>
      <c r="ME8" s="42"/>
      <c r="MF8" s="42"/>
      <c r="MG8" s="42"/>
      <c r="MH8" s="42"/>
      <c r="MI8" s="42"/>
      <c r="MJ8" s="42"/>
      <c r="MK8" s="42"/>
      <c r="ML8" s="42"/>
      <c r="MM8" s="42"/>
      <c r="MN8" s="42"/>
      <c r="MO8" s="42"/>
      <c r="MP8" s="42"/>
      <c r="MQ8" s="42"/>
      <c r="MR8" s="42"/>
      <c r="MS8" s="42"/>
      <c r="MT8" s="42"/>
      <c r="MU8" s="42"/>
      <c r="MV8" s="42"/>
      <c r="MW8" s="42"/>
      <c r="MX8" s="42"/>
      <c r="MY8" s="42"/>
      <c r="MZ8" s="42"/>
      <c r="NA8" s="42"/>
      <c r="NB8" s="42"/>
      <c r="NC8" s="42"/>
      <c r="ND8" s="42"/>
      <c r="NE8" s="42"/>
      <c r="NF8" s="42"/>
      <c r="NG8" s="42"/>
      <c r="NH8" s="42"/>
      <c r="NI8" s="42"/>
      <c r="NJ8" s="42"/>
      <c r="NK8" s="42"/>
      <c r="NL8" s="42"/>
      <c r="NM8" s="42"/>
      <c r="NN8" s="42"/>
      <c r="NO8" s="42"/>
      <c r="NP8" s="42"/>
      <c r="NQ8" s="42"/>
      <c r="NR8" s="42"/>
      <c r="NS8" s="42"/>
      <c r="NT8" s="42"/>
      <c r="NU8" s="42"/>
      <c r="NV8" s="42"/>
      <c r="NW8" s="42"/>
      <c r="NX8" s="42"/>
      <c r="NY8" s="42"/>
      <c r="NZ8" s="42"/>
      <c r="OA8" s="42"/>
      <c r="OB8" s="42"/>
      <c r="OC8" s="42"/>
      <c r="OD8" s="42"/>
      <c r="OE8" s="42"/>
      <c r="OF8" s="42"/>
      <c r="OG8" s="42"/>
      <c r="OH8" s="42"/>
      <c r="OI8" s="42"/>
      <c r="OJ8" s="42"/>
      <c r="OK8" s="42"/>
      <c r="OL8" s="42"/>
      <c r="OM8" s="42"/>
      <c r="ON8" s="42"/>
      <c r="OO8" s="42"/>
      <c r="OP8" s="42"/>
      <c r="OQ8" s="42"/>
      <c r="OR8" s="42"/>
      <c r="OS8" s="42"/>
      <c r="OT8" s="42"/>
      <c r="OU8" s="42"/>
      <c r="OV8" s="42"/>
      <c r="OW8" s="42"/>
      <c r="OX8" s="42"/>
      <c r="OY8" s="42"/>
      <c r="OZ8" s="42"/>
      <c r="PA8" s="42"/>
      <c r="PB8" s="42"/>
      <c r="PC8" s="42"/>
      <c r="PD8" s="42"/>
      <c r="PE8" s="42"/>
      <c r="PF8" s="42"/>
      <c r="PG8" s="42"/>
      <c r="PH8" s="42"/>
      <c r="PI8" s="42"/>
      <c r="PJ8" s="42"/>
      <c r="PK8" s="42"/>
      <c r="PL8" s="42"/>
      <c r="PM8" s="42"/>
      <c r="PN8" s="42"/>
      <c r="PO8" s="42"/>
      <c r="PP8" s="42"/>
      <c r="PQ8" s="42"/>
      <c r="PR8" s="42"/>
      <c r="PS8" s="42"/>
      <c r="PT8" s="42"/>
      <c r="PU8" s="42"/>
      <c r="PV8" s="42"/>
      <c r="PW8" s="42"/>
      <c r="PX8" s="42"/>
      <c r="PY8" s="42"/>
      <c r="PZ8" s="42"/>
      <c r="QA8" s="42"/>
      <c r="QB8" s="42"/>
      <c r="QC8" s="42"/>
      <c r="QD8" s="42"/>
      <c r="QE8" s="42"/>
      <c r="QF8" s="42"/>
      <c r="QG8" s="42"/>
      <c r="QH8" s="42"/>
      <c r="QI8" s="42"/>
      <c r="QJ8" s="42"/>
      <c r="QK8" s="42"/>
      <c r="QL8" s="42"/>
      <c r="QM8" s="42"/>
      <c r="QN8" s="42"/>
      <c r="QO8" s="42"/>
      <c r="QP8" s="42"/>
      <c r="QQ8" s="42"/>
      <c r="QR8" s="42"/>
      <c r="QS8" s="42"/>
      <c r="QT8" s="42"/>
      <c r="QU8" s="42"/>
      <c r="QV8" s="42"/>
      <c r="QW8" s="42"/>
      <c r="QX8" s="42"/>
      <c r="QY8" s="42"/>
      <c r="QZ8" s="42"/>
      <c r="RA8" s="42"/>
      <c r="RB8" s="42"/>
      <c r="RC8" s="42"/>
      <c r="RD8" s="42"/>
      <c r="RE8" s="42"/>
      <c r="RF8" s="42"/>
      <c r="RG8" s="42"/>
      <c r="RH8" s="42"/>
      <c r="RI8" s="42"/>
      <c r="RJ8" s="42"/>
      <c r="RK8" s="42"/>
      <c r="RL8" s="42"/>
      <c r="RM8" s="42"/>
      <c r="RN8" s="42"/>
      <c r="RO8" s="42"/>
      <c r="RP8" s="42"/>
      <c r="RQ8" s="42"/>
      <c r="RR8" s="42"/>
      <c r="RS8" s="42"/>
      <c r="RT8" s="42"/>
      <c r="RU8" s="42"/>
      <c r="RV8" s="42"/>
      <c r="RW8" s="42"/>
      <c r="RX8" s="42"/>
      <c r="RY8" s="42"/>
      <c r="RZ8" s="42"/>
      <c r="SA8" s="42"/>
      <c r="SB8" s="42"/>
      <c r="SC8" s="42"/>
      <c r="SD8" s="42"/>
      <c r="SE8" s="42"/>
      <c r="SF8" s="42"/>
      <c r="SG8" s="42"/>
      <c r="SH8" s="42"/>
      <c r="SI8" s="42"/>
      <c r="SJ8" s="42"/>
      <c r="SK8" s="42"/>
      <c r="SL8" s="42"/>
      <c r="SM8" s="42"/>
      <c r="SN8" s="42"/>
      <c r="SO8" s="42"/>
      <c r="SP8" s="42"/>
      <c r="SQ8" s="42"/>
      <c r="SR8" s="42"/>
      <c r="SS8" s="42"/>
      <c r="ST8" s="42"/>
      <c r="SU8" s="42"/>
      <c r="SV8" s="42"/>
      <c r="SW8" s="42"/>
      <c r="SX8" s="42"/>
      <c r="SY8" s="42"/>
      <c r="SZ8" s="42"/>
      <c r="TA8" s="42"/>
      <c r="TB8" s="42"/>
      <c r="TC8" s="42"/>
      <c r="TD8" s="42"/>
      <c r="TE8" s="42"/>
      <c r="TF8" s="42"/>
      <c r="TG8" s="42"/>
      <c r="TH8" s="42"/>
      <c r="TI8" s="42"/>
      <c r="TJ8" s="42"/>
      <c r="TK8" s="42"/>
      <c r="TL8" s="42"/>
      <c r="TM8" s="42"/>
      <c r="TN8" s="42"/>
      <c r="TO8" s="42"/>
      <c r="TP8" s="42"/>
      <c r="TQ8" s="42"/>
      <c r="TR8" s="42"/>
      <c r="TS8" s="42"/>
      <c r="TT8" s="42"/>
      <c r="TU8" s="42"/>
      <c r="TV8" s="42"/>
      <c r="TW8" s="42"/>
      <c r="TX8" s="42"/>
      <c r="TY8" s="42"/>
      <c r="TZ8" s="42"/>
      <c r="UA8" s="42"/>
      <c r="UB8" s="42"/>
      <c r="UC8" s="42"/>
      <c r="UD8" s="42"/>
      <c r="UE8" s="42"/>
      <c r="UF8" s="42"/>
      <c r="UG8" s="42"/>
      <c r="UH8" s="42"/>
      <c r="UI8" s="42"/>
      <c r="UJ8" s="42"/>
      <c r="UK8" s="42"/>
      <c r="UL8" s="42"/>
      <c r="UM8" s="42"/>
      <c r="UN8" s="42"/>
      <c r="UO8" s="42"/>
      <c r="UP8" s="42"/>
      <c r="UQ8" s="42"/>
      <c r="UR8" s="42"/>
      <c r="US8" s="42"/>
      <c r="UT8" s="42"/>
      <c r="UU8" s="42"/>
      <c r="UV8" s="42"/>
      <c r="UW8" s="42"/>
      <c r="UX8" s="42"/>
      <c r="UY8" s="42"/>
      <c r="UZ8" s="42"/>
      <c r="VA8" s="42"/>
      <c r="VB8" s="42"/>
      <c r="VC8" s="42"/>
      <c r="VD8" s="42"/>
      <c r="VE8" s="42"/>
      <c r="VF8" s="42"/>
      <c r="VG8" s="42"/>
      <c r="VH8" s="42"/>
      <c r="VI8" s="42"/>
      <c r="VJ8" s="42"/>
      <c r="VK8" s="42"/>
      <c r="VL8" s="42"/>
      <c r="VM8" s="42"/>
      <c r="VN8" s="42"/>
      <c r="VO8" s="42"/>
      <c r="VP8" s="42"/>
      <c r="VQ8" s="42"/>
      <c r="VR8" s="42"/>
      <c r="VS8" s="42"/>
      <c r="VT8" s="42"/>
      <c r="VU8" s="42"/>
      <c r="VV8" s="42"/>
      <c r="VW8" s="42"/>
      <c r="VX8" s="42"/>
      <c r="VY8" s="42"/>
      <c r="VZ8" s="42"/>
      <c r="WA8" s="42"/>
      <c r="WB8" s="42"/>
      <c r="WC8" s="42"/>
      <c r="WD8" s="42"/>
      <c r="WE8" s="42"/>
      <c r="WF8" s="42"/>
      <c r="WG8" s="42"/>
      <c r="WH8" s="42"/>
      <c r="WI8" s="42"/>
      <c r="WJ8" s="42"/>
      <c r="WK8" s="42"/>
      <c r="WL8" s="42"/>
      <c r="WM8" s="42"/>
      <c r="WN8" s="42"/>
      <c r="WO8" s="42"/>
      <c r="WP8" s="42"/>
      <c r="WQ8" s="42"/>
      <c r="WR8" s="42"/>
      <c r="WS8" s="42"/>
      <c r="WT8" s="42"/>
      <c r="WU8" s="42"/>
      <c r="WV8" s="42"/>
      <c r="WW8" s="42"/>
      <c r="WX8" s="42"/>
      <c r="WY8" s="42"/>
      <c r="WZ8" s="42"/>
      <c r="XA8" s="42"/>
      <c r="XB8" s="42"/>
      <c r="XC8" s="42"/>
      <c r="XD8" s="42"/>
      <c r="XE8" s="42"/>
      <c r="XF8" s="42"/>
      <c r="XG8" s="42"/>
      <c r="XH8" s="42"/>
      <c r="XI8" s="42"/>
      <c r="XJ8" s="42"/>
      <c r="XK8" s="42"/>
      <c r="XL8" s="42"/>
      <c r="XM8" s="42"/>
      <c r="XN8" s="42"/>
      <c r="XO8" s="42"/>
      <c r="XP8" s="42"/>
      <c r="XQ8" s="42"/>
      <c r="XR8" s="42"/>
      <c r="XS8" s="42"/>
      <c r="XT8" s="42"/>
      <c r="XU8" s="42"/>
      <c r="XV8" s="42"/>
      <c r="XW8" s="42"/>
      <c r="XX8" s="42"/>
      <c r="XY8" s="42"/>
      <c r="XZ8" s="42"/>
      <c r="YA8" s="42"/>
      <c r="YB8" s="42"/>
      <c r="YC8" s="42"/>
      <c r="YD8" s="42"/>
      <c r="YE8" s="42"/>
      <c r="YF8" s="42"/>
      <c r="YG8" s="42"/>
      <c r="YH8" s="42"/>
      <c r="YI8" s="42"/>
      <c r="YJ8" s="42"/>
      <c r="YK8" s="42"/>
      <c r="YL8" s="42"/>
      <c r="YM8" s="42"/>
      <c r="YN8" s="42"/>
      <c r="YO8" s="42"/>
      <c r="YP8" s="42"/>
      <c r="YQ8" s="42"/>
      <c r="YR8" s="42"/>
      <c r="YS8" s="42"/>
      <c r="YT8" s="42"/>
      <c r="YU8" s="42"/>
      <c r="YV8" s="42"/>
      <c r="YW8" s="42"/>
      <c r="YX8" s="42"/>
      <c r="YY8" s="42"/>
      <c r="YZ8" s="42"/>
      <c r="ZA8" s="42"/>
      <c r="ZB8" s="42"/>
      <c r="ZC8" s="42"/>
      <c r="ZD8" s="42"/>
      <c r="ZE8" s="42"/>
      <c r="ZF8" s="42"/>
      <c r="ZG8" s="42"/>
      <c r="ZH8" s="42"/>
      <c r="ZI8" s="42"/>
      <c r="ZJ8" s="42"/>
      <c r="ZK8" s="42"/>
      <c r="ZL8" s="42"/>
      <c r="ZM8" s="42"/>
      <c r="ZN8" s="42"/>
      <c r="ZO8" s="42"/>
      <c r="ZP8" s="42"/>
      <c r="ZQ8" s="42"/>
      <c r="ZR8" s="42"/>
      <c r="ZS8" s="42"/>
      <c r="ZT8" s="42"/>
      <c r="ZU8" s="42"/>
      <c r="ZV8" s="42"/>
      <c r="ZW8" s="42"/>
      <c r="ZX8" s="42"/>
      <c r="ZY8" s="42"/>
      <c r="ZZ8" s="42"/>
      <c r="AAA8" s="42"/>
      <c r="AAB8" s="42"/>
      <c r="AAC8" s="42"/>
      <c r="AAD8" s="42"/>
      <c r="AAE8" s="42"/>
      <c r="AAF8" s="42"/>
      <c r="AAG8" s="42"/>
      <c r="AAH8" s="42"/>
      <c r="AAI8" s="42"/>
      <c r="AAJ8" s="42"/>
      <c r="AAK8" s="42"/>
      <c r="AAL8" s="42"/>
      <c r="AAM8" s="42"/>
      <c r="AAN8" s="42"/>
      <c r="AAO8" s="42"/>
      <c r="AAP8" s="42"/>
      <c r="AAQ8" s="42"/>
      <c r="AAR8" s="42"/>
      <c r="AAS8" s="42"/>
      <c r="AAT8" s="42"/>
      <c r="AAU8" s="42"/>
      <c r="AAV8" s="42"/>
      <c r="AAW8" s="42"/>
      <c r="AAX8" s="42"/>
      <c r="AAY8" s="42"/>
      <c r="AAZ8" s="42"/>
      <c r="ABA8" s="42"/>
      <c r="ABB8" s="42"/>
      <c r="ABC8" s="42"/>
      <c r="ABD8" s="42"/>
      <c r="ABE8" s="42"/>
      <c r="ABF8" s="42"/>
      <c r="ABG8" s="42"/>
      <c r="ABH8" s="42"/>
      <c r="ABI8" s="42"/>
      <c r="ABJ8" s="42"/>
      <c r="ABK8" s="42"/>
      <c r="ABL8" s="42"/>
      <c r="ABM8" s="42"/>
      <c r="ABN8" s="42"/>
      <c r="ABO8" s="42"/>
      <c r="ABP8" s="42"/>
      <c r="ABQ8" s="42"/>
      <c r="ABR8" s="42"/>
      <c r="ABS8" s="42"/>
      <c r="ABT8" s="42"/>
      <c r="ABU8" s="42"/>
      <c r="ABV8" s="42"/>
      <c r="ABW8" s="42"/>
      <c r="ABX8" s="42"/>
      <c r="ABY8" s="42"/>
      <c r="ABZ8" s="42"/>
      <c r="ACA8" s="42"/>
      <c r="ACB8" s="42"/>
      <c r="ACC8" s="42"/>
      <c r="ACD8" s="42"/>
      <c r="ACE8" s="42"/>
      <c r="ACF8" s="42"/>
      <c r="ACG8" s="42"/>
      <c r="ACH8" s="42"/>
      <c r="ACI8" s="42"/>
      <c r="ACJ8" s="42"/>
      <c r="ACK8" s="42"/>
      <c r="ACL8" s="42"/>
      <c r="ACM8" s="42"/>
      <c r="ACN8" s="42"/>
      <c r="ACO8" s="42"/>
      <c r="ACP8" s="42"/>
      <c r="ACQ8" s="42"/>
      <c r="ACR8" s="42"/>
      <c r="ACS8" s="42"/>
      <c r="ACT8" s="42"/>
      <c r="ACU8" s="42"/>
      <c r="ACV8" s="42"/>
      <c r="ACW8" s="42"/>
      <c r="ACX8" s="42"/>
      <c r="ACY8" s="42"/>
      <c r="ACZ8" s="42"/>
      <c r="ADA8" s="42"/>
      <c r="ADB8" s="42"/>
      <c r="ADC8" s="42"/>
      <c r="ADD8" s="42"/>
      <c r="ADE8" s="42"/>
      <c r="ADF8" s="42"/>
      <c r="ADG8" s="42"/>
      <c r="ADH8" s="42"/>
      <c r="ADI8" s="42"/>
      <c r="ADJ8" s="42"/>
      <c r="ADK8" s="42"/>
      <c r="ADL8" s="42"/>
      <c r="ADM8" s="42"/>
      <c r="ADN8" s="42"/>
      <c r="ADO8" s="42"/>
      <c r="ADP8" s="42"/>
      <c r="ADQ8" s="42"/>
      <c r="ADR8" s="42"/>
      <c r="ADS8" s="42"/>
      <c r="ADT8" s="42"/>
      <c r="ADU8" s="42"/>
      <c r="ADV8" s="42"/>
      <c r="ADW8" s="42"/>
      <c r="ADX8" s="42"/>
      <c r="ADY8" s="42"/>
      <c r="ADZ8" s="42"/>
      <c r="AEA8" s="42"/>
      <c r="AEB8" s="42"/>
      <c r="AEC8" s="42"/>
      <c r="AED8" s="42"/>
      <c r="AEE8" s="42"/>
      <c r="AEF8" s="42"/>
      <c r="AEG8" s="42"/>
      <c r="AEH8" s="42"/>
      <c r="AEI8" s="42"/>
      <c r="AEJ8" s="42"/>
      <c r="AEK8" s="42"/>
      <c r="AEL8" s="42"/>
      <c r="AEM8" s="42"/>
      <c r="AEN8" s="42"/>
      <c r="AEO8" s="42"/>
      <c r="AEP8" s="42"/>
      <c r="AEQ8" s="42"/>
      <c r="AER8" s="42"/>
      <c r="AES8" s="42"/>
      <c r="AET8" s="42"/>
      <c r="AEU8" s="42"/>
      <c r="AEV8" s="42"/>
      <c r="AEW8" s="42"/>
      <c r="AEX8" s="42"/>
      <c r="AEY8" s="42"/>
      <c r="AEZ8" s="42"/>
      <c r="AFA8" s="42"/>
      <c r="AFB8" s="42"/>
      <c r="AFC8" s="42"/>
      <c r="AFD8" s="42"/>
      <c r="AFE8" s="42"/>
      <c r="AFF8" s="42"/>
      <c r="AFG8" s="42"/>
      <c r="AFH8" s="42"/>
      <c r="AFI8" s="42"/>
      <c r="AFJ8" s="42"/>
      <c r="AFK8" s="42"/>
      <c r="AFL8" s="42"/>
      <c r="AFM8" s="42"/>
      <c r="AFN8" s="42"/>
      <c r="AFO8" s="42"/>
      <c r="AFP8" s="42"/>
      <c r="AFQ8" s="42"/>
      <c r="AFR8" s="42"/>
      <c r="AFS8" s="42"/>
      <c r="AFT8" s="42"/>
      <c r="AFU8" s="42"/>
      <c r="AFV8" s="42"/>
      <c r="AFW8" s="42"/>
      <c r="AFX8" s="42"/>
      <c r="AFY8" s="42"/>
      <c r="AFZ8" s="42"/>
      <c r="AGA8" s="42"/>
      <c r="AGB8" s="42"/>
      <c r="AGC8" s="42"/>
      <c r="AGD8" s="42"/>
      <c r="AGE8" s="42"/>
      <c r="AGF8" s="42"/>
      <c r="AGG8" s="42"/>
      <c r="AGH8" s="42"/>
      <c r="AGI8" s="42"/>
      <c r="AGJ8" s="42"/>
      <c r="AGK8" s="42"/>
      <c r="AGL8" s="42"/>
      <c r="AGM8" s="42"/>
      <c r="AGN8" s="42"/>
      <c r="AGO8" s="42"/>
      <c r="AGP8" s="42"/>
      <c r="AGQ8" s="42"/>
      <c r="AGR8" s="42"/>
      <c r="AGS8" s="42"/>
      <c r="AGT8" s="42"/>
      <c r="AGU8" s="42"/>
      <c r="AGV8" s="42"/>
      <c r="AGW8" s="42"/>
      <c r="AGX8" s="42"/>
      <c r="AGY8" s="42"/>
      <c r="AGZ8" s="42"/>
      <c r="AHA8" s="42"/>
      <c r="AHB8" s="42"/>
      <c r="AHC8" s="42"/>
      <c r="AHD8" s="42"/>
      <c r="AHE8" s="42"/>
      <c r="AHF8" s="42"/>
      <c r="AHG8" s="42"/>
      <c r="AHH8" s="42"/>
      <c r="AHI8" s="42"/>
      <c r="AHJ8" s="42"/>
      <c r="AHK8" s="42"/>
      <c r="AHL8" s="42"/>
      <c r="AHM8" s="42"/>
      <c r="AHN8" s="42"/>
      <c r="AHO8" s="42"/>
      <c r="AHP8" s="42"/>
      <c r="AHQ8" s="42"/>
      <c r="AHR8" s="42"/>
      <c r="AHS8" s="42"/>
      <c r="AHT8" s="42"/>
      <c r="AHU8" s="42"/>
      <c r="AHV8" s="42"/>
      <c r="AHW8" s="42"/>
      <c r="AHX8" s="42"/>
      <c r="AHY8" s="42"/>
      <c r="AHZ8" s="42"/>
      <c r="AIA8" s="42"/>
      <c r="AIB8" s="42"/>
      <c r="AIC8" s="42"/>
      <c r="AID8" s="42"/>
      <c r="AIE8" s="42"/>
      <c r="AIF8" s="42"/>
      <c r="AIG8" s="42"/>
      <c r="AIH8" s="42"/>
      <c r="AII8" s="42"/>
      <c r="AIJ8" s="42"/>
      <c r="AIK8" s="42"/>
      <c r="AIL8" s="42"/>
      <c r="AIM8" s="42"/>
      <c r="AIN8" s="42"/>
      <c r="AIO8" s="42"/>
      <c r="AIP8" s="42"/>
      <c r="AIQ8" s="42"/>
      <c r="AIR8" s="42"/>
      <c r="AIS8" s="42"/>
      <c r="AIT8" s="42"/>
      <c r="AIU8" s="42"/>
      <c r="AIV8" s="42"/>
      <c r="AIW8" s="42"/>
      <c r="AIX8" s="42"/>
      <c r="AIY8" s="42"/>
      <c r="AIZ8" s="42"/>
      <c r="AJA8" s="42"/>
      <c r="AJB8" s="42"/>
      <c r="AJC8" s="42"/>
      <c r="AJD8" s="42"/>
      <c r="AJE8" s="42"/>
      <c r="AJF8" s="42"/>
      <c r="AJG8" s="42"/>
      <c r="AJH8" s="42"/>
      <c r="AJI8" s="42"/>
      <c r="AJJ8" s="42"/>
      <c r="AJK8" s="42"/>
      <c r="AJL8" s="42"/>
      <c r="AJM8" s="42"/>
      <c r="AJN8" s="42"/>
      <c r="AJO8" s="42"/>
      <c r="AJP8" s="42"/>
      <c r="AJQ8" s="42"/>
      <c r="AJR8" s="42"/>
      <c r="AJS8" s="42"/>
      <c r="AJT8" s="42"/>
      <c r="AJU8" s="42"/>
      <c r="AJV8" s="42"/>
      <c r="AJW8" s="42"/>
      <c r="AJX8" s="42"/>
      <c r="AJY8" s="42"/>
      <c r="AJZ8" s="42"/>
      <c r="AKA8" s="42"/>
      <c r="AKB8" s="42"/>
      <c r="AKC8" s="42"/>
      <c r="AKD8" s="42"/>
      <c r="AKE8" s="42"/>
      <c r="AKF8" s="42"/>
      <c r="AKG8" s="42"/>
      <c r="AKH8" s="42"/>
      <c r="AKI8" s="42"/>
      <c r="AKJ8" s="42"/>
      <c r="AKK8" s="42"/>
      <c r="AKL8" s="42"/>
      <c r="AKM8" s="42"/>
      <c r="AKN8" s="42"/>
      <c r="AKO8" s="42"/>
      <c r="AKP8" s="42"/>
      <c r="AKQ8" s="42"/>
      <c r="AKR8" s="42"/>
      <c r="AKS8" s="42"/>
      <c r="AKT8" s="42"/>
      <c r="AKU8" s="42"/>
      <c r="AKV8" s="42"/>
      <c r="AKW8" s="42"/>
      <c r="AKX8" s="42"/>
      <c r="AKY8" s="42"/>
      <c r="AKZ8" s="42"/>
      <c r="ALA8" s="42"/>
      <c r="ALB8" s="42"/>
      <c r="ALC8" s="42"/>
      <c r="ALD8" s="42"/>
      <c r="ALE8" s="42"/>
      <c r="ALF8" s="42"/>
      <c r="ALG8" s="42"/>
      <c r="ALH8" s="42"/>
      <c r="ALI8" s="42"/>
      <c r="ALJ8" s="42"/>
      <c r="ALK8" s="42"/>
      <c r="ALL8" s="42"/>
      <c r="ALM8" s="42"/>
      <c r="ALN8" s="42"/>
      <c r="ALO8" s="42"/>
      <c r="ALP8" s="42"/>
      <c r="ALQ8" s="42"/>
      <c r="ALR8" s="42"/>
      <c r="ALS8" s="42"/>
      <c r="ALT8" s="42"/>
      <c r="ALU8" s="42"/>
      <c r="ALV8" s="42"/>
      <c r="ALW8" s="42"/>
      <c r="ALX8" s="42"/>
      <c r="ALY8" s="42"/>
      <c r="ALZ8" s="42"/>
      <c r="AMA8" s="42"/>
      <c r="AMB8" s="42"/>
      <c r="AMC8" s="42"/>
      <c r="AMD8" s="42"/>
      <c r="AME8" s="42"/>
      <c r="AMF8" s="42"/>
      <c r="AMG8" s="42"/>
      <c r="AMH8" s="42"/>
      <c r="AMI8" s="42"/>
      <c r="AMJ8" s="42"/>
      <c r="AMK8" s="42"/>
      <c r="AML8" s="42"/>
      <c r="AMM8" s="42"/>
      <c r="AMN8" s="42"/>
      <c r="AMO8" s="42"/>
      <c r="AMP8" s="42"/>
      <c r="AMQ8" s="42"/>
      <c r="AMR8" s="42"/>
      <c r="AMS8" s="42"/>
      <c r="AMT8" s="42"/>
      <c r="AMU8" s="42"/>
      <c r="AMV8" s="42"/>
      <c r="AMW8" s="42"/>
      <c r="AMX8" s="42"/>
      <c r="AMY8" s="42"/>
      <c r="AMZ8" s="42"/>
      <c r="ANA8" s="42"/>
      <c r="ANB8" s="42"/>
      <c r="ANC8" s="42"/>
      <c r="AND8" s="42"/>
      <c r="ANE8" s="42"/>
      <c r="ANF8" s="42"/>
      <c r="ANG8" s="42"/>
      <c r="ANH8" s="42"/>
      <c r="ANI8" s="42"/>
      <c r="ANJ8" s="42"/>
      <c r="ANK8" s="42"/>
      <c r="ANL8" s="42"/>
      <c r="ANM8" s="42"/>
      <c r="ANN8" s="42"/>
      <c r="ANO8" s="42"/>
      <c r="ANP8" s="42"/>
      <c r="ANQ8" s="42"/>
      <c r="ANR8" s="42"/>
      <c r="ANS8" s="42"/>
      <c r="ANT8" s="42"/>
      <c r="ANU8" s="42"/>
      <c r="ANV8" s="42"/>
      <c r="ANW8" s="42"/>
      <c r="ANX8" s="42"/>
      <c r="ANY8" s="42"/>
      <c r="ANZ8" s="42"/>
      <c r="AOA8" s="42"/>
      <c r="AOB8" s="42"/>
      <c r="AOC8" s="42"/>
      <c r="AOD8" s="42"/>
      <c r="AOE8" s="42"/>
      <c r="AOF8" s="42"/>
      <c r="AOG8" s="42"/>
      <c r="AOH8" s="42"/>
      <c r="AOI8" s="42"/>
      <c r="AOJ8" s="42"/>
      <c r="AOK8" s="42"/>
      <c r="AOL8" s="42"/>
      <c r="AOM8" s="42"/>
      <c r="AON8" s="42"/>
      <c r="AOO8" s="42"/>
      <c r="AOP8" s="42"/>
      <c r="AOQ8" s="42"/>
      <c r="AOR8" s="42"/>
      <c r="AOS8" s="42"/>
      <c r="AOT8" s="42"/>
      <c r="AOU8" s="42"/>
      <c r="AOV8" s="42"/>
      <c r="AOW8" s="42"/>
      <c r="AOX8" s="42"/>
      <c r="AOY8" s="42"/>
      <c r="AOZ8" s="42"/>
      <c r="APA8" s="42"/>
      <c r="APB8" s="42"/>
      <c r="APC8" s="42"/>
      <c r="APD8" s="42"/>
      <c r="APE8" s="42"/>
      <c r="APF8" s="42"/>
      <c r="APG8" s="42"/>
      <c r="APH8" s="42"/>
      <c r="API8" s="42"/>
      <c r="APJ8" s="42"/>
      <c r="APK8" s="42"/>
      <c r="APL8" s="42"/>
      <c r="APM8" s="42"/>
      <c r="APN8" s="42"/>
      <c r="APO8" s="42"/>
      <c r="APP8" s="42"/>
      <c r="APQ8" s="42"/>
      <c r="APR8" s="42"/>
      <c r="APS8" s="42"/>
      <c r="APT8" s="42"/>
      <c r="APU8" s="42"/>
      <c r="APV8" s="42"/>
      <c r="APW8" s="42"/>
      <c r="APX8" s="42"/>
      <c r="APY8" s="42"/>
      <c r="APZ8" s="42"/>
      <c r="AQA8" s="42"/>
      <c r="AQB8" s="42"/>
      <c r="AQC8" s="42"/>
      <c r="AQD8" s="42"/>
      <c r="AQE8" s="42"/>
      <c r="AQF8" s="42"/>
      <c r="AQG8" s="42"/>
      <c r="AQH8" s="42"/>
      <c r="AQI8" s="42"/>
      <c r="AQJ8" s="42"/>
      <c r="AQK8" s="42"/>
      <c r="AQL8" s="42"/>
      <c r="AQM8" s="42"/>
      <c r="AQN8" s="42"/>
      <c r="AQO8" s="42"/>
      <c r="AQP8" s="42"/>
      <c r="AQQ8" s="42"/>
      <c r="AQR8" s="42"/>
      <c r="AQS8" s="42"/>
      <c r="AQT8" s="42"/>
      <c r="AQU8" s="42"/>
      <c r="AQV8" s="42"/>
      <c r="AQW8" s="42"/>
      <c r="AQX8" s="42"/>
      <c r="AQY8" s="42"/>
      <c r="AQZ8" s="42"/>
      <c r="ARA8" s="42"/>
      <c r="ARB8" s="42"/>
      <c r="ARC8" s="42"/>
      <c r="ARD8" s="42"/>
      <c r="ARE8" s="42"/>
      <c r="ARF8" s="42"/>
      <c r="ARG8" s="42"/>
      <c r="ARH8" s="42"/>
      <c r="ARI8" s="42"/>
      <c r="ARJ8" s="42"/>
      <c r="ARK8" s="42"/>
      <c r="ARL8" s="42"/>
      <c r="ARM8" s="42"/>
      <c r="ARN8" s="42"/>
      <c r="ARO8" s="42"/>
      <c r="ARP8" s="42"/>
      <c r="ARQ8" s="42"/>
      <c r="ARR8" s="42"/>
      <c r="ARS8" s="42"/>
      <c r="ART8" s="42"/>
      <c r="ARU8" s="42"/>
      <c r="ARV8" s="42"/>
      <c r="ARW8" s="42"/>
      <c r="ARX8" s="42"/>
      <c r="ARY8" s="42"/>
      <c r="ARZ8" s="42"/>
      <c r="ASA8" s="42"/>
      <c r="ASB8" s="42"/>
      <c r="ASC8" s="42"/>
      <c r="ASD8" s="42"/>
      <c r="ASE8" s="42"/>
      <c r="ASF8" s="42"/>
      <c r="ASG8" s="42"/>
      <c r="ASH8" s="42"/>
      <c r="ASI8" s="42"/>
      <c r="ASJ8" s="42"/>
      <c r="ASK8" s="42"/>
      <c r="ASL8" s="42"/>
      <c r="ASM8" s="42"/>
      <c r="ASN8" s="42"/>
      <c r="ASO8" s="42"/>
      <c r="ASP8" s="42"/>
      <c r="ASQ8" s="42"/>
      <c r="ASR8" s="42"/>
      <c r="ASS8" s="42"/>
      <c r="AST8" s="42"/>
      <c r="ASU8" s="42"/>
      <c r="ASV8" s="42"/>
      <c r="ASW8" s="42"/>
      <c r="ASX8" s="42"/>
      <c r="ASY8" s="42"/>
      <c r="ASZ8" s="42"/>
      <c r="ATA8" s="42"/>
      <c r="ATB8" s="42"/>
      <c r="ATC8" s="42"/>
      <c r="ATD8" s="42"/>
      <c r="ATE8" s="42"/>
      <c r="ATF8" s="42"/>
      <c r="ATG8" s="42"/>
      <c r="ATH8" s="42"/>
      <c r="ATI8" s="42"/>
      <c r="ATJ8" s="42"/>
      <c r="ATK8" s="42"/>
      <c r="ATL8" s="42"/>
      <c r="ATM8" s="42"/>
      <c r="ATN8" s="42"/>
      <c r="ATO8" s="42"/>
      <c r="ATP8" s="42"/>
      <c r="ATQ8" s="42"/>
      <c r="ATR8" s="42"/>
      <c r="ATS8" s="42"/>
      <c r="ATT8" s="42"/>
      <c r="ATU8" s="42"/>
      <c r="ATV8" s="42"/>
      <c r="ATW8" s="42"/>
      <c r="ATX8" s="42"/>
      <c r="ATY8" s="42"/>
      <c r="ATZ8" s="42"/>
      <c r="AUA8" s="42"/>
      <c r="AUB8" s="42"/>
      <c r="AUC8" s="42"/>
      <c r="AUD8" s="42"/>
      <c r="AUE8" s="42"/>
      <c r="AUF8" s="42"/>
      <c r="AUG8" s="42"/>
      <c r="AUH8" s="42"/>
      <c r="AUI8" s="42"/>
      <c r="AUJ8" s="42"/>
      <c r="AUK8" s="42"/>
      <c r="AUL8" s="42"/>
      <c r="AUM8" s="42"/>
      <c r="AUN8" s="42"/>
      <c r="AUO8" s="42"/>
      <c r="AUP8" s="42"/>
      <c r="AUQ8" s="42"/>
      <c r="AUR8" s="42"/>
      <c r="AUS8" s="42"/>
      <c r="AUT8" s="42"/>
      <c r="AUU8" s="42"/>
      <c r="AUV8" s="42"/>
      <c r="AUW8" s="42"/>
      <c r="AUX8" s="42"/>
      <c r="AUY8" s="42"/>
      <c r="AUZ8" s="42"/>
      <c r="AVA8" s="42"/>
      <c r="AVB8" s="42"/>
      <c r="AVC8" s="42"/>
      <c r="AVD8" s="42"/>
      <c r="AVE8" s="42"/>
      <c r="AVF8" s="42"/>
      <c r="AVG8" s="42"/>
      <c r="AVH8" s="42"/>
      <c r="AVI8" s="42"/>
      <c r="AVJ8" s="42"/>
      <c r="AVK8" s="42"/>
      <c r="AVL8" s="42"/>
      <c r="AVM8" s="42"/>
      <c r="AVN8" s="42"/>
      <c r="AVO8" s="42"/>
      <c r="AVP8" s="42"/>
      <c r="AVQ8" s="42"/>
      <c r="AVR8" s="42"/>
      <c r="AVS8" s="42"/>
      <c r="AVT8" s="42"/>
      <c r="AVU8" s="42"/>
      <c r="AVV8" s="42"/>
      <c r="AVW8" s="42"/>
      <c r="AVX8" s="42"/>
      <c r="AVY8" s="42"/>
      <c r="AVZ8" s="42"/>
      <c r="AWA8" s="42"/>
      <c r="AWB8" s="42"/>
      <c r="AWC8" s="42"/>
      <c r="AWD8" s="42"/>
      <c r="AWE8" s="42"/>
      <c r="AWF8" s="42"/>
      <c r="AWG8" s="42"/>
      <c r="AWH8" s="42"/>
      <c r="AWI8" s="42"/>
      <c r="AWJ8" s="42"/>
      <c r="AWK8" s="42"/>
      <c r="AWL8" s="42"/>
      <c r="AWM8" s="42"/>
      <c r="AWN8" s="42"/>
      <c r="AWO8" s="42"/>
      <c r="AWP8" s="42"/>
      <c r="AWQ8" s="42"/>
      <c r="AWR8" s="42"/>
      <c r="AWS8" s="42"/>
      <c r="AWT8" s="42"/>
      <c r="AWU8" s="42"/>
      <c r="AWV8" s="42"/>
      <c r="AWW8" s="42"/>
      <c r="AWX8" s="42"/>
      <c r="AWY8" s="42"/>
      <c r="AWZ8" s="42"/>
      <c r="AXA8" s="42"/>
      <c r="AXB8" s="42"/>
      <c r="AXC8" s="42"/>
      <c r="AXD8" s="42"/>
      <c r="AXE8" s="42"/>
      <c r="AXF8" s="42"/>
      <c r="AXG8" s="42"/>
      <c r="AXH8" s="42"/>
      <c r="AXI8" s="42"/>
      <c r="AXJ8" s="42"/>
      <c r="AXK8" s="42"/>
      <c r="AXL8" s="42"/>
      <c r="AXM8" s="42"/>
      <c r="AXN8" s="42"/>
      <c r="AXO8" s="42"/>
      <c r="AXP8" s="42"/>
      <c r="AXQ8" s="42"/>
      <c r="AXR8" s="42"/>
      <c r="AXS8" s="42"/>
      <c r="AXT8" s="42"/>
      <c r="AXU8" s="42"/>
      <c r="AXV8" s="42"/>
      <c r="AXW8" s="42"/>
      <c r="AXX8" s="42"/>
      <c r="AXY8" s="42"/>
      <c r="AXZ8" s="42"/>
      <c r="AYA8" s="42"/>
      <c r="AYB8" s="42"/>
      <c r="AYC8" s="42"/>
      <c r="AYD8" s="42"/>
      <c r="AYE8" s="42"/>
      <c r="AYF8" s="42"/>
      <c r="AYG8" s="42"/>
      <c r="AYH8" s="42"/>
      <c r="AYI8" s="42"/>
      <c r="AYJ8" s="42"/>
      <c r="AYK8" s="42"/>
      <c r="AYL8" s="42"/>
      <c r="AYM8" s="42"/>
      <c r="AYN8" s="42"/>
      <c r="AYO8" s="42"/>
      <c r="AYP8" s="42"/>
      <c r="AYQ8" s="42"/>
      <c r="AYR8" s="42"/>
      <c r="AYS8" s="42"/>
      <c r="AYT8" s="42"/>
      <c r="AYU8" s="42"/>
      <c r="AYV8" s="42"/>
      <c r="AYW8" s="42"/>
      <c r="AYX8" s="42"/>
      <c r="AYY8" s="42"/>
      <c r="AYZ8" s="42"/>
      <c r="AZA8" s="42"/>
      <c r="AZB8" s="42"/>
      <c r="AZC8" s="42"/>
      <c r="AZD8" s="42"/>
      <c r="AZE8" s="42"/>
      <c r="AZF8" s="42"/>
      <c r="AZG8" s="42"/>
      <c r="AZH8" s="42"/>
      <c r="AZI8" s="42"/>
      <c r="AZJ8" s="42"/>
      <c r="AZK8" s="42"/>
      <c r="AZL8" s="42"/>
      <c r="AZM8" s="42"/>
      <c r="AZN8" s="42"/>
      <c r="AZO8" s="42"/>
      <c r="AZP8" s="42"/>
      <c r="AZQ8" s="42"/>
      <c r="AZR8" s="42"/>
      <c r="AZS8" s="42"/>
      <c r="AZT8" s="42"/>
      <c r="AZU8" s="42"/>
      <c r="AZV8" s="42"/>
      <c r="AZW8" s="42"/>
      <c r="AZX8" s="42"/>
      <c r="AZY8" s="42"/>
      <c r="AZZ8" s="42"/>
      <c r="BAA8" s="42"/>
      <c r="BAB8" s="42"/>
      <c r="BAC8" s="42"/>
      <c r="BAD8" s="42"/>
      <c r="BAE8" s="42"/>
      <c r="BAF8" s="42"/>
      <c r="BAG8" s="42"/>
      <c r="BAH8" s="42"/>
      <c r="BAI8" s="42"/>
      <c r="BAJ8" s="42"/>
      <c r="BAK8" s="42"/>
      <c r="BAL8" s="42"/>
      <c r="BAM8" s="42"/>
      <c r="BAN8" s="42"/>
      <c r="BAO8" s="42"/>
      <c r="BAP8" s="42"/>
      <c r="BAQ8" s="42"/>
      <c r="BAR8" s="42"/>
      <c r="BAS8" s="42"/>
      <c r="BAT8" s="42"/>
      <c r="BAU8" s="42"/>
      <c r="BAV8" s="42"/>
      <c r="BAW8" s="42"/>
      <c r="BAX8" s="42"/>
      <c r="BAY8" s="42"/>
      <c r="BAZ8" s="42"/>
      <c r="BBA8" s="42"/>
      <c r="BBB8" s="42"/>
      <c r="BBC8" s="42"/>
      <c r="BBD8" s="42"/>
      <c r="BBE8" s="42"/>
      <c r="BBF8" s="42"/>
      <c r="BBG8" s="42"/>
      <c r="BBH8" s="42"/>
      <c r="BBI8" s="42"/>
      <c r="BBJ8" s="42"/>
      <c r="BBK8" s="42"/>
      <c r="BBL8" s="42"/>
      <c r="BBM8" s="42"/>
      <c r="BBN8" s="42"/>
      <c r="BBO8" s="42"/>
      <c r="BBP8" s="42"/>
      <c r="BBQ8" s="42"/>
      <c r="BBR8" s="42"/>
      <c r="BBS8" s="42"/>
      <c r="BBT8" s="42"/>
      <c r="BBU8" s="42"/>
      <c r="BBV8" s="42"/>
      <c r="BBW8" s="42"/>
      <c r="BBX8" s="42"/>
      <c r="BBY8" s="42"/>
      <c r="BBZ8" s="42"/>
      <c r="BCA8" s="42"/>
      <c r="BCB8" s="42"/>
      <c r="BCC8" s="42"/>
      <c r="BCD8" s="42"/>
      <c r="BCE8" s="42"/>
      <c r="BCF8" s="42"/>
      <c r="BCG8" s="42"/>
      <c r="BCH8" s="42"/>
      <c r="BCI8" s="42"/>
      <c r="BCJ8" s="42"/>
      <c r="BCK8" s="42"/>
      <c r="BCL8" s="42"/>
      <c r="BCM8" s="42"/>
      <c r="BCN8" s="42"/>
      <c r="BCO8" s="42"/>
      <c r="BCP8" s="42"/>
      <c r="BCQ8" s="42"/>
      <c r="BCR8" s="42"/>
      <c r="BCS8" s="42"/>
      <c r="BCT8" s="42"/>
      <c r="BCU8" s="42"/>
      <c r="BCV8" s="42"/>
      <c r="BCW8" s="42"/>
      <c r="BCX8" s="42"/>
    </row>
    <row r="9" spans="1:1454" s="53" customFormat="1" x14ac:dyDescent="0.25">
      <c r="A9" s="87">
        <v>1</v>
      </c>
      <c r="B9" s="88" t="str">
        <f>线路!B6</f>
        <v>一流量段末(1#斗门）</v>
      </c>
      <c r="C9" s="89">
        <f>线路!E6</f>
        <v>451427.04879999999</v>
      </c>
      <c r="D9" s="89">
        <f>线路!F6</f>
        <v>3048032.8645000001</v>
      </c>
      <c r="E9" s="90">
        <f>线路!G6</f>
        <v>0</v>
      </c>
      <c r="F9" s="90">
        <f>线路!H6</f>
        <v>0</v>
      </c>
      <c r="G9" s="91">
        <f>线路!L6</f>
        <v>149.72914579078889</v>
      </c>
      <c r="H9" s="91">
        <f>线路!M6</f>
        <v>149.72914579078889</v>
      </c>
      <c r="I9" s="91">
        <f>线路!N6</f>
        <v>149.72914579078889</v>
      </c>
      <c r="J9" s="112">
        <f t="shared" si="0"/>
        <v>0</v>
      </c>
      <c r="K9" s="112">
        <f t="shared" si="13"/>
        <v>6.9946660779337719</v>
      </c>
      <c r="L9" s="112">
        <f>IF(A9=1,断面设计!$D$7,IF(A9=2,断面设计!$D$8,IF(A9=3,断面设计!$D$9,IF(A9=4,断面设计!$D$10,IF(A9=5,断面设计!$D$11,IF(A9=6,断面设计!$D$12,IF(A9=7,断面设计!$D$13,IF(A9=8,断面设计!$D$14,IF(A9=9,断面设计!$D$15,IF(A9=10,断面设计!$D$16))))))))))</f>
        <v>1.5</v>
      </c>
      <c r="M9" s="112">
        <f t="shared" si="14"/>
        <v>1.2</v>
      </c>
      <c r="N9" s="113">
        <f t="shared" si="1"/>
        <v>1.4999999999999999E-2</v>
      </c>
      <c r="O9" s="112">
        <f>IF(A9=1,断面设计!$J$7,IF(A9=2,断面设计!$J$8,IF(A9=3,断面设计!$J$9,IF(A9=4,断面设计!$J$10,IF(A9=5,断面设计!$J$11,IF(A9=6,断面设计!$J$12,IF(A9=7,断面设计!$J$13,IF(A9=8,断面设计!$J$14,IF(A9=9,断面设计!$J$15,IF(A9=10,断面设计!$J$16))))))))))</f>
        <v>5000</v>
      </c>
      <c r="P9" s="114">
        <f>IF(A9=1,断面设计!$K$7,IF(A9=2,断面设计!$K$8,IF(A9=3,断面设计!$K$9,IF(A9=4,断面设计!$K$10,IF(A9=5,断面设计!$K$11,IF(A9=6,断面设计!$K$12,IF(A9=7,断面设计!$K$13,IF(A9=8,断面设计!$K$14,IF(A9=9,断面设计!$K$15,IF(A9=10,断面设计!$K$16))))))))))</f>
        <v>4.6000062290098596</v>
      </c>
      <c r="Q9" s="113">
        <f>IF(A9=1,断面设计!$C$7,IF(A9=2,断面设计!$C$8,IF(A9=3,断面设计!$C$9,IF(A9=4,断面设计!$C$10,IF(A9=5,断面设计!$C$11,IF(A9=6,断面设计!$C$12,IF(A9=7,断面设计!$C$13,IF(A9=8,断面设计!$C$14,IF(A9=9,断面设计!$C$15,IF(A9=10,断面设计!$C$16))))))))))</f>
        <v>1.5999458363997501</v>
      </c>
      <c r="R9" s="112">
        <f>IF(A9=1,断面设计!$F$7,IF(A9=2,断面设计!$F$8,IF(A9=3,断面设计!$F$9,IF(A9=4,断面设计!$F$10,IF(A9=5,断面设计!$F$11,IF(A9=6,断面设计!$F$12,IF(A9=7,断面设计!$F$13,IF(A9=8,断面设计!$F$14,IF(A9=9,断面设计!$F$15,IF(A9=10,断面设计!$F$16))))))))))</f>
        <v>5.4717107698950995</v>
      </c>
      <c r="S9" s="112">
        <f>IF(A9=1,断面设计!$G$7,IF(A9=2,断面设计!$G$8,IF(A9=3,断面设计!$G$9,IF(A9=4,断面设计!$G$10,IF(A9=5,断面设计!$G$11,IF(A9=6,断面设计!$G$12,IF(A9=7,断面设计!$G$13,IF(A9=8,断面设计!$G$14,IF(A9=9,断面设计!$G$15,IF(A9=10,断面设计!$G$16))))))))))</f>
        <v>6.4983905800837398</v>
      </c>
      <c r="T9" s="112">
        <f t="shared" si="15"/>
        <v>0.84201014119785178</v>
      </c>
      <c r="U9" s="112">
        <f t="shared" si="16"/>
        <v>0.84068884896451646</v>
      </c>
      <c r="V9" s="124"/>
      <c r="W9" s="113"/>
      <c r="X9" s="113">
        <f>IF(AN9=0,IF(AN8=2,(H9-H8-AE8)/O9,(H9-H8)/O9),IF(AN9=1,IF(AN8=2,IF(AE9&lt;9,(H9-H8-AE9-AE8)/断面设计!$J$7,(H9-H8-AE9-AE8)/断面设计!$J$7),(H9-H8-AE9)/O8),(H9-H8)/O9))</f>
        <v>1.3989332155867544E-3</v>
      </c>
      <c r="Y9" s="136">
        <v>0</v>
      </c>
      <c r="Z9" s="137">
        <f t="shared" si="26"/>
        <v>0</v>
      </c>
      <c r="AA9" s="112"/>
      <c r="AB9" s="136">
        <f t="shared" si="4"/>
        <v>1.5999458363997501</v>
      </c>
      <c r="AC9" s="113">
        <f t="shared" si="5"/>
        <v>1.3989332155867544E-3</v>
      </c>
      <c r="AD9" s="113">
        <f t="shared" si="18"/>
        <v>2392.2372482531541</v>
      </c>
      <c r="AE9" s="138">
        <f t="shared" si="19"/>
        <v>0</v>
      </c>
      <c r="AF9" s="113" t="str">
        <f t="shared" si="6"/>
        <v xml:space="preserve"> </v>
      </c>
      <c r="AG9" s="113" t="str">
        <f>IF(AE9=0," ",AF9-断面设计!$C$7)</f>
        <v xml:space="preserve"> </v>
      </c>
      <c r="AH9" s="113" t="str">
        <f t="shared" si="7"/>
        <v xml:space="preserve"> </v>
      </c>
      <c r="AI9" s="113" t="str">
        <f t="shared" si="8"/>
        <v xml:space="preserve"> </v>
      </c>
      <c r="AJ9" s="113" t="str">
        <f t="shared" si="9"/>
        <v xml:space="preserve"> </v>
      </c>
      <c r="AK9" s="113" t="str">
        <f t="shared" si="10"/>
        <v xml:space="preserve"> </v>
      </c>
      <c r="AL9" s="113">
        <f t="shared" si="11"/>
        <v>2392.2372482531541</v>
      </c>
      <c r="AM9" s="113">
        <f t="shared" si="12"/>
        <v>2390.6373024167542</v>
      </c>
      <c r="AN9" s="102"/>
      <c r="AO9" s="102">
        <v>0</v>
      </c>
      <c r="AP9" s="161"/>
      <c r="AQ9" s="127">
        <f>2392.34-2373.26</f>
        <v>19.079999999999927</v>
      </c>
      <c r="AR9" s="163">
        <f ca="1">AL5-AL198</f>
        <v>19.011514902831095</v>
      </c>
      <c r="AS9" s="163">
        <f ca="1">AQ9-AR9</f>
        <v>6.8485097168831999E-2</v>
      </c>
      <c r="AT9" s="42"/>
      <c r="AU9" s="64" t="str">
        <f t="shared" si="20"/>
        <v>149.729145790789,2390.63730241675</v>
      </c>
      <c r="AV9" s="64" t="str">
        <f t="shared" si="21"/>
        <v>149.729145790789,2392.23724825315</v>
      </c>
      <c r="AW9" s="169" t="str">
        <f t="shared" si="22"/>
        <v xml:space="preserve">pl 149.729145790789,0 149.729145790789,76 </v>
      </c>
      <c r="AX9" s="161" t="str">
        <f t="shared" si="23"/>
        <v>-text 149.729145790789,48 3.5 90 2390.637</v>
      </c>
      <c r="AY9" s="161" t="str">
        <f t="shared" si="24"/>
        <v>-text 149.729145790789,62.5 3.5 90 2392.237</v>
      </c>
      <c r="AZ9" s="42" t="str">
        <f t="shared" si="25"/>
        <v>-text 149.729145790789,23.5 3.5 90 马分0+149.73</v>
      </c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  <c r="FI9" s="42"/>
      <c r="FJ9" s="42"/>
      <c r="FK9" s="42"/>
      <c r="FL9" s="42"/>
      <c r="FM9" s="42"/>
      <c r="FN9" s="42"/>
      <c r="FO9" s="42"/>
      <c r="FP9" s="42"/>
      <c r="FQ9" s="42"/>
      <c r="FR9" s="42"/>
      <c r="FS9" s="42"/>
      <c r="FT9" s="42"/>
      <c r="FU9" s="42"/>
      <c r="FV9" s="42"/>
      <c r="FW9" s="42"/>
      <c r="FX9" s="42"/>
      <c r="FY9" s="42"/>
      <c r="FZ9" s="42"/>
      <c r="GA9" s="42"/>
      <c r="GB9" s="42"/>
      <c r="GC9" s="42"/>
      <c r="GD9" s="42"/>
      <c r="GE9" s="42"/>
      <c r="GF9" s="42"/>
      <c r="GG9" s="42"/>
      <c r="GH9" s="42"/>
      <c r="GI9" s="42"/>
      <c r="GJ9" s="42"/>
      <c r="GK9" s="42"/>
      <c r="GL9" s="42"/>
      <c r="GM9" s="42"/>
      <c r="GN9" s="42"/>
      <c r="GO9" s="42"/>
      <c r="GP9" s="42"/>
      <c r="GQ9" s="42"/>
      <c r="GR9" s="42"/>
      <c r="GS9" s="42"/>
      <c r="GT9" s="42"/>
      <c r="GU9" s="42"/>
      <c r="GV9" s="42"/>
      <c r="GW9" s="42"/>
      <c r="GX9" s="42"/>
      <c r="GY9" s="57"/>
      <c r="GZ9" s="57"/>
      <c r="HA9" s="57"/>
      <c r="HB9" s="57"/>
      <c r="HC9" s="57"/>
      <c r="HD9" s="57"/>
      <c r="HE9" s="57"/>
      <c r="HF9" s="57"/>
      <c r="HG9" s="57"/>
      <c r="HH9" s="57"/>
      <c r="HI9" s="57"/>
      <c r="HJ9" s="57"/>
      <c r="HK9" s="57"/>
      <c r="HL9" s="57"/>
      <c r="HM9" s="57"/>
      <c r="HN9" s="57"/>
      <c r="HO9" s="57"/>
      <c r="HP9" s="57"/>
      <c r="HQ9" s="57"/>
      <c r="HR9" s="57"/>
      <c r="HS9" s="57"/>
      <c r="HT9" s="57"/>
      <c r="HU9" s="57"/>
      <c r="HV9" s="57"/>
      <c r="HW9" s="57"/>
      <c r="HX9" s="57"/>
      <c r="HY9" s="57"/>
      <c r="HZ9" s="57"/>
      <c r="IA9" s="57"/>
      <c r="IB9" s="57"/>
      <c r="IC9" s="57"/>
      <c r="ID9" s="57"/>
      <c r="IE9" s="57"/>
      <c r="IF9" s="57"/>
      <c r="IG9" s="57"/>
      <c r="IH9" s="57"/>
      <c r="II9" s="57"/>
      <c r="IJ9" s="57"/>
      <c r="IK9" s="57"/>
      <c r="IL9" s="57"/>
      <c r="IM9" s="57"/>
      <c r="IN9" s="57"/>
      <c r="IO9" s="57"/>
      <c r="IP9" s="57"/>
      <c r="IQ9" s="57"/>
      <c r="IR9" s="57"/>
      <c r="IS9" s="57"/>
      <c r="IT9" s="57"/>
      <c r="IU9" s="57"/>
      <c r="IV9" s="57"/>
      <c r="IW9" s="57"/>
      <c r="IX9" s="57"/>
      <c r="IY9" s="57"/>
      <c r="IZ9" s="57"/>
      <c r="JA9" s="57"/>
      <c r="JB9" s="57"/>
      <c r="JC9" s="57"/>
      <c r="JD9" s="57"/>
      <c r="JE9" s="57"/>
      <c r="JF9" s="57"/>
      <c r="JG9" s="57"/>
      <c r="JH9" s="57"/>
      <c r="JI9" s="57"/>
      <c r="JJ9" s="57"/>
      <c r="JK9" s="57"/>
      <c r="JL9" s="57"/>
      <c r="JM9" s="57"/>
      <c r="JN9" s="57"/>
      <c r="JO9" s="57"/>
      <c r="JP9" s="57"/>
      <c r="JQ9" s="57"/>
      <c r="JR9" s="57"/>
      <c r="JS9" s="57"/>
      <c r="JT9" s="57"/>
      <c r="JU9" s="57"/>
      <c r="JV9" s="57"/>
      <c r="JW9" s="57"/>
      <c r="JX9" s="57"/>
      <c r="JY9" s="57"/>
      <c r="JZ9" s="57"/>
      <c r="KA9" s="57"/>
      <c r="KB9" s="57"/>
      <c r="KC9" s="57"/>
      <c r="KD9" s="57"/>
      <c r="KE9" s="57"/>
      <c r="KF9" s="57"/>
      <c r="KG9" s="57"/>
      <c r="KH9" s="57"/>
      <c r="KI9" s="57"/>
      <c r="KJ9" s="57"/>
      <c r="KK9" s="57"/>
      <c r="KL9" s="57"/>
      <c r="KM9" s="57"/>
      <c r="KN9" s="57"/>
      <c r="KO9" s="57"/>
      <c r="KP9" s="57"/>
      <c r="KQ9" s="57"/>
      <c r="KR9" s="57"/>
      <c r="KS9" s="57"/>
      <c r="KT9" s="57"/>
      <c r="KU9" s="57"/>
      <c r="KV9" s="57"/>
      <c r="KW9" s="57"/>
      <c r="KX9" s="57"/>
      <c r="KY9" s="57"/>
      <c r="KZ9" s="57"/>
      <c r="LA9" s="57"/>
      <c r="LB9" s="57"/>
      <c r="LC9" s="57"/>
      <c r="LD9" s="57"/>
      <c r="LE9" s="57"/>
      <c r="LF9" s="57"/>
      <c r="LG9" s="57"/>
      <c r="LH9" s="57"/>
      <c r="LI9" s="57"/>
      <c r="LJ9" s="57"/>
      <c r="LK9" s="57"/>
      <c r="LL9" s="57"/>
      <c r="LM9" s="57"/>
      <c r="LN9" s="57"/>
      <c r="LO9" s="57"/>
      <c r="LP9" s="57"/>
      <c r="LQ9" s="57"/>
      <c r="LR9" s="57"/>
      <c r="LS9" s="57"/>
      <c r="LT9" s="57"/>
      <c r="LU9" s="57"/>
      <c r="LV9" s="57"/>
      <c r="LW9" s="57"/>
      <c r="LX9" s="57"/>
      <c r="LY9" s="57"/>
      <c r="LZ9" s="57"/>
      <c r="MA9" s="57"/>
      <c r="MB9" s="57"/>
      <c r="MC9" s="57"/>
      <c r="MD9" s="57"/>
      <c r="ME9" s="57"/>
      <c r="MF9" s="57"/>
      <c r="MG9" s="57"/>
      <c r="MH9" s="57"/>
      <c r="MI9" s="57"/>
      <c r="MJ9" s="57"/>
      <c r="MK9" s="57"/>
      <c r="ML9" s="57"/>
      <c r="MM9" s="57"/>
      <c r="MN9" s="57"/>
      <c r="MO9" s="57"/>
      <c r="MP9" s="57"/>
      <c r="MQ9" s="57"/>
      <c r="MR9" s="57"/>
      <c r="MS9" s="57"/>
      <c r="MT9" s="57"/>
      <c r="MU9" s="57"/>
      <c r="MV9" s="57"/>
      <c r="MW9" s="57"/>
      <c r="MX9" s="57"/>
      <c r="MY9" s="57"/>
      <c r="MZ9" s="57"/>
      <c r="NA9" s="57"/>
      <c r="NB9" s="57"/>
      <c r="NC9" s="57"/>
      <c r="ND9" s="57"/>
      <c r="NE9" s="57"/>
      <c r="NF9" s="57"/>
      <c r="NG9" s="57"/>
      <c r="NH9" s="57"/>
      <c r="NI9" s="57"/>
      <c r="NJ9" s="57"/>
      <c r="NK9" s="57"/>
      <c r="NL9" s="57"/>
      <c r="NM9" s="57"/>
      <c r="NN9" s="57"/>
      <c r="NO9" s="57"/>
      <c r="NP9" s="57"/>
      <c r="NQ9" s="57"/>
      <c r="NR9" s="57"/>
      <c r="NS9" s="57"/>
      <c r="NT9" s="57"/>
      <c r="NU9" s="57"/>
      <c r="NV9" s="57"/>
      <c r="NW9" s="57"/>
      <c r="NX9" s="57"/>
      <c r="NY9" s="57"/>
      <c r="NZ9" s="57"/>
      <c r="OA9" s="57"/>
      <c r="OB9" s="57"/>
      <c r="OC9" s="57"/>
      <c r="OD9" s="57"/>
      <c r="OE9" s="57"/>
      <c r="OF9" s="57"/>
      <c r="OG9" s="57"/>
      <c r="OH9" s="57"/>
      <c r="OI9" s="57"/>
      <c r="OJ9" s="57"/>
      <c r="OK9" s="57"/>
      <c r="OL9" s="57"/>
      <c r="OM9" s="57"/>
      <c r="ON9" s="57"/>
      <c r="OO9" s="57"/>
      <c r="OP9" s="57"/>
      <c r="OQ9" s="57"/>
      <c r="OR9" s="57"/>
      <c r="OS9" s="57"/>
      <c r="OT9" s="57"/>
      <c r="OU9" s="57"/>
      <c r="OV9" s="57"/>
      <c r="OW9" s="57"/>
      <c r="OX9" s="57"/>
      <c r="OY9" s="57"/>
      <c r="OZ9" s="57"/>
      <c r="PA9" s="57"/>
      <c r="PB9" s="57"/>
      <c r="PC9" s="57"/>
      <c r="PD9" s="57"/>
      <c r="PE9" s="57"/>
      <c r="PF9" s="57"/>
      <c r="PG9" s="57"/>
      <c r="PH9" s="57"/>
      <c r="PI9" s="57"/>
      <c r="PJ9" s="57"/>
      <c r="PK9" s="57"/>
      <c r="PL9" s="57"/>
      <c r="PM9" s="57"/>
      <c r="PN9" s="57"/>
      <c r="PO9" s="57"/>
      <c r="PP9" s="57"/>
      <c r="PQ9" s="57"/>
      <c r="PR9" s="57"/>
      <c r="PS9" s="57"/>
      <c r="PT9" s="57"/>
      <c r="PU9" s="57"/>
      <c r="PV9" s="57"/>
      <c r="PW9" s="57"/>
      <c r="PX9" s="57"/>
      <c r="PY9" s="57"/>
      <c r="PZ9" s="57"/>
      <c r="QA9" s="57"/>
      <c r="QB9" s="57"/>
      <c r="QC9" s="57"/>
      <c r="QD9" s="57"/>
      <c r="QE9" s="57"/>
      <c r="QF9" s="57"/>
      <c r="QG9" s="57"/>
      <c r="QH9" s="57"/>
      <c r="QI9" s="57"/>
      <c r="QJ9" s="57"/>
      <c r="QK9" s="57"/>
      <c r="QL9" s="57"/>
      <c r="QM9" s="57"/>
      <c r="QN9" s="57"/>
      <c r="QO9" s="57"/>
      <c r="QP9" s="57"/>
      <c r="QQ9" s="57"/>
      <c r="QR9" s="57"/>
      <c r="QS9" s="57"/>
      <c r="QT9" s="57"/>
      <c r="QU9" s="57"/>
      <c r="QV9" s="57"/>
      <c r="QW9" s="57"/>
      <c r="QX9" s="57"/>
      <c r="QY9" s="57"/>
      <c r="QZ9" s="57"/>
      <c r="RA9" s="57"/>
      <c r="RB9" s="57"/>
      <c r="RC9" s="57"/>
      <c r="RD9" s="57"/>
      <c r="RE9" s="57"/>
      <c r="RF9" s="57"/>
      <c r="RG9" s="57"/>
      <c r="RH9" s="57"/>
      <c r="RI9" s="57"/>
      <c r="RJ9" s="57"/>
      <c r="RK9" s="57"/>
      <c r="RL9" s="57"/>
      <c r="RM9" s="57"/>
      <c r="RN9" s="57"/>
      <c r="RO9" s="57"/>
      <c r="RP9" s="57"/>
      <c r="RQ9" s="57"/>
      <c r="RR9" s="57"/>
      <c r="RS9" s="57"/>
      <c r="RT9" s="57"/>
      <c r="RU9" s="57"/>
      <c r="RV9" s="57"/>
      <c r="RW9" s="57"/>
      <c r="RX9" s="57"/>
      <c r="RY9" s="57"/>
      <c r="RZ9" s="57"/>
      <c r="SA9" s="57"/>
      <c r="SB9" s="57"/>
      <c r="SC9" s="57"/>
      <c r="SD9" s="57"/>
      <c r="SE9" s="57"/>
      <c r="SF9" s="57"/>
      <c r="SG9" s="57"/>
      <c r="SH9" s="57"/>
      <c r="SI9" s="57"/>
      <c r="SJ9" s="57"/>
      <c r="SK9" s="57"/>
      <c r="SL9" s="57"/>
      <c r="SM9" s="57"/>
      <c r="SN9" s="57"/>
      <c r="SO9" s="57"/>
      <c r="SP9" s="57"/>
      <c r="SQ9" s="57"/>
      <c r="SR9" s="57"/>
      <c r="SS9" s="57"/>
      <c r="ST9" s="57"/>
      <c r="SU9" s="57"/>
      <c r="SV9" s="57"/>
      <c r="SW9" s="57"/>
      <c r="SX9" s="57"/>
      <c r="SY9" s="57"/>
      <c r="SZ9" s="57"/>
      <c r="TA9" s="57"/>
      <c r="TB9" s="57"/>
      <c r="TC9" s="57"/>
      <c r="TD9" s="57"/>
      <c r="TE9" s="57"/>
      <c r="TF9" s="57"/>
      <c r="TG9" s="57"/>
      <c r="TH9" s="57"/>
      <c r="TI9" s="57"/>
      <c r="TJ9" s="57"/>
      <c r="TK9" s="57"/>
      <c r="TL9" s="57"/>
      <c r="TM9" s="57"/>
      <c r="TN9" s="57"/>
      <c r="TO9" s="57"/>
      <c r="TP9" s="57"/>
      <c r="TQ9" s="57"/>
      <c r="TR9" s="57"/>
      <c r="TS9" s="57"/>
      <c r="TT9" s="57"/>
      <c r="TU9" s="57"/>
      <c r="TV9" s="57"/>
      <c r="TW9" s="57"/>
      <c r="TX9" s="57"/>
      <c r="TY9" s="57"/>
      <c r="TZ9" s="57"/>
      <c r="UA9" s="57"/>
      <c r="UB9" s="57"/>
      <c r="UC9" s="57"/>
      <c r="UD9" s="57"/>
      <c r="UE9" s="57"/>
      <c r="UF9" s="57"/>
      <c r="UG9" s="57"/>
      <c r="UH9" s="57"/>
      <c r="UI9" s="57"/>
      <c r="UJ9" s="57"/>
      <c r="UK9" s="57"/>
      <c r="UL9" s="57"/>
      <c r="UM9" s="57"/>
      <c r="UN9" s="57"/>
      <c r="UO9" s="57"/>
      <c r="UP9" s="57"/>
      <c r="UQ9" s="57"/>
      <c r="UR9" s="57"/>
      <c r="US9" s="57"/>
      <c r="UT9" s="57"/>
      <c r="UU9" s="57"/>
      <c r="UV9" s="57"/>
      <c r="UW9" s="57"/>
      <c r="UX9" s="57"/>
      <c r="UY9" s="57"/>
      <c r="UZ9" s="57"/>
      <c r="VA9" s="57"/>
      <c r="VB9" s="57"/>
      <c r="VC9" s="57"/>
      <c r="VD9" s="57"/>
      <c r="VE9" s="57"/>
      <c r="VF9" s="57"/>
      <c r="VG9" s="57"/>
      <c r="VH9" s="57"/>
      <c r="VI9" s="57"/>
      <c r="VJ9" s="57"/>
      <c r="VK9" s="57"/>
      <c r="VL9" s="57"/>
      <c r="VM9" s="57"/>
      <c r="VN9" s="57"/>
      <c r="VO9" s="57"/>
      <c r="VP9" s="57"/>
      <c r="VQ9" s="57"/>
      <c r="VR9" s="57"/>
      <c r="VS9" s="57"/>
      <c r="VT9" s="57"/>
      <c r="VU9" s="57"/>
      <c r="VV9" s="57"/>
      <c r="VW9" s="57"/>
      <c r="VX9" s="57"/>
      <c r="VY9" s="57"/>
      <c r="VZ9" s="57"/>
      <c r="WA9" s="57"/>
      <c r="WB9" s="57"/>
      <c r="WC9" s="57"/>
      <c r="WD9" s="57"/>
      <c r="WE9" s="57"/>
      <c r="WF9" s="57"/>
      <c r="WG9" s="57"/>
      <c r="WH9" s="57"/>
      <c r="WI9" s="57"/>
      <c r="WJ9" s="57"/>
      <c r="WK9" s="57"/>
      <c r="WL9" s="57"/>
      <c r="WM9" s="57"/>
      <c r="WN9" s="57"/>
      <c r="WO9" s="57"/>
      <c r="WP9" s="57"/>
      <c r="WQ9" s="57"/>
      <c r="WR9" s="57"/>
      <c r="WS9" s="57"/>
      <c r="WT9" s="57"/>
      <c r="WU9" s="57"/>
      <c r="WV9" s="57"/>
      <c r="WW9" s="57"/>
      <c r="WX9" s="57"/>
      <c r="WY9" s="57"/>
      <c r="WZ9" s="57"/>
      <c r="XA9" s="57"/>
      <c r="XB9" s="57"/>
      <c r="XC9" s="57"/>
      <c r="XD9" s="57"/>
      <c r="XE9" s="57"/>
      <c r="XF9" s="57"/>
      <c r="XG9" s="57"/>
      <c r="XH9" s="57"/>
      <c r="XI9" s="57"/>
      <c r="XJ9" s="57"/>
      <c r="XK9" s="57"/>
      <c r="XL9" s="57"/>
      <c r="XM9" s="57"/>
      <c r="XN9" s="57"/>
      <c r="XO9" s="57"/>
      <c r="XP9" s="57"/>
      <c r="XQ9" s="57"/>
      <c r="XR9" s="57"/>
      <c r="XS9" s="57"/>
      <c r="XT9" s="57"/>
      <c r="XU9" s="57"/>
      <c r="XV9" s="57"/>
      <c r="XW9" s="57"/>
      <c r="XX9" s="57"/>
      <c r="XY9" s="57"/>
      <c r="XZ9" s="57"/>
      <c r="YA9" s="57"/>
      <c r="YB9" s="57"/>
      <c r="YC9" s="57"/>
      <c r="YD9" s="57"/>
      <c r="YE9" s="57"/>
      <c r="YF9" s="57"/>
      <c r="YG9" s="57"/>
      <c r="YH9" s="57"/>
      <c r="YI9" s="57"/>
      <c r="YJ9" s="57"/>
      <c r="YK9" s="57"/>
      <c r="YL9" s="57"/>
      <c r="YM9" s="57"/>
      <c r="YN9" s="57"/>
      <c r="YO9" s="57"/>
      <c r="YP9" s="57"/>
      <c r="YQ9" s="57"/>
      <c r="YR9" s="57"/>
      <c r="YS9" s="57"/>
      <c r="YT9" s="57"/>
      <c r="YU9" s="57"/>
      <c r="YV9" s="57"/>
      <c r="YW9" s="57"/>
      <c r="YX9" s="57"/>
      <c r="YY9" s="57"/>
      <c r="YZ9" s="57"/>
      <c r="ZA9" s="57"/>
      <c r="ZB9" s="57"/>
      <c r="ZC9" s="57"/>
      <c r="ZD9" s="57"/>
      <c r="ZE9" s="57"/>
      <c r="ZF9" s="57"/>
      <c r="ZG9" s="57"/>
      <c r="ZH9" s="57"/>
      <c r="ZI9" s="57"/>
      <c r="ZJ9" s="57"/>
      <c r="ZK9" s="57"/>
      <c r="ZL9" s="57"/>
      <c r="ZM9" s="57"/>
      <c r="ZN9" s="57"/>
      <c r="ZO9" s="57"/>
      <c r="ZP9" s="57"/>
      <c r="ZQ9" s="57"/>
      <c r="ZR9" s="57"/>
      <c r="ZS9" s="57"/>
      <c r="ZT9" s="57"/>
      <c r="ZU9" s="57"/>
      <c r="ZV9" s="57"/>
      <c r="ZW9" s="57"/>
      <c r="ZX9" s="57"/>
      <c r="ZY9" s="57"/>
      <c r="ZZ9" s="57"/>
      <c r="AAA9" s="57"/>
      <c r="AAB9" s="57"/>
      <c r="AAC9" s="57"/>
      <c r="AAD9" s="57"/>
      <c r="AAE9" s="57"/>
      <c r="AAF9" s="57"/>
      <c r="AAG9" s="57"/>
      <c r="AAH9" s="57"/>
      <c r="AAI9" s="57"/>
      <c r="AAJ9" s="57"/>
      <c r="AAK9" s="57"/>
      <c r="AAL9" s="57"/>
      <c r="AAM9" s="57"/>
      <c r="AAN9" s="57"/>
      <c r="AAO9" s="57"/>
      <c r="AAP9" s="57"/>
      <c r="AAQ9" s="57"/>
      <c r="AAR9" s="57"/>
      <c r="AAS9" s="57"/>
      <c r="AAT9" s="57"/>
      <c r="AAU9" s="57"/>
      <c r="AAV9" s="57"/>
      <c r="AAW9" s="57"/>
      <c r="AAX9" s="57"/>
      <c r="AAY9" s="57"/>
      <c r="AAZ9" s="57"/>
      <c r="ABA9" s="57"/>
      <c r="ABB9" s="57"/>
      <c r="ABC9" s="57"/>
      <c r="ABD9" s="57"/>
      <c r="ABE9" s="57"/>
      <c r="ABF9" s="57"/>
      <c r="ABG9" s="57"/>
      <c r="ABH9" s="57"/>
      <c r="ABI9" s="57"/>
      <c r="ABJ9" s="57"/>
      <c r="ABK9" s="57"/>
      <c r="ABL9" s="57"/>
      <c r="ABM9" s="57"/>
      <c r="ABN9" s="57"/>
      <c r="ABO9" s="57"/>
      <c r="ABP9" s="57"/>
      <c r="ABQ9" s="57"/>
      <c r="ABR9" s="57"/>
      <c r="ABS9" s="57"/>
      <c r="ABT9" s="57"/>
      <c r="ABU9" s="57"/>
      <c r="ABV9" s="57"/>
      <c r="ABW9" s="57"/>
      <c r="ABX9" s="57"/>
      <c r="ABY9" s="57"/>
      <c r="ABZ9" s="57"/>
      <c r="ACA9" s="57"/>
      <c r="ACB9" s="57"/>
      <c r="ACC9" s="57"/>
      <c r="ACD9" s="57"/>
      <c r="ACE9" s="57"/>
      <c r="ACF9" s="57"/>
      <c r="ACG9" s="57"/>
      <c r="ACH9" s="57"/>
      <c r="ACI9" s="57"/>
      <c r="ACJ9" s="57"/>
      <c r="ACK9" s="57"/>
      <c r="ACL9" s="57"/>
      <c r="ACM9" s="57"/>
      <c r="ACN9" s="57"/>
      <c r="ACO9" s="57"/>
      <c r="ACP9" s="57"/>
      <c r="ACQ9" s="57"/>
      <c r="ACR9" s="57"/>
      <c r="ACS9" s="57"/>
      <c r="ACT9" s="57"/>
      <c r="ACU9" s="57"/>
      <c r="ACV9" s="57"/>
      <c r="ACW9" s="57"/>
      <c r="ACX9" s="57"/>
      <c r="ACY9" s="57"/>
      <c r="ACZ9" s="57"/>
      <c r="ADA9" s="57"/>
      <c r="ADB9" s="57"/>
      <c r="ADC9" s="57"/>
      <c r="ADD9" s="57"/>
      <c r="ADE9" s="57"/>
      <c r="ADF9" s="57"/>
      <c r="ADG9" s="57"/>
      <c r="ADH9" s="57"/>
      <c r="ADI9" s="57"/>
      <c r="ADJ9" s="57"/>
      <c r="ADK9" s="57"/>
      <c r="ADL9" s="57"/>
      <c r="ADM9" s="57"/>
      <c r="ADN9" s="57"/>
      <c r="ADO9" s="57"/>
      <c r="ADP9" s="57"/>
      <c r="ADQ9" s="57"/>
      <c r="ADR9" s="57"/>
      <c r="ADS9" s="57"/>
      <c r="ADT9" s="57"/>
      <c r="ADU9" s="57"/>
      <c r="ADV9" s="57"/>
      <c r="ADW9" s="57"/>
      <c r="ADX9" s="57"/>
      <c r="ADY9" s="57"/>
      <c r="ADZ9" s="57"/>
      <c r="AEA9" s="57"/>
      <c r="AEB9" s="57"/>
      <c r="AEC9" s="57"/>
      <c r="AED9" s="57"/>
      <c r="AEE9" s="57"/>
      <c r="AEF9" s="57"/>
      <c r="AEG9" s="57"/>
      <c r="AEH9" s="57"/>
      <c r="AEI9" s="57"/>
      <c r="AEJ9" s="57"/>
      <c r="AEK9" s="57"/>
      <c r="AEL9" s="57"/>
      <c r="AEM9" s="57"/>
      <c r="AEN9" s="57"/>
      <c r="AEO9" s="57"/>
      <c r="AEP9" s="57"/>
      <c r="AEQ9" s="57"/>
      <c r="AER9" s="57"/>
      <c r="AES9" s="57"/>
      <c r="AET9" s="57"/>
      <c r="AEU9" s="57"/>
      <c r="AEV9" s="57"/>
      <c r="AEW9" s="57"/>
      <c r="AEX9" s="57"/>
      <c r="AEY9" s="57"/>
      <c r="AEZ9" s="57"/>
      <c r="AFA9" s="57"/>
      <c r="AFB9" s="57"/>
      <c r="AFC9" s="57"/>
      <c r="AFD9" s="57"/>
      <c r="AFE9" s="57"/>
      <c r="AFF9" s="57"/>
      <c r="AFG9" s="57"/>
      <c r="AFH9" s="57"/>
      <c r="AFI9" s="57"/>
      <c r="AFJ9" s="57"/>
      <c r="AFK9" s="57"/>
      <c r="AFL9" s="57"/>
      <c r="AFM9" s="57"/>
      <c r="AFN9" s="57"/>
      <c r="AFO9" s="57"/>
      <c r="AFP9" s="57"/>
      <c r="AFQ9" s="57"/>
      <c r="AFR9" s="57"/>
      <c r="AFS9" s="57"/>
      <c r="AFT9" s="57"/>
      <c r="AFU9" s="57"/>
      <c r="AFV9" s="57"/>
      <c r="AFW9" s="57"/>
      <c r="AFX9" s="57"/>
      <c r="AFY9" s="57"/>
      <c r="AFZ9" s="57"/>
      <c r="AGA9" s="57"/>
      <c r="AGB9" s="57"/>
      <c r="AGC9" s="57"/>
      <c r="AGD9" s="57"/>
      <c r="AGE9" s="57"/>
      <c r="AGF9" s="57"/>
      <c r="AGG9" s="57"/>
      <c r="AGH9" s="57"/>
      <c r="AGI9" s="57"/>
      <c r="AGJ9" s="57"/>
      <c r="AGK9" s="57"/>
      <c r="AGL9" s="57"/>
      <c r="AGM9" s="57"/>
      <c r="AGN9" s="57"/>
      <c r="AGO9" s="57"/>
      <c r="AGP9" s="57"/>
      <c r="AGQ9" s="57"/>
      <c r="AGR9" s="57"/>
      <c r="AGS9" s="57"/>
      <c r="AGT9" s="57"/>
      <c r="AGU9" s="57"/>
      <c r="AGV9" s="57"/>
      <c r="AGW9" s="57"/>
      <c r="AGX9" s="57"/>
      <c r="AGY9" s="57"/>
      <c r="AGZ9" s="57"/>
      <c r="AHA9" s="57"/>
      <c r="AHB9" s="57"/>
      <c r="AHC9" s="57"/>
      <c r="AHD9" s="57"/>
      <c r="AHE9" s="57"/>
      <c r="AHF9" s="57"/>
      <c r="AHG9" s="57"/>
      <c r="AHH9" s="57"/>
      <c r="AHI9" s="57"/>
      <c r="AHJ9" s="57"/>
      <c r="AHK9" s="57"/>
      <c r="AHL9" s="57"/>
      <c r="AHM9" s="57"/>
      <c r="AHN9" s="57"/>
      <c r="AHO9" s="57"/>
      <c r="AHP9" s="57"/>
      <c r="AHQ9" s="57"/>
      <c r="AHR9" s="57"/>
      <c r="AHS9" s="57"/>
      <c r="AHT9" s="57"/>
      <c r="AHU9" s="57"/>
      <c r="AHV9" s="57"/>
      <c r="AHW9" s="57"/>
      <c r="AHX9" s="57"/>
      <c r="AHY9" s="57"/>
      <c r="AHZ9" s="57"/>
      <c r="AIA9" s="57"/>
      <c r="AIB9" s="57"/>
      <c r="AIC9" s="57"/>
      <c r="AID9" s="57"/>
      <c r="AIE9" s="57"/>
      <c r="AIF9" s="57"/>
      <c r="AIG9" s="57"/>
      <c r="AIH9" s="57"/>
      <c r="AII9" s="57"/>
      <c r="AIJ9" s="57"/>
      <c r="AIK9" s="57"/>
      <c r="AIL9" s="57"/>
      <c r="AIM9" s="57"/>
      <c r="AIN9" s="57"/>
      <c r="AIO9" s="57"/>
      <c r="AIP9" s="57"/>
      <c r="AIQ9" s="57"/>
      <c r="AIR9" s="57"/>
      <c r="AIS9" s="57"/>
      <c r="AIT9" s="57"/>
      <c r="AIU9" s="57"/>
      <c r="AIV9" s="57"/>
      <c r="AIW9" s="57"/>
      <c r="AIX9" s="57"/>
      <c r="AIY9" s="57"/>
      <c r="AIZ9" s="57"/>
      <c r="AJA9" s="57"/>
      <c r="AJB9" s="57"/>
      <c r="AJC9" s="57"/>
      <c r="AJD9" s="57"/>
      <c r="AJE9" s="57"/>
      <c r="AJF9" s="57"/>
      <c r="AJG9" s="57"/>
      <c r="AJH9" s="57"/>
      <c r="AJI9" s="57"/>
      <c r="AJJ9" s="57"/>
      <c r="AJK9" s="57"/>
      <c r="AJL9" s="57"/>
      <c r="AJM9" s="57"/>
      <c r="AJN9" s="57"/>
      <c r="AJO9" s="57"/>
      <c r="AJP9" s="57"/>
      <c r="AJQ9" s="57"/>
      <c r="AJR9" s="57"/>
      <c r="AJS9" s="57"/>
      <c r="AJT9" s="57"/>
      <c r="AJU9" s="57"/>
      <c r="AJV9" s="57"/>
      <c r="AJW9" s="57"/>
      <c r="AJX9" s="57"/>
      <c r="AJY9" s="57"/>
      <c r="AJZ9" s="57"/>
      <c r="AKA9" s="57"/>
      <c r="AKB9" s="57"/>
      <c r="AKC9" s="57"/>
      <c r="AKD9" s="57"/>
      <c r="AKE9" s="57"/>
      <c r="AKF9" s="57"/>
      <c r="AKG9" s="57"/>
      <c r="AKH9" s="57"/>
      <c r="AKI9" s="57"/>
      <c r="AKJ9" s="57"/>
      <c r="AKK9" s="57"/>
      <c r="AKL9" s="57"/>
      <c r="AKM9" s="57"/>
      <c r="AKN9" s="57"/>
      <c r="AKO9" s="57"/>
      <c r="AKP9" s="57"/>
      <c r="AKQ9" s="57"/>
      <c r="AKR9" s="57"/>
      <c r="AKS9" s="57"/>
      <c r="AKT9" s="57"/>
      <c r="AKU9" s="57"/>
      <c r="AKV9" s="57"/>
      <c r="AKW9" s="57"/>
      <c r="AKX9" s="57"/>
      <c r="AKY9" s="57"/>
      <c r="AKZ9" s="57"/>
      <c r="ALA9" s="57"/>
      <c r="ALB9" s="57"/>
      <c r="ALC9" s="57"/>
      <c r="ALD9" s="57"/>
      <c r="ALE9" s="57"/>
      <c r="ALF9" s="57"/>
      <c r="ALG9" s="57"/>
      <c r="ALH9" s="57"/>
      <c r="ALI9" s="57"/>
      <c r="ALJ9" s="57"/>
      <c r="ALK9" s="57"/>
      <c r="ALL9" s="57"/>
      <c r="ALM9" s="57"/>
      <c r="ALN9" s="57"/>
      <c r="ALO9" s="57"/>
      <c r="ALP9" s="57"/>
      <c r="ALQ9" s="57"/>
      <c r="ALR9" s="57"/>
      <c r="ALS9" s="57"/>
      <c r="ALT9" s="57"/>
      <c r="ALU9" s="57"/>
      <c r="ALV9" s="57"/>
      <c r="ALW9" s="57"/>
      <c r="ALX9" s="57"/>
      <c r="ALY9" s="57"/>
      <c r="ALZ9" s="57"/>
      <c r="AMA9" s="57"/>
      <c r="AMB9" s="57"/>
      <c r="AMC9" s="57"/>
      <c r="AMD9" s="57"/>
      <c r="AME9" s="57"/>
      <c r="AMF9" s="57"/>
      <c r="AMG9" s="57"/>
      <c r="AMH9" s="57"/>
      <c r="AMI9" s="57"/>
      <c r="AMJ9" s="57"/>
      <c r="AMK9" s="57"/>
      <c r="AML9" s="57"/>
      <c r="AMM9" s="57"/>
      <c r="AMN9" s="57"/>
      <c r="AMO9" s="57"/>
      <c r="AMP9" s="57"/>
      <c r="AMQ9" s="57"/>
      <c r="AMR9" s="57"/>
      <c r="AMS9" s="57"/>
      <c r="AMT9" s="57"/>
      <c r="AMU9" s="57"/>
      <c r="AMV9" s="57"/>
      <c r="AMW9" s="57"/>
      <c r="AMX9" s="57"/>
      <c r="AMY9" s="57"/>
      <c r="AMZ9" s="57"/>
      <c r="ANA9" s="57"/>
      <c r="ANB9" s="57"/>
      <c r="ANC9" s="57"/>
      <c r="AND9" s="57"/>
      <c r="ANE9" s="57"/>
      <c r="ANF9" s="57"/>
      <c r="ANG9" s="57"/>
      <c r="ANH9" s="57"/>
      <c r="ANI9" s="57"/>
      <c r="ANJ9" s="57"/>
      <c r="ANK9" s="57"/>
      <c r="ANL9" s="57"/>
      <c r="ANM9" s="57"/>
      <c r="ANN9" s="57"/>
      <c r="ANO9" s="57"/>
      <c r="ANP9" s="57"/>
      <c r="ANQ9" s="57"/>
      <c r="ANR9" s="57"/>
      <c r="ANS9" s="57"/>
      <c r="ANT9" s="57"/>
      <c r="ANU9" s="57"/>
      <c r="ANV9" s="57"/>
      <c r="ANW9" s="57"/>
      <c r="ANX9" s="57"/>
      <c r="ANY9" s="57"/>
      <c r="ANZ9" s="57"/>
      <c r="AOA9" s="57"/>
      <c r="AOB9" s="57"/>
      <c r="AOC9" s="57"/>
      <c r="AOD9" s="57"/>
      <c r="AOE9" s="57"/>
      <c r="AOF9" s="57"/>
      <c r="AOG9" s="57"/>
      <c r="AOH9" s="57"/>
      <c r="AOI9" s="57"/>
      <c r="AOJ9" s="57"/>
      <c r="AOK9" s="57"/>
      <c r="AOL9" s="57"/>
      <c r="AOM9" s="57"/>
      <c r="AON9" s="57"/>
      <c r="AOO9" s="57"/>
      <c r="AOP9" s="57"/>
      <c r="AOQ9" s="57"/>
      <c r="AOR9" s="57"/>
      <c r="AOS9" s="57"/>
      <c r="AOT9" s="57"/>
      <c r="AOU9" s="57"/>
      <c r="AOV9" s="57"/>
      <c r="AOW9" s="57"/>
      <c r="AOX9" s="57"/>
      <c r="AOY9" s="57"/>
      <c r="AOZ9" s="57"/>
      <c r="APA9" s="57"/>
      <c r="APB9" s="57"/>
      <c r="APC9" s="57"/>
      <c r="APD9" s="57"/>
      <c r="APE9" s="57"/>
      <c r="APF9" s="57"/>
      <c r="APG9" s="57"/>
      <c r="APH9" s="57"/>
      <c r="API9" s="57"/>
      <c r="APJ9" s="57"/>
      <c r="APK9" s="57"/>
      <c r="APL9" s="57"/>
      <c r="APM9" s="57"/>
      <c r="APN9" s="57"/>
      <c r="APO9" s="57"/>
      <c r="APP9" s="57"/>
      <c r="APQ9" s="57"/>
      <c r="APR9" s="57"/>
      <c r="APS9" s="57"/>
      <c r="APT9" s="57"/>
      <c r="APU9" s="57"/>
      <c r="APV9" s="57"/>
      <c r="APW9" s="57"/>
      <c r="APX9" s="57"/>
      <c r="APY9" s="57"/>
      <c r="APZ9" s="57"/>
      <c r="AQA9" s="57"/>
      <c r="AQB9" s="57"/>
      <c r="AQC9" s="57"/>
      <c r="AQD9" s="57"/>
      <c r="AQE9" s="57"/>
      <c r="AQF9" s="57"/>
      <c r="AQG9" s="57"/>
      <c r="AQH9" s="57"/>
      <c r="AQI9" s="57"/>
      <c r="AQJ9" s="57"/>
      <c r="AQK9" s="57"/>
      <c r="AQL9" s="57"/>
      <c r="AQM9" s="57"/>
      <c r="AQN9" s="57"/>
      <c r="AQO9" s="57"/>
      <c r="AQP9" s="57"/>
      <c r="AQQ9" s="57"/>
      <c r="AQR9" s="57"/>
      <c r="AQS9" s="57"/>
      <c r="AQT9" s="57"/>
      <c r="AQU9" s="57"/>
      <c r="AQV9" s="57"/>
      <c r="AQW9" s="57"/>
      <c r="AQX9" s="57"/>
      <c r="AQY9" s="57"/>
      <c r="AQZ9" s="57"/>
      <c r="ARA9" s="57"/>
      <c r="ARB9" s="57"/>
      <c r="ARC9" s="57"/>
      <c r="ARD9" s="57"/>
      <c r="ARE9" s="57"/>
      <c r="ARF9" s="57"/>
      <c r="ARG9" s="57"/>
      <c r="ARH9" s="57"/>
      <c r="ARI9" s="57"/>
      <c r="ARJ9" s="57"/>
      <c r="ARK9" s="57"/>
      <c r="ARL9" s="57"/>
      <c r="ARM9" s="57"/>
      <c r="ARN9" s="57"/>
      <c r="ARO9" s="57"/>
      <c r="ARP9" s="57"/>
      <c r="ARQ9" s="57"/>
      <c r="ARR9" s="57"/>
      <c r="ARS9" s="57"/>
      <c r="ART9" s="57"/>
      <c r="ARU9" s="57"/>
      <c r="ARV9" s="57"/>
      <c r="ARW9" s="57"/>
      <c r="ARX9" s="57"/>
      <c r="ARY9" s="57"/>
      <c r="ARZ9" s="57"/>
      <c r="ASA9" s="57"/>
      <c r="ASB9" s="57"/>
      <c r="ASC9" s="57"/>
      <c r="ASD9" s="57"/>
      <c r="ASE9" s="57"/>
      <c r="ASF9" s="57"/>
      <c r="ASG9" s="57"/>
      <c r="ASH9" s="57"/>
      <c r="ASI9" s="57"/>
      <c r="ASJ9" s="57"/>
      <c r="ASK9" s="57"/>
      <c r="ASL9" s="57"/>
      <c r="ASM9" s="57"/>
      <c r="ASN9" s="57"/>
      <c r="ASO9" s="57"/>
      <c r="ASP9" s="57"/>
      <c r="ASQ9" s="57"/>
      <c r="ASR9" s="57"/>
      <c r="ASS9" s="57"/>
      <c r="AST9" s="57"/>
      <c r="ASU9" s="57"/>
      <c r="ASV9" s="57"/>
      <c r="ASW9" s="57"/>
      <c r="ASX9" s="57"/>
      <c r="ASY9" s="57"/>
      <c r="ASZ9" s="57"/>
      <c r="ATA9" s="57"/>
      <c r="ATB9" s="57"/>
      <c r="ATC9" s="57"/>
      <c r="ATD9" s="57"/>
      <c r="ATE9" s="57"/>
      <c r="ATF9" s="57"/>
      <c r="ATG9" s="57"/>
      <c r="ATH9" s="57"/>
      <c r="ATI9" s="57"/>
      <c r="ATJ9" s="57"/>
      <c r="ATK9" s="57"/>
      <c r="ATL9" s="57"/>
      <c r="ATM9" s="57"/>
      <c r="ATN9" s="57"/>
      <c r="ATO9" s="57"/>
      <c r="ATP9" s="57"/>
      <c r="ATQ9" s="57"/>
      <c r="ATR9" s="57"/>
      <c r="ATS9" s="57"/>
      <c r="ATT9" s="57"/>
      <c r="ATU9" s="57"/>
      <c r="ATV9" s="57"/>
      <c r="ATW9" s="57"/>
      <c r="ATX9" s="57"/>
      <c r="ATY9" s="57"/>
      <c r="ATZ9" s="57"/>
      <c r="AUA9" s="57"/>
      <c r="AUB9" s="57"/>
      <c r="AUC9" s="57"/>
      <c r="AUD9" s="57"/>
      <c r="AUE9" s="57"/>
      <c r="AUF9" s="57"/>
      <c r="AUG9" s="57"/>
      <c r="AUH9" s="57"/>
      <c r="AUI9" s="57"/>
      <c r="AUJ9" s="57"/>
      <c r="AUK9" s="57"/>
      <c r="AUL9" s="57"/>
      <c r="AUM9" s="57"/>
      <c r="AUN9" s="57"/>
      <c r="AUO9" s="57"/>
      <c r="AUP9" s="57"/>
      <c r="AUQ9" s="57"/>
      <c r="AUR9" s="57"/>
      <c r="AUS9" s="57"/>
      <c r="AUT9" s="57"/>
      <c r="AUU9" s="57"/>
      <c r="AUV9" s="57"/>
      <c r="AUW9" s="57"/>
      <c r="AUX9" s="57"/>
      <c r="AUY9" s="57"/>
      <c r="AUZ9" s="57"/>
      <c r="AVA9" s="57"/>
      <c r="AVB9" s="57"/>
      <c r="AVC9" s="57"/>
      <c r="AVD9" s="57"/>
      <c r="AVE9" s="57"/>
      <c r="AVF9" s="57"/>
      <c r="AVG9" s="57"/>
      <c r="AVH9" s="57"/>
      <c r="AVI9" s="57"/>
      <c r="AVJ9" s="57"/>
      <c r="AVK9" s="57"/>
      <c r="AVL9" s="57"/>
      <c r="AVM9" s="57"/>
      <c r="AVN9" s="57"/>
      <c r="AVO9" s="57"/>
      <c r="AVP9" s="57"/>
      <c r="AVQ9" s="57"/>
      <c r="AVR9" s="57"/>
      <c r="AVS9" s="57"/>
      <c r="AVT9" s="57"/>
      <c r="AVU9" s="57"/>
      <c r="AVV9" s="57"/>
      <c r="AVW9" s="57"/>
      <c r="AVX9" s="57"/>
      <c r="AVY9" s="57"/>
      <c r="AVZ9" s="57"/>
      <c r="AWA9" s="57"/>
      <c r="AWB9" s="57"/>
      <c r="AWC9" s="57"/>
      <c r="AWD9" s="57"/>
      <c r="AWE9" s="57"/>
      <c r="AWF9" s="57"/>
      <c r="AWG9" s="57"/>
      <c r="AWH9" s="57"/>
      <c r="AWI9" s="57"/>
      <c r="AWJ9" s="57"/>
      <c r="AWK9" s="57"/>
      <c r="AWL9" s="57"/>
      <c r="AWM9" s="57"/>
      <c r="AWN9" s="57"/>
      <c r="AWO9" s="57"/>
      <c r="AWP9" s="57"/>
      <c r="AWQ9" s="57"/>
      <c r="AWR9" s="57"/>
      <c r="AWS9" s="57"/>
      <c r="AWT9" s="57"/>
      <c r="AWU9" s="57"/>
      <c r="AWV9" s="57"/>
      <c r="AWW9" s="57"/>
      <c r="AWX9" s="57"/>
      <c r="AWY9" s="57"/>
      <c r="AWZ9" s="57"/>
      <c r="AXA9" s="57"/>
      <c r="AXB9" s="57"/>
      <c r="AXC9" s="57"/>
      <c r="AXD9" s="57"/>
      <c r="AXE9" s="57"/>
      <c r="AXF9" s="57"/>
      <c r="AXG9" s="57"/>
      <c r="AXH9" s="57"/>
      <c r="AXI9" s="57"/>
      <c r="AXJ9" s="57"/>
      <c r="AXK9" s="57"/>
      <c r="AXL9" s="57"/>
      <c r="AXM9" s="57"/>
      <c r="AXN9" s="57"/>
      <c r="AXO9" s="57"/>
      <c r="AXP9" s="57"/>
      <c r="AXQ9" s="57"/>
      <c r="AXR9" s="57"/>
      <c r="AXS9" s="57"/>
      <c r="AXT9" s="57"/>
      <c r="AXU9" s="57"/>
      <c r="AXV9" s="57"/>
      <c r="AXW9" s="57"/>
      <c r="AXX9" s="57"/>
      <c r="AXY9" s="57"/>
      <c r="AXZ9" s="57"/>
      <c r="AYA9" s="57"/>
      <c r="AYB9" s="57"/>
      <c r="AYC9" s="57"/>
      <c r="AYD9" s="57"/>
      <c r="AYE9" s="57"/>
      <c r="AYF9" s="57"/>
      <c r="AYG9" s="57"/>
      <c r="AYH9" s="57"/>
      <c r="AYI9" s="57"/>
      <c r="AYJ9" s="57"/>
      <c r="AYK9" s="57"/>
      <c r="AYL9" s="57"/>
      <c r="AYM9" s="57"/>
      <c r="AYN9" s="57"/>
      <c r="AYO9" s="57"/>
      <c r="AYP9" s="57"/>
      <c r="AYQ9" s="57"/>
      <c r="AYR9" s="57"/>
      <c r="AYS9" s="57"/>
      <c r="AYT9" s="57"/>
      <c r="AYU9" s="57"/>
      <c r="AYV9" s="57"/>
      <c r="AYW9" s="57"/>
      <c r="AYX9" s="57"/>
      <c r="AYY9" s="57"/>
      <c r="AYZ9" s="57"/>
      <c r="AZA9" s="57"/>
      <c r="AZB9" s="57"/>
      <c r="AZC9" s="57"/>
      <c r="AZD9" s="57"/>
      <c r="AZE9" s="57"/>
      <c r="AZF9" s="57"/>
      <c r="AZG9" s="57"/>
      <c r="AZH9" s="57"/>
      <c r="AZI9" s="57"/>
      <c r="AZJ9" s="57"/>
      <c r="AZK9" s="57"/>
      <c r="AZL9" s="57"/>
      <c r="AZM9" s="57"/>
      <c r="AZN9" s="57"/>
      <c r="AZO9" s="57"/>
      <c r="AZP9" s="57"/>
      <c r="AZQ9" s="57"/>
      <c r="AZR9" s="57"/>
      <c r="AZS9" s="57"/>
      <c r="AZT9" s="57"/>
      <c r="AZU9" s="57"/>
      <c r="AZV9" s="57"/>
      <c r="AZW9" s="57"/>
      <c r="AZX9" s="57"/>
      <c r="AZY9" s="57"/>
      <c r="AZZ9" s="57"/>
      <c r="BAA9" s="57"/>
      <c r="BAB9" s="57"/>
      <c r="BAC9" s="57"/>
      <c r="BAD9" s="57"/>
      <c r="BAE9" s="57"/>
      <c r="BAF9" s="57"/>
      <c r="BAG9" s="57"/>
      <c r="BAH9" s="57"/>
      <c r="BAI9" s="57"/>
      <c r="BAJ9" s="57"/>
      <c r="BAK9" s="57"/>
      <c r="BAL9" s="57"/>
      <c r="BAM9" s="57"/>
      <c r="BAN9" s="57"/>
      <c r="BAO9" s="57"/>
      <c r="BAP9" s="57"/>
      <c r="BAQ9" s="57"/>
      <c r="BAR9" s="57"/>
      <c r="BAS9" s="57"/>
      <c r="BAT9" s="57"/>
      <c r="BAU9" s="57"/>
      <c r="BAV9" s="57"/>
      <c r="BAW9" s="57"/>
      <c r="BAX9" s="57"/>
      <c r="BAY9" s="57"/>
      <c r="BAZ9" s="57"/>
      <c r="BBA9" s="57"/>
      <c r="BBB9" s="57"/>
      <c r="BBC9" s="57"/>
      <c r="BBD9" s="57"/>
      <c r="BBE9" s="57"/>
      <c r="BBF9" s="57"/>
      <c r="BBG9" s="57"/>
      <c r="BBH9" s="57"/>
      <c r="BBI9" s="57"/>
      <c r="BBJ9" s="57"/>
      <c r="BBK9" s="57"/>
      <c r="BBL9" s="57"/>
      <c r="BBM9" s="57"/>
      <c r="BBN9" s="57"/>
      <c r="BBO9" s="57"/>
      <c r="BBP9" s="57"/>
      <c r="BBQ9" s="57"/>
      <c r="BBR9" s="57"/>
      <c r="BBS9" s="57"/>
      <c r="BBT9" s="57"/>
      <c r="BBU9" s="57"/>
      <c r="BBV9" s="57"/>
      <c r="BBW9" s="57"/>
      <c r="BBX9" s="57"/>
      <c r="BBY9" s="57"/>
      <c r="BBZ9" s="57"/>
      <c r="BCA9" s="57"/>
      <c r="BCB9" s="57"/>
      <c r="BCC9" s="57"/>
      <c r="BCD9" s="57"/>
      <c r="BCE9" s="57"/>
      <c r="BCF9" s="57"/>
      <c r="BCG9" s="57"/>
      <c r="BCH9" s="57"/>
      <c r="BCI9" s="57"/>
      <c r="BCJ9" s="57"/>
      <c r="BCK9" s="57"/>
      <c r="BCL9" s="57"/>
      <c r="BCM9" s="57"/>
      <c r="BCN9" s="57"/>
      <c r="BCO9" s="57"/>
      <c r="BCP9" s="57"/>
      <c r="BCQ9" s="57"/>
      <c r="BCR9" s="57"/>
      <c r="BCS9" s="57"/>
      <c r="BCT9" s="57"/>
      <c r="BCU9" s="57"/>
      <c r="BCV9" s="57"/>
      <c r="BCW9" s="57"/>
      <c r="BCX9" s="57"/>
    </row>
    <row r="10" spans="1:1454" s="49" customFormat="1" x14ac:dyDescent="0.25">
      <c r="A10" s="80">
        <v>2</v>
      </c>
      <c r="B10" s="76" t="str">
        <f>线路!B7</f>
        <v>IP4</v>
      </c>
      <c r="C10" s="81">
        <f>线路!E7</f>
        <v>451364.00469999999</v>
      </c>
      <c r="D10" s="81">
        <f>线路!F7</f>
        <v>3047953.6310999999</v>
      </c>
      <c r="E10" s="85">
        <f>线路!G7</f>
        <v>13</v>
      </c>
      <c r="F10" s="85">
        <f>线路!H7</f>
        <v>16.202000000000002</v>
      </c>
      <c r="G10" s="86">
        <f>线路!L7</f>
        <v>249.13332154921366</v>
      </c>
      <c r="H10" s="86">
        <f>线路!M7</f>
        <v>250.97138014436646</v>
      </c>
      <c r="I10" s="86">
        <f>线路!N7</f>
        <v>252.80943873951924</v>
      </c>
      <c r="J10" s="83">
        <f t="shared" si="0"/>
        <v>3.6761171903055754</v>
      </c>
      <c r="K10" s="83">
        <f t="shared" si="13"/>
        <v>101.24223435357757</v>
      </c>
      <c r="L10" s="83">
        <f>IF(A10=1,断面设计!$D$7,IF(A10=2,断面设计!$D$8,IF(A10=3,断面设计!$D$9,IF(A10=4,断面设计!$D$10,IF(A10=5,断面设计!$D$11,IF(A10=6,断面设计!$D$12,IF(A10=7,断面设计!$D$13,IF(A10=8,断面设计!$D$14,IF(A10=9,断面设计!$D$15,IF(A10=10,断面设计!$D$16))))))))))</f>
        <v>1.5</v>
      </c>
      <c r="M10" s="83">
        <f t="shared" si="14"/>
        <v>1.2</v>
      </c>
      <c r="N10" s="110">
        <f t="shared" si="1"/>
        <v>1.4999999999999999E-2</v>
      </c>
      <c r="O10" s="83">
        <f>IF(A10=1,断面设计!$J$7,IF(A10=2,断面设计!$J$8,IF(A10=3,断面设计!$J$9,IF(A10=4,断面设计!$J$10,IF(A10=5,断面设计!$J$11,IF(A10=6,断面设计!$J$12,IF(A10=7,断面设计!$J$13,IF(A10=8,断面设计!$J$14,IF(A10=9,断面设计!$J$15,IF(A10=10,断面设计!$J$16))))))))))</f>
        <v>5000</v>
      </c>
      <c r="P10" s="111">
        <f>IF(A10=1,断面设计!$K$7,IF(A10=2,断面设计!$K$8,IF(A10=3,断面设计!$K$9,IF(A10=4,断面设计!$K$10,IF(A10=5,断面设计!$K$11,IF(A10=6,断面设计!$K$12,IF(A10=7,断面设计!$K$13,IF(A10=8,断面设计!$K$14,IF(A10=9,断面设计!$K$15,IF(A10=10,断面设计!$K$16))))))))))</f>
        <v>4.4993914540329225</v>
      </c>
      <c r="Q10" s="110">
        <f>IF(A10=1,断面设计!$C$7,IF(A10=2,断面设计!$C$8,IF(A10=3,断面设计!$C$9,IF(A10=4,断面设计!$C$10,IF(A10=5,断面设计!$C$11,IF(A10=6,断面设计!$C$12,IF(A10=7,断面设计!$C$13,IF(A10=8,断面设计!$C$14,IF(A10=9,断面设计!$C$15,IF(A10=10,断面设计!$C$16))))))))))</f>
        <v>1.58308906639964</v>
      </c>
      <c r="R10" s="83">
        <f>IF(A10=1,断面设计!$F$7,IF(A10=2,断面设计!$F$8,IF(A10=3,断面设计!$F$9,IF(A10=4,断面设计!$F$10,IF(A10=5,断面设计!$F$11,IF(A10=6,断面设计!$F$12,IF(A10=7,断面设计!$F$13,IF(A10=8,断面设计!$F$14,IF(A10=9,断面设计!$F$15,IF(A10=10,断面设计!$F$16))))))))))</f>
        <v>5.3820387901843603</v>
      </c>
      <c r="S10" s="83">
        <f>IF(A10=1,断面设计!$G$7,IF(A10=2,断面设计!$G$8,IF(A10=3,断面设计!$G$9,IF(A10=4,断面设计!$G$10,IF(A10=5,断面设计!$G$11,IF(A10=6,断面设计!$G$12,IF(A10=7,断面设计!$G$13,IF(A10=8,断面设计!$G$14,IF(A10=9,断面设计!$G$15,IF(A10=10,断面设计!$G$16))))))))))</f>
        <v>6.445728347111662</v>
      </c>
      <c r="T10" s="83">
        <f t="shared" si="15"/>
        <v>0.83497760072312976</v>
      </c>
      <c r="U10" s="83">
        <f t="shared" si="16"/>
        <v>0.8360013053489711</v>
      </c>
      <c r="V10" s="123">
        <f t="shared" si="17"/>
        <v>3.8808438205461382E-4</v>
      </c>
      <c r="W10" s="110"/>
      <c r="X10" s="110">
        <f>IF(AN10=0,IF(AN9=2,(H10-H9-AE9)/O10,(H10-H9)/O10),IF(AN10=1,IF(AN9=2,IF(AE10&lt;9,(H10-H9-AE10-AE9)/断面设计!$J$7,(H10-H9-AE10-AE9)/断面设计!$J$7),(H10-H9-AE10)/O9),(H10-H9)/O10))</f>
        <v>2.0248446870715513E-2</v>
      </c>
      <c r="Y10" s="133">
        <v>0</v>
      </c>
      <c r="Z10" s="134">
        <f t="shared" si="26"/>
        <v>0</v>
      </c>
      <c r="AA10" s="83"/>
      <c r="AB10" s="133">
        <f t="shared" si="4"/>
        <v>1.58308906639964</v>
      </c>
      <c r="AC10" s="110">
        <f t="shared" si="5"/>
        <v>2.0636531252770127E-2</v>
      </c>
      <c r="AD10" s="110">
        <f t="shared" si="18"/>
        <v>2392.2166117219012</v>
      </c>
      <c r="AE10" s="82">
        <f t="shared" si="19"/>
        <v>0</v>
      </c>
      <c r="AF10" s="110" t="str">
        <f t="shared" si="6"/>
        <v xml:space="preserve"> </v>
      </c>
      <c r="AG10" s="110" t="str">
        <f>IF(AE10=0," ",AF10-断面设计!$C$7)</f>
        <v xml:space="preserve"> </v>
      </c>
      <c r="AH10" s="110">
        <f t="shared" si="7"/>
        <v>2392.2173674180021</v>
      </c>
      <c r="AI10" s="110">
        <f t="shared" si="8"/>
        <v>2390.6342783516025</v>
      </c>
      <c r="AJ10" s="110">
        <f t="shared" si="9"/>
        <v>2392.2162441101823</v>
      </c>
      <c r="AK10" s="110">
        <f t="shared" si="10"/>
        <v>2390.6331550437826</v>
      </c>
      <c r="AL10" s="110">
        <f t="shared" si="11"/>
        <v>2392.2168057640924</v>
      </c>
      <c r="AM10" s="110">
        <f t="shared" si="12"/>
        <v>2390.6337166976928</v>
      </c>
      <c r="AN10" s="80"/>
      <c r="AO10" s="80">
        <v>0</v>
      </c>
      <c r="AP10" s="161"/>
      <c r="AQ10" s="42"/>
      <c r="AR10" s="42"/>
      <c r="AS10" s="42"/>
      <c r="AT10" s="42"/>
      <c r="AU10" s="64" t="str">
        <f t="shared" si="20"/>
        <v>250.971380144366,2390.63371669769</v>
      </c>
      <c r="AV10" s="64" t="str">
        <f t="shared" si="21"/>
        <v>250.971380144366,2392.21680576409</v>
      </c>
      <c r="AW10" s="169" t="str">
        <f t="shared" si="22"/>
        <v xml:space="preserve">pl 250.971380144366,0 250.971380144366,76 </v>
      </c>
      <c r="AX10" s="161" t="str">
        <f t="shared" si="23"/>
        <v>-text 250.971380144366,48 3.5 90 2390.634</v>
      </c>
      <c r="AY10" s="161" t="str">
        <f t="shared" si="24"/>
        <v>-text 250.971380144366,62.5 3.5 90 2392.217</v>
      </c>
      <c r="AZ10" s="42" t="str">
        <f t="shared" si="25"/>
        <v>-text 250.971380144366,23.5 3.5 90 马分0+250.97</v>
      </c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  <c r="FI10" s="42"/>
      <c r="FJ10" s="42"/>
      <c r="FK10" s="42"/>
      <c r="FL10" s="42"/>
      <c r="FM10" s="42"/>
      <c r="FN10" s="42"/>
      <c r="FO10" s="42"/>
      <c r="FP10" s="42"/>
      <c r="FQ10" s="42"/>
      <c r="FR10" s="42"/>
      <c r="FS10" s="42"/>
      <c r="FT10" s="42"/>
      <c r="FU10" s="42"/>
      <c r="FV10" s="42"/>
      <c r="FW10" s="42"/>
      <c r="FX10" s="42"/>
      <c r="FY10" s="42"/>
      <c r="FZ10" s="42"/>
      <c r="GA10" s="42"/>
      <c r="GB10" s="42"/>
      <c r="GC10" s="42"/>
      <c r="GD10" s="42"/>
      <c r="GE10" s="42"/>
      <c r="GF10" s="42"/>
      <c r="GG10" s="42"/>
      <c r="GH10" s="42"/>
      <c r="GI10" s="42"/>
      <c r="GJ10" s="42"/>
      <c r="GK10" s="42"/>
      <c r="GL10" s="42"/>
      <c r="GM10" s="42"/>
      <c r="GN10" s="42"/>
      <c r="GO10" s="42"/>
      <c r="GP10" s="42"/>
      <c r="GQ10" s="42"/>
      <c r="GR10" s="42"/>
      <c r="GS10" s="42"/>
      <c r="GT10" s="42"/>
      <c r="GU10" s="42"/>
      <c r="GV10" s="42"/>
      <c r="GW10" s="42"/>
      <c r="GX10" s="42"/>
      <c r="GY10" s="42"/>
      <c r="GZ10" s="42"/>
      <c r="HA10" s="42"/>
      <c r="HB10" s="42"/>
      <c r="HC10" s="42"/>
      <c r="HD10" s="42"/>
      <c r="HE10" s="42"/>
      <c r="HF10" s="42"/>
      <c r="HG10" s="42"/>
      <c r="HH10" s="42"/>
      <c r="HI10" s="42"/>
      <c r="HJ10" s="42"/>
      <c r="HK10" s="42"/>
      <c r="HL10" s="42"/>
      <c r="HM10" s="42"/>
      <c r="HN10" s="42"/>
      <c r="HO10" s="42"/>
      <c r="HP10" s="42"/>
      <c r="HQ10" s="42"/>
      <c r="HR10" s="42"/>
      <c r="HS10" s="42"/>
      <c r="HT10" s="42"/>
      <c r="HU10" s="42"/>
      <c r="HV10" s="42"/>
      <c r="HW10" s="42"/>
      <c r="HX10" s="42"/>
      <c r="HY10" s="42"/>
      <c r="HZ10" s="42"/>
      <c r="IA10" s="42"/>
      <c r="IB10" s="42"/>
      <c r="IC10" s="42"/>
      <c r="ID10" s="42"/>
      <c r="IE10" s="42"/>
      <c r="IF10" s="42"/>
      <c r="IG10" s="42"/>
      <c r="IH10" s="42"/>
      <c r="II10" s="42"/>
      <c r="IJ10" s="42"/>
      <c r="IK10" s="42"/>
      <c r="IL10" s="42"/>
      <c r="IM10" s="42"/>
      <c r="IN10" s="42"/>
      <c r="IO10" s="42"/>
      <c r="IP10" s="42"/>
      <c r="IQ10" s="42"/>
      <c r="IR10" s="42"/>
      <c r="IS10" s="42"/>
      <c r="IT10" s="42"/>
      <c r="IU10" s="42"/>
      <c r="IV10" s="42"/>
      <c r="IW10" s="42"/>
      <c r="IX10" s="42"/>
      <c r="IY10" s="42"/>
      <c r="IZ10" s="42"/>
      <c r="JA10" s="42"/>
      <c r="JB10" s="42"/>
      <c r="JC10" s="42"/>
      <c r="JD10" s="42"/>
      <c r="JE10" s="42"/>
      <c r="JF10" s="42"/>
      <c r="JG10" s="42"/>
      <c r="JH10" s="42"/>
      <c r="JI10" s="42"/>
      <c r="JJ10" s="42"/>
      <c r="JK10" s="42"/>
      <c r="JL10" s="42"/>
      <c r="JM10" s="42"/>
      <c r="JN10" s="42"/>
      <c r="JO10" s="42"/>
      <c r="JP10" s="42"/>
      <c r="JQ10" s="42"/>
      <c r="JR10" s="42"/>
      <c r="JS10" s="42"/>
      <c r="JT10" s="42"/>
      <c r="JU10" s="42"/>
      <c r="JV10" s="42"/>
      <c r="JW10" s="42"/>
      <c r="JX10" s="42"/>
      <c r="JY10" s="42"/>
      <c r="JZ10" s="42"/>
      <c r="KA10" s="42"/>
      <c r="KB10" s="42"/>
      <c r="KC10" s="42"/>
      <c r="KD10" s="42"/>
      <c r="KE10" s="42"/>
      <c r="KF10" s="42"/>
      <c r="KG10" s="42"/>
      <c r="KH10" s="42"/>
      <c r="KI10" s="42"/>
      <c r="KJ10" s="42"/>
      <c r="KK10" s="42"/>
      <c r="KL10" s="42"/>
      <c r="KM10" s="42"/>
      <c r="KN10" s="42"/>
      <c r="KO10" s="42"/>
      <c r="KP10" s="42"/>
      <c r="KQ10" s="42"/>
      <c r="KR10" s="42"/>
      <c r="KS10" s="42"/>
      <c r="KT10" s="42"/>
      <c r="KU10" s="42"/>
      <c r="KV10" s="42"/>
      <c r="KW10" s="42"/>
      <c r="KX10" s="42"/>
      <c r="KY10" s="42"/>
      <c r="KZ10" s="42"/>
      <c r="LA10" s="42"/>
      <c r="LB10" s="42"/>
      <c r="LC10" s="42"/>
      <c r="LD10" s="42"/>
      <c r="LE10" s="42"/>
      <c r="LF10" s="42"/>
      <c r="LG10" s="42"/>
      <c r="LH10" s="42"/>
      <c r="LI10" s="42"/>
      <c r="LJ10" s="42"/>
      <c r="LK10" s="42"/>
      <c r="LL10" s="42"/>
      <c r="LM10" s="42"/>
      <c r="LN10" s="42"/>
      <c r="LO10" s="42"/>
      <c r="LP10" s="42"/>
      <c r="LQ10" s="42"/>
      <c r="LR10" s="42"/>
      <c r="LS10" s="42"/>
      <c r="LT10" s="42"/>
      <c r="LU10" s="42"/>
      <c r="LV10" s="42"/>
      <c r="LW10" s="42"/>
      <c r="LX10" s="42"/>
      <c r="LY10" s="42"/>
      <c r="LZ10" s="42"/>
      <c r="MA10" s="42"/>
      <c r="MB10" s="42"/>
      <c r="MC10" s="42"/>
      <c r="MD10" s="42"/>
      <c r="ME10" s="42"/>
      <c r="MF10" s="42"/>
      <c r="MG10" s="42"/>
      <c r="MH10" s="42"/>
      <c r="MI10" s="42"/>
      <c r="MJ10" s="42"/>
      <c r="MK10" s="42"/>
      <c r="ML10" s="42"/>
      <c r="MM10" s="42"/>
      <c r="MN10" s="42"/>
      <c r="MO10" s="42"/>
      <c r="MP10" s="42"/>
      <c r="MQ10" s="42"/>
      <c r="MR10" s="42"/>
      <c r="MS10" s="42"/>
      <c r="MT10" s="42"/>
      <c r="MU10" s="42"/>
      <c r="MV10" s="42"/>
      <c r="MW10" s="42"/>
      <c r="MX10" s="42"/>
      <c r="MY10" s="42"/>
      <c r="MZ10" s="42"/>
      <c r="NA10" s="42"/>
      <c r="NB10" s="42"/>
      <c r="NC10" s="42"/>
      <c r="ND10" s="42"/>
      <c r="NE10" s="42"/>
      <c r="NF10" s="42"/>
      <c r="NG10" s="42"/>
      <c r="NH10" s="42"/>
      <c r="NI10" s="42"/>
      <c r="NJ10" s="42"/>
      <c r="NK10" s="42"/>
      <c r="NL10" s="42"/>
      <c r="NM10" s="42"/>
      <c r="NN10" s="42"/>
      <c r="NO10" s="42"/>
      <c r="NP10" s="42"/>
      <c r="NQ10" s="42"/>
      <c r="NR10" s="42"/>
      <c r="NS10" s="42"/>
      <c r="NT10" s="42"/>
      <c r="NU10" s="42"/>
      <c r="NV10" s="42"/>
      <c r="NW10" s="42"/>
      <c r="NX10" s="42"/>
      <c r="NY10" s="42"/>
      <c r="NZ10" s="42"/>
      <c r="OA10" s="42"/>
      <c r="OB10" s="42"/>
      <c r="OC10" s="42"/>
      <c r="OD10" s="42"/>
      <c r="OE10" s="42"/>
      <c r="OF10" s="42"/>
      <c r="OG10" s="42"/>
      <c r="OH10" s="42"/>
      <c r="OI10" s="42"/>
      <c r="OJ10" s="42"/>
      <c r="OK10" s="42"/>
      <c r="OL10" s="42"/>
      <c r="OM10" s="42"/>
      <c r="ON10" s="42"/>
      <c r="OO10" s="42"/>
      <c r="OP10" s="42"/>
      <c r="OQ10" s="42"/>
      <c r="OR10" s="42"/>
      <c r="OS10" s="42"/>
      <c r="OT10" s="42"/>
      <c r="OU10" s="42"/>
      <c r="OV10" s="42"/>
      <c r="OW10" s="42"/>
      <c r="OX10" s="42"/>
      <c r="OY10" s="42"/>
      <c r="OZ10" s="42"/>
      <c r="PA10" s="42"/>
      <c r="PB10" s="42"/>
      <c r="PC10" s="42"/>
      <c r="PD10" s="42"/>
      <c r="PE10" s="42"/>
      <c r="PF10" s="42"/>
      <c r="PG10" s="42"/>
      <c r="PH10" s="42"/>
      <c r="PI10" s="42"/>
      <c r="PJ10" s="42"/>
      <c r="PK10" s="42"/>
      <c r="PL10" s="42"/>
      <c r="PM10" s="42"/>
      <c r="PN10" s="42"/>
      <c r="PO10" s="42"/>
      <c r="PP10" s="42"/>
      <c r="PQ10" s="42"/>
      <c r="PR10" s="42"/>
      <c r="PS10" s="42"/>
      <c r="PT10" s="42"/>
      <c r="PU10" s="42"/>
      <c r="PV10" s="42"/>
      <c r="PW10" s="42"/>
      <c r="PX10" s="42"/>
      <c r="PY10" s="42"/>
      <c r="PZ10" s="42"/>
      <c r="QA10" s="42"/>
      <c r="QB10" s="42"/>
      <c r="QC10" s="42"/>
      <c r="QD10" s="42"/>
      <c r="QE10" s="42"/>
      <c r="QF10" s="42"/>
      <c r="QG10" s="42"/>
      <c r="QH10" s="42"/>
      <c r="QI10" s="42"/>
      <c r="QJ10" s="42"/>
      <c r="QK10" s="42"/>
      <c r="QL10" s="42"/>
      <c r="QM10" s="42"/>
      <c r="QN10" s="42"/>
      <c r="QO10" s="42"/>
      <c r="QP10" s="42"/>
      <c r="QQ10" s="42"/>
      <c r="QR10" s="42"/>
      <c r="QS10" s="42"/>
      <c r="QT10" s="42"/>
      <c r="QU10" s="42"/>
      <c r="QV10" s="42"/>
      <c r="QW10" s="42"/>
      <c r="QX10" s="42"/>
      <c r="QY10" s="42"/>
      <c r="QZ10" s="42"/>
      <c r="RA10" s="42"/>
      <c r="RB10" s="42"/>
      <c r="RC10" s="42"/>
      <c r="RD10" s="42"/>
      <c r="RE10" s="42"/>
      <c r="RF10" s="42"/>
      <c r="RG10" s="42"/>
      <c r="RH10" s="42"/>
      <c r="RI10" s="42"/>
      <c r="RJ10" s="42"/>
      <c r="RK10" s="42"/>
      <c r="RL10" s="42"/>
      <c r="RM10" s="42"/>
      <c r="RN10" s="42"/>
      <c r="RO10" s="42"/>
      <c r="RP10" s="42"/>
      <c r="RQ10" s="42"/>
      <c r="RR10" s="42"/>
      <c r="RS10" s="42"/>
      <c r="RT10" s="42"/>
      <c r="RU10" s="42"/>
      <c r="RV10" s="42"/>
      <c r="RW10" s="42"/>
      <c r="RX10" s="42"/>
      <c r="RY10" s="42"/>
      <c r="RZ10" s="42"/>
      <c r="SA10" s="42"/>
      <c r="SB10" s="42"/>
      <c r="SC10" s="42"/>
      <c r="SD10" s="42"/>
      <c r="SE10" s="42"/>
      <c r="SF10" s="42"/>
      <c r="SG10" s="42"/>
      <c r="SH10" s="42"/>
      <c r="SI10" s="42"/>
      <c r="SJ10" s="42"/>
      <c r="SK10" s="42"/>
      <c r="SL10" s="42"/>
      <c r="SM10" s="42"/>
      <c r="SN10" s="42"/>
      <c r="SO10" s="42"/>
      <c r="SP10" s="42"/>
      <c r="SQ10" s="42"/>
      <c r="SR10" s="42"/>
      <c r="SS10" s="42"/>
      <c r="ST10" s="42"/>
      <c r="SU10" s="42"/>
      <c r="SV10" s="42"/>
      <c r="SW10" s="42"/>
      <c r="SX10" s="42"/>
      <c r="SY10" s="42"/>
      <c r="SZ10" s="42"/>
      <c r="TA10" s="42"/>
      <c r="TB10" s="42"/>
      <c r="TC10" s="42"/>
      <c r="TD10" s="42"/>
      <c r="TE10" s="42"/>
      <c r="TF10" s="42"/>
      <c r="TG10" s="42"/>
      <c r="TH10" s="42"/>
      <c r="TI10" s="42"/>
      <c r="TJ10" s="42"/>
      <c r="TK10" s="42"/>
      <c r="TL10" s="42"/>
      <c r="TM10" s="42"/>
      <c r="TN10" s="42"/>
      <c r="TO10" s="42"/>
      <c r="TP10" s="42"/>
      <c r="TQ10" s="42"/>
      <c r="TR10" s="42"/>
      <c r="TS10" s="42"/>
      <c r="TT10" s="42"/>
      <c r="TU10" s="42"/>
      <c r="TV10" s="42"/>
      <c r="TW10" s="42"/>
      <c r="TX10" s="42"/>
      <c r="TY10" s="42"/>
      <c r="TZ10" s="42"/>
      <c r="UA10" s="42"/>
      <c r="UB10" s="42"/>
      <c r="UC10" s="42"/>
      <c r="UD10" s="42"/>
      <c r="UE10" s="42"/>
      <c r="UF10" s="42"/>
      <c r="UG10" s="42"/>
      <c r="UH10" s="42"/>
      <c r="UI10" s="42"/>
      <c r="UJ10" s="42"/>
      <c r="UK10" s="42"/>
      <c r="UL10" s="42"/>
      <c r="UM10" s="42"/>
      <c r="UN10" s="42"/>
      <c r="UO10" s="42"/>
      <c r="UP10" s="42"/>
      <c r="UQ10" s="42"/>
      <c r="UR10" s="42"/>
      <c r="US10" s="42"/>
      <c r="UT10" s="42"/>
      <c r="UU10" s="42"/>
      <c r="UV10" s="42"/>
      <c r="UW10" s="42"/>
      <c r="UX10" s="42"/>
      <c r="UY10" s="42"/>
      <c r="UZ10" s="42"/>
      <c r="VA10" s="42"/>
      <c r="VB10" s="42"/>
      <c r="VC10" s="42"/>
      <c r="VD10" s="42"/>
      <c r="VE10" s="42"/>
      <c r="VF10" s="42"/>
      <c r="VG10" s="42"/>
      <c r="VH10" s="42"/>
      <c r="VI10" s="42"/>
      <c r="VJ10" s="42"/>
      <c r="VK10" s="42"/>
      <c r="VL10" s="42"/>
      <c r="VM10" s="42"/>
      <c r="VN10" s="42"/>
      <c r="VO10" s="42"/>
      <c r="VP10" s="42"/>
      <c r="VQ10" s="42"/>
      <c r="VR10" s="42"/>
      <c r="VS10" s="42"/>
      <c r="VT10" s="42"/>
      <c r="VU10" s="42"/>
      <c r="VV10" s="42"/>
      <c r="VW10" s="42"/>
      <c r="VX10" s="42"/>
      <c r="VY10" s="42"/>
      <c r="VZ10" s="42"/>
      <c r="WA10" s="42"/>
      <c r="WB10" s="42"/>
      <c r="WC10" s="42"/>
      <c r="WD10" s="42"/>
      <c r="WE10" s="42"/>
      <c r="WF10" s="42"/>
      <c r="WG10" s="42"/>
      <c r="WH10" s="42"/>
      <c r="WI10" s="42"/>
      <c r="WJ10" s="42"/>
      <c r="WK10" s="42"/>
      <c r="WL10" s="42"/>
      <c r="WM10" s="42"/>
      <c r="WN10" s="42"/>
      <c r="WO10" s="42"/>
      <c r="WP10" s="42"/>
      <c r="WQ10" s="42"/>
      <c r="WR10" s="42"/>
      <c r="WS10" s="42"/>
      <c r="WT10" s="42"/>
      <c r="WU10" s="42"/>
      <c r="WV10" s="42"/>
      <c r="WW10" s="42"/>
      <c r="WX10" s="42"/>
      <c r="WY10" s="42"/>
      <c r="WZ10" s="42"/>
      <c r="XA10" s="42"/>
      <c r="XB10" s="42"/>
      <c r="XC10" s="42"/>
      <c r="XD10" s="42"/>
      <c r="XE10" s="42"/>
      <c r="XF10" s="42"/>
      <c r="XG10" s="42"/>
      <c r="XH10" s="42"/>
      <c r="XI10" s="42"/>
      <c r="XJ10" s="42"/>
      <c r="XK10" s="42"/>
      <c r="XL10" s="42"/>
      <c r="XM10" s="42"/>
      <c r="XN10" s="42"/>
      <c r="XO10" s="42"/>
      <c r="XP10" s="42"/>
      <c r="XQ10" s="42"/>
      <c r="XR10" s="42"/>
      <c r="XS10" s="42"/>
      <c r="XT10" s="42"/>
      <c r="XU10" s="42"/>
      <c r="XV10" s="42"/>
      <c r="XW10" s="42"/>
      <c r="XX10" s="42"/>
      <c r="XY10" s="42"/>
      <c r="XZ10" s="42"/>
      <c r="YA10" s="42"/>
      <c r="YB10" s="42"/>
      <c r="YC10" s="42"/>
      <c r="YD10" s="42"/>
      <c r="YE10" s="42"/>
      <c r="YF10" s="42"/>
      <c r="YG10" s="42"/>
      <c r="YH10" s="42"/>
      <c r="YI10" s="42"/>
      <c r="YJ10" s="42"/>
      <c r="YK10" s="42"/>
      <c r="YL10" s="42"/>
      <c r="YM10" s="42"/>
      <c r="YN10" s="42"/>
      <c r="YO10" s="42"/>
      <c r="YP10" s="42"/>
      <c r="YQ10" s="42"/>
      <c r="YR10" s="42"/>
      <c r="YS10" s="42"/>
      <c r="YT10" s="42"/>
      <c r="YU10" s="42"/>
      <c r="YV10" s="42"/>
      <c r="YW10" s="42"/>
      <c r="YX10" s="42"/>
      <c r="YY10" s="42"/>
      <c r="YZ10" s="42"/>
      <c r="ZA10" s="42"/>
      <c r="ZB10" s="42"/>
      <c r="ZC10" s="42"/>
      <c r="ZD10" s="42"/>
      <c r="ZE10" s="42"/>
      <c r="ZF10" s="42"/>
      <c r="ZG10" s="42"/>
      <c r="ZH10" s="42"/>
      <c r="ZI10" s="42"/>
      <c r="ZJ10" s="42"/>
      <c r="ZK10" s="42"/>
      <c r="ZL10" s="42"/>
      <c r="ZM10" s="42"/>
      <c r="ZN10" s="42"/>
      <c r="ZO10" s="42"/>
      <c r="ZP10" s="42"/>
      <c r="ZQ10" s="42"/>
      <c r="ZR10" s="42"/>
      <c r="ZS10" s="42"/>
      <c r="ZT10" s="42"/>
      <c r="ZU10" s="42"/>
      <c r="ZV10" s="42"/>
      <c r="ZW10" s="42"/>
      <c r="ZX10" s="42"/>
      <c r="ZY10" s="42"/>
      <c r="ZZ10" s="42"/>
      <c r="AAA10" s="42"/>
      <c r="AAB10" s="42"/>
      <c r="AAC10" s="42"/>
      <c r="AAD10" s="42"/>
      <c r="AAE10" s="42"/>
      <c r="AAF10" s="42"/>
      <c r="AAG10" s="42"/>
      <c r="AAH10" s="42"/>
      <c r="AAI10" s="42"/>
      <c r="AAJ10" s="42"/>
      <c r="AAK10" s="42"/>
      <c r="AAL10" s="42"/>
      <c r="AAM10" s="42"/>
      <c r="AAN10" s="42"/>
      <c r="AAO10" s="42"/>
      <c r="AAP10" s="42"/>
      <c r="AAQ10" s="42"/>
      <c r="AAR10" s="42"/>
      <c r="AAS10" s="42"/>
      <c r="AAT10" s="42"/>
      <c r="AAU10" s="42"/>
      <c r="AAV10" s="42"/>
      <c r="AAW10" s="42"/>
      <c r="AAX10" s="42"/>
      <c r="AAY10" s="42"/>
      <c r="AAZ10" s="42"/>
      <c r="ABA10" s="42"/>
      <c r="ABB10" s="42"/>
      <c r="ABC10" s="42"/>
      <c r="ABD10" s="42"/>
      <c r="ABE10" s="42"/>
      <c r="ABF10" s="42"/>
      <c r="ABG10" s="42"/>
      <c r="ABH10" s="42"/>
      <c r="ABI10" s="42"/>
      <c r="ABJ10" s="42"/>
      <c r="ABK10" s="42"/>
      <c r="ABL10" s="42"/>
      <c r="ABM10" s="42"/>
      <c r="ABN10" s="42"/>
      <c r="ABO10" s="42"/>
      <c r="ABP10" s="42"/>
      <c r="ABQ10" s="42"/>
      <c r="ABR10" s="42"/>
      <c r="ABS10" s="42"/>
      <c r="ABT10" s="42"/>
      <c r="ABU10" s="42"/>
      <c r="ABV10" s="42"/>
      <c r="ABW10" s="42"/>
      <c r="ABX10" s="42"/>
      <c r="ABY10" s="42"/>
      <c r="ABZ10" s="42"/>
      <c r="ACA10" s="42"/>
      <c r="ACB10" s="42"/>
      <c r="ACC10" s="42"/>
      <c r="ACD10" s="42"/>
      <c r="ACE10" s="42"/>
      <c r="ACF10" s="42"/>
      <c r="ACG10" s="42"/>
      <c r="ACH10" s="42"/>
      <c r="ACI10" s="42"/>
      <c r="ACJ10" s="42"/>
      <c r="ACK10" s="42"/>
      <c r="ACL10" s="42"/>
      <c r="ACM10" s="42"/>
      <c r="ACN10" s="42"/>
      <c r="ACO10" s="42"/>
      <c r="ACP10" s="42"/>
      <c r="ACQ10" s="42"/>
      <c r="ACR10" s="42"/>
      <c r="ACS10" s="42"/>
      <c r="ACT10" s="42"/>
      <c r="ACU10" s="42"/>
      <c r="ACV10" s="42"/>
      <c r="ACW10" s="42"/>
      <c r="ACX10" s="42"/>
      <c r="ACY10" s="42"/>
      <c r="ACZ10" s="42"/>
      <c r="ADA10" s="42"/>
      <c r="ADB10" s="42"/>
      <c r="ADC10" s="42"/>
      <c r="ADD10" s="42"/>
      <c r="ADE10" s="42"/>
      <c r="ADF10" s="42"/>
      <c r="ADG10" s="42"/>
      <c r="ADH10" s="42"/>
      <c r="ADI10" s="42"/>
      <c r="ADJ10" s="42"/>
      <c r="ADK10" s="42"/>
      <c r="ADL10" s="42"/>
      <c r="ADM10" s="42"/>
      <c r="ADN10" s="42"/>
      <c r="ADO10" s="42"/>
      <c r="ADP10" s="42"/>
      <c r="ADQ10" s="42"/>
      <c r="ADR10" s="42"/>
      <c r="ADS10" s="42"/>
      <c r="ADT10" s="42"/>
      <c r="ADU10" s="42"/>
      <c r="ADV10" s="42"/>
      <c r="ADW10" s="42"/>
      <c r="ADX10" s="42"/>
      <c r="ADY10" s="42"/>
      <c r="ADZ10" s="42"/>
      <c r="AEA10" s="42"/>
      <c r="AEB10" s="42"/>
      <c r="AEC10" s="42"/>
      <c r="AED10" s="42"/>
      <c r="AEE10" s="42"/>
      <c r="AEF10" s="42"/>
      <c r="AEG10" s="42"/>
      <c r="AEH10" s="42"/>
      <c r="AEI10" s="42"/>
      <c r="AEJ10" s="42"/>
      <c r="AEK10" s="42"/>
      <c r="AEL10" s="42"/>
      <c r="AEM10" s="42"/>
      <c r="AEN10" s="42"/>
      <c r="AEO10" s="42"/>
      <c r="AEP10" s="42"/>
      <c r="AEQ10" s="42"/>
      <c r="AER10" s="42"/>
      <c r="AES10" s="42"/>
      <c r="AET10" s="42"/>
      <c r="AEU10" s="42"/>
      <c r="AEV10" s="42"/>
      <c r="AEW10" s="42"/>
      <c r="AEX10" s="42"/>
      <c r="AEY10" s="42"/>
      <c r="AEZ10" s="42"/>
      <c r="AFA10" s="42"/>
      <c r="AFB10" s="42"/>
      <c r="AFC10" s="42"/>
      <c r="AFD10" s="42"/>
      <c r="AFE10" s="42"/>
      <c r="AFF10" s="42"/>
      <c r="AFG10" s="42"/>
      <c r="AFH10" s="42"/>
      <c r="AFI10" s="42"/>
      <c r="AFJ10" s="42"/>
      <c r="AFK10" s="42"/>
      <c r="AFL10" s="42"/>
      <c r="AFM10" s="42"/>
      <c r="AFN10" s="42"/>
      <c r="AFO10" s="42"/>
      <c r="AFP10" s="42"/>
      <c r="AFQ10" s="42"/>
      <c r="AFR10" s="42"/>
      <c r="AFS10" s="42"/>
      <c r="AFT10" s="42"/>
      <c r="AFU10" s="42"/>
      <c r="AFV10" s="42"/>
      <c r="AFW10" s="42"/>
      <c r="AFX10" s="42"/>
      <c r="AFY10" s="42"/>
      <c r="AFZ10" s="42"/>
      <c r="AGA10" s="42"/>
      <c r="AGB10" s="42"/>
      <c r="AGC10" s="42"/>
      <c r="AGD10" s="42"/>
      <c r="AGE10" s="42"/>
      <c r="AGF10" s="42"/>
      <c r="AGG10" s="42"/>
      <c r="AGH10" s="42"/>
      <c r="AGI10" s="42"/>
      <c r="AGJ10" s="42"/>
      <c r="AGK10" s="42"/>
      <c r="AGL10" s="42"/>
      <c r="AGM10" s="42"/>
      <c r="AGN10" s="42"/>
      <c r="AGO10" s="42"/>
      <c r="AGP10" s="42"/>
      <c r="AGQ10" s="42"/>
      <c r="AGR10" s="42"/>
      <c r="AGS10" s="42"/>
      <c r="AGT10" s="42"/>
      <c r="AGU10" s="42"/>
      <c r="AGV10" s="42"/>
      <c r="AGW10" s="42"/>
      <c r="AGX10" s="42"/>
      <c r="AGY10" s="42"/>
      <c r="AGZ10" s="42"/>
      <c r="AHA10" s="42"/>
      <c r="AHB10" s="42"/>
      <c r="AHC10" s="42"/>
      <c r="AHD10" s="42"/>
      <c r="AHE10" s="42"/>
      <c r="AHF10" s="42"/>
      <c r="AHG10" s="42"/>
      <c r="AHH10" s="42"/>
      <c r="AHI10" s="42"/>
      <c r="AHJ10" s="42"/>
      <c r="AHK10" s="42"/>
      <c r="AHL10" s="42"/>
      <c r="AHM10" s="42"/>
      <c r="AHN10" s="42"/>
      <c r="AHO10" s="42"/>
      <c r="AHP10" s="42"/>
      <c r="AHQ10" s="42"/>
      <c r="AHR10" s="42"/>
      <c r="AHS10" s="42"/>
      <c r="AHT10" s="42"/>
      <c r="AHU10" s="42"/>
      <c r="AHV10" s="42"/>
      <c r="AHW10" s="42"/>
      <c r="AHX10" s="42"/>
      <c r="AHY10" s="42"/>
      <c r="AHZ10" s="42"/>
      <c r="AIA10" s="42"/>
      <c r="AIB10" s="42"/>
      <c r="AIC10" s="42"/>
      <c r="AID10" s="42"/>
      <c r="AIE10" s="42"/>
      <c r="AIF10" s="42"/>
      <c r="AIG10" s="42"/>
      <c r="AIH10" s="42"/>
      <c r="AII10" s="42"/>
      <c r="AIJ10" s="42"/>
      <c r="AIK10" s="42"/>
      <c r="AIL10" s="42"/>
      <c r="AIM10" s="42"/>
      <c r="AIN10" s="42"/>
      <c r="AIO10" s="42"/>
      <c r="AIP10" s="42"/>
      <c r="AIQ10" s="42"/>
      <c r="AIR10" s="42"/>
      <c r="AIS10" s="42"/>
      <c r="AIT10" s="42"/>
      <c r="AIU10" s="42"/>
      <c r="AIV10" s="42"/>
      <c r="AIW10" s="42"/>
      <c r="AIX10" s="42"/>
      <c r="AIY10" s="42"/>
      <c r="AIZ10" s="42"/>
      <c r="AJA10" s="42"/>
      <c r="AJB10" s="42"/>
      <c r="AJC10" s="42"/>
      <c r="AJD10" s="42"/>
      <c r="AJE10" s="42"/>
      <c r="AJF10" s="42"/>
      <c r="AJG10" s="42"/>
      <c r="AJH10" s="42"/>
      <c r="AJI10" s="42"/>
      <c r="AJJ10" s="42"/>
      <c r="AJK10" s="42"/>
      <c r="AJL10" s="42"/>
      <c r="AJM10" s="42"/>
      <c r="AJN10" s="42"/>
      <c r="AJO10" s="42"/>
      <c r="AJP10" s="42"/>
      <c r="AJQ10" s="42"/>
      <c r="AJR10" s="42"/>
      <c r="AJS10" s="42"/>
      <c r="AJT10" s="42"/>
      <c r="AJU10" s="42"/>
      <c r="AJV10" s="42"/>
      <c r="AJW10" s="42"/>
      <c r="AJX10" s="42"/>
      <c r="AJY10" s="42"/>
      <c r="AJZ10" s="42"/>
      <c r="AKA10" s="42"/>
      <c r="AKB10" s="42"/>
      <c r="AKC10" s="42"/>
      <c r="AKD10" s="42"/>
      <c r="AKE10" s="42"/>
      <c r="AKF10" s="42"/>
      <c r="AKG10" s="42"/>
      <c r="AKH10" s="42"/>
      <c r="AKI10" s="42"/>
      <c r="AKJ10" s="42"/>
      <c r="AKK10" s="42"/>
      <c r="AKL10" s="42"/>
      <c r="AKM10" s="42"/>
      <c r="AKN10" s="42"/>
      <c r="AKO10" s="42"/>
      <c r="AKP10" s="42"/>
      <c r="AKQ10" s="42"/>
      <c r="AKR10" s="42"/>
      <c r="AKS10" s="42"/>
      <c r="AKT10" s="42"/>
      <c r="AKU10" s="42"/>
      <c r="AKV10" s="42"/>
      <c r="AKW10" s="42"/>
      <c r="AKX10" s="42"/>
      <c r="AKY10" s="42"/>
      <c r="AKZ10" s="42"/>
      <c r="ALA10" s="42"/>
      <c r="ALB10" s="42"/>
      <c r="ALC10" s="42"/>
      <c r="ALD10" s="42"/>
      <c r="ALE10" s="42"/>
      <c r="ALF10" s="42"/>
      <c r="ALG10" s="42"/>
      <c r="ALH10" s="42"/>
      <c r="ALI10" s="42"/>
      <c r="ALJ10" s="42"/>
      <c r="ALK10" s="42"/>
      <c r="ALL10" s="42"/>
      <c r="ALM10" s="42"/>
      <c r="ALN10" s="42"/>
      <c r="ALO10" s="42"/>
      <c r="ALP10" s="42"/>
      <c r="ALQ10" s="42"/>
      <c r="ALR10" s="42"/>
      <c r="ALS10" s="42"/>
      <c r="ALT10" s="42"/>
      <c r="ALU10" s="42"/>
      <c r="ALV10" s="42"/>
      <c r="ALW10" s="42"/>
      <c r="ALX10" s="42"/>
      <c r="ALY10" s="42"/>
      <c r="ALZ10" s="42"/>
      <c r="AMA10" s="42"/>
      <c r="AMB10" s="42"/>
      <c r="AMC10" s="42"/>
      <c r="AMD10" s="42"/>
      <c r="AME10" s="42"/>
      <c r="AMF10" s="42"/>
      <c r="AMG10" s="42"/>
      <c r="AMH10" s="42"/>
      <c r="AMI10" s="42"/>
      <c r="AMJ10" s="42"/>
      <c r="AMK10" s="42"/>
      <c r="AML10" s="42"/>
      <c r="AMM10" s="42"/>
      <c r="AMN10" s="42"/>
      <c r="AMO10" s="42"/>
      <c r="AMP10" s="42"/>
      <c r="AMQ10" s="42"/>
      <c r="AMR10" s="42"/>
      <c r="AMS10" s="42"/>
      <c r="AMT10" s="42"/>
      <c r="AMU10" s="42"/>
      <c r="AMV10" s="42"/>
      <c r="AMW10" s="42"/>
      <c r="AMX10" s="42"/>
      <c r="AMY10" s="42"/>
      <c r="AMZ10" s="42"/>
      <c r="ANA10" s="42"/>
      <c r="ANB10" s="42"/>
      <c r="ANC10" s="42"/>
      <c r="AND10" s="42"/>
      <c r="ANE10" s="42"/>
      <c r="ANF10" s="42"/>
      <c r="ANG10" s="42"/>
      <c r="ANH10" s="42"/>
      <c r="ANI10" s="42"/>
      <c r="ANJ10" s="42"/>
      <c r="ANK10" s="42"/>
      <c r="ANL10" s="42"/>
      <c r="ANM10" s="42"/>
      <c r="ANN10" s="42"/>
      <c r="ANO10" s="42"/>
      <c r="ANP10" s="42"/>
      <c r="ANQ10" s="42"/>
      <c r="ANR10" s="42"/>
      <c r="ANS10" s="42"/>
      <c r="ANT10" s="42"/>
      <c r="ANU10" s="42"/>
      <c r="ANV10" s="42"/>
      <c r="ANW10" s="42"/>
      <c r="ANX10" s="42"/>
      <c r="ANY10" s="42"/>
      <c r="ANZ10" s="42"/>
      <c r="AOA10" s="42"/>
      <c r="AOB10" s="42"/>
      <c r="AOC10" s="42"/>
      <c r="AOD10" s="42"/>
      <c r="AOE10" s="42"/>
      <c r="AOF10" s="42"/>
      <c r="AOG10" s="42"/>
      <c r="AOH10" s="42"/>
      <c r="AOI10" s="42"/>
      <c r="AOJ10" s="42"/>
      <c r="AOK10" s="42"/>
      <c r="AOL10" s="42"/>
      <c r="AOM10" s="42"/>
      <c r="AON10" s="42"/>
      <c r="AOO10" s="42"/>
      <c r="AOP10" s="42"/>
      <c r="AOQ10" s="42"/>
      <c r="AOR10" s="42"/>
      <c r="AOS10" s="42"/>
      <c r="AOT10" s="42"/>
      <c r="AOU10" s="42"/>
      <c r="AOV10" s="42"/>
      <c r="AOW10" s="42"/>
      <c r="AOX10" s="42"/>
      <c r="AOY10" s="42"/>
      <c r="AOZ10" s="42"/>
      <c r="APA10" s="42"/>
      <c r="APB10" s="42"/>
      <c r="APC10" s="42"/>
      <c r="APD10" s="42"/>
      <c r="APE10" s="42"/>
      <c r="APF10" s="42"/>
      <c r="APG10" s="42"/>
      <c r="APH10" s="42"/>
      <c r="API10" s="42"/>
      <c r="APJ10" s="42"/>
      <c r="APK10" s="42"/>
      <c r="APL10" s="42"/>
      <c r="APM10" s="42"/>
      <c r="APN10" s="42"/>
      <c r="APO10" s="42"/>
      <c r="APP10" s="42"/>
      <c r="APQ10" s="42"/>
      <c r="APR10" s="42"/>
      <c r="APS10" s="42"/>
      <c r="APT10" s="42"/>
      <c r="APU10" s="42"/>
      <c r="APV10" s="42"/>
      <c r="APW10" s="42"/>
      <c r="APX10" s="42"/>
      <c r="APY10" s="42"/>
      <c r="APZ10" s="42"/>
      <c r="AQA10" s="42"/>
      <c r="AQB10" s="42"/>
      <c r="AQC10" s="42"/>
      <c r="AQD10" s="42"/>
      <c r="AQE10" s="42"/>
      <c r="AQF10" s="42"/>
      <c r="AQG10" s="42"/>
      <c r="AQH10" s="42"/>
      <c r="AQI10" s="42"/>
      <c r="AQJ10" s="42"/>
      <c r="AQK10" s="42"/>
      <c r="AQL10" s="42"/>
      <c r="AQM10" s="42"/>
      <c r="AQN10" s="42"/>
      <c r="AQO10" s="42"/>
      <c r="AQP10" s="42"/>
      <c r="AQQ10" s="42"/>
      <c r="AQR10" s="42"/>
      <c r="AQS10" s="42"/>
      <c r="AQT10" s="42"/>
      <c r="AQU10" s="42"/>
      <c r="AQV10" s="42"/>
      <c r="AQW10" s="42"/>
      <c r="AQX10" s="42"/>
      <c r="AQY10" s="42"/>
      <c r="AQZ10" s="42"/>
      <c r="ARA10" s="42"/>
      <c r="ARB10" s="42"/>
      <c r="ARC10" s="42"/>
      <c r="ARD10" s="42"/>
      <c r="ARE10" s="42"/>
      <c r="ARF10" s="42"/>
      <c r="ARG10" s="42"/>
      <c r="ARH10" s="42"/>
      <c r="ARI10" s="42"/>
      <c r="ARJ10" s="42"/>
      <c r="ARK10" s="42"/>
      <c r="ARL10" s="42"/>
      <c r="ARM10" s="42"/>
      <c r="ARN10" s="42"/>
      <c r="ARO10" s="42"/>
      <c r="ARP10" s="42"/>
      <c r="ARQ10" s="42"/>
      <c r="ARR10" s="42"/>
      <c r="ARS10" s="42"/>
      <c r="ART10" s="42"/>
      <c r="ARU10" s="42"/>
      <c r="ARV10" s="42"/>
      <c r="ARW10" s="42"/>
      <c r="ARX10" s="42"/>
      <c r="ARY10" s="42"/>
      <c r="ARZ10" s="42"/>
      <c r="ASA10" s="42"/>
      <c r="ASB10" s="42"/>
      <c r="ASC10" s="42"/>
      <c r="ASD10" s="42"/>
      <c r="ASE10" s="42"/>
      <c r="ASF10" s="42"/>
      <c r="ASG10" s="42"/>
      <c r="ASH10" s="42"/>
      <c r="ASI10" s="42"/>
      <c r="ASJ10" s="42"/>
      <c r="ASK10" s="42"/>
      <c r="ASL10" s="42"/>
      <c r="ASM10" s="42"/>
      <c r="ASN10" s="42"/>
      <c r="ASO10" s="42"/>
      <c r="ASP10" s="42"/>
      <c r="ASQ10" s="42"/>
      <c r="ASR10" s="42"/>
      <c r="ASS10" s="42"/>
      <c r="AST10" s="42"/>
      <c r="ASU10" s="42"/>
      <c r="ASV10" s="42"/>
      <c r="ASW10" s="42"/>
      <c r="ASX10" s="42"/>
      <c r="ASY10" s="42"/>
      <c r="ASZ10" s="42"/>
      <c r="ATA10" s="42"/>
      <c r="ATB10" s="42"/>
      <c r="ATC10" s="42"/>
      <c r="ATD10" s="42"/>
      <c r="ATE10" s="42"/>
      <c r="ATF10" s="42"/>
      <c r="ATG10" s="42"/>
      <c r="ATH10" s="42"/>
      <c r="ATI10" s="42"/>
      <c r="ATJ10" s="42"/>
      <c r="ATK10" s="42"/>
      <c r="ATL10" s="42"/>
      <c r="ATM10" s="42"/>
      <c r="ATN10" s="42"/>
      <c r="ATO10" s="42"/>
      <c r="ATP10" s="42"/>
      <c r="ATQ10" s="42"/>
      <c r="ATR10" s="42"/>
      <c r="ATS10" s="42"/>
      <c r="ATT10" s="42"/>
      <c r="ATU10" s="42"/>
      <c r="ATV10" s="42"/>
      <c r="ATW10" s="42"/>
      <c r="ATX10" s="42"/>
      <c r="ATY10" s="42"/>
      <c r="ATZ10" s="42"/>
      <c r="AUA10" s="42"/>
      <c r="AUB10" s="42"/>
      <c r="AUC10" s="42"/>
      <c r="AUD10" s="42"/>
      <c r="AUE10" s="42"/>
      <c r="AUF10" s="42"/>
      <c r="AUG10" s="42"/>
      <c r="AUH10" s="42"/>
      <c r="AUI10" s="42"/>
      <c r="AUJ10" s="42"/>
      <c r="AUK10" s="42"/>
      <c r="AUL10" s="42"/>
      <c r="AUM10" s="42"/>
      <c r="AUN10" s="42"/>
      <c r="AUO10" s="42"/>
      <c r="AUP10" s="42"/>
      <c r="AUQ10" s="42"/>
      <c r="AUR10" s="42"/>
      <c r="AUS10" s="42"/>
      <c r="AUT10" s="42"/>
      <c r="AUU10" s="42"/>
      <c r="AUV10" s="42"/>
      <c r="AUW10" s="42"/>
      <c r="AUX10" s="42"/>
      <c r="AUY10" s="42"/>
      <c r="AUZ10" s="42"/>
      <c r="AVA10" s="42"/>
      <c r="AVB10" s="42"/>
      <c r="AVC10" s="42"/>
      <c r="AVD10" s="42"/>
      <c r="AVE10" s="42"/>
      <c r="AVF10" s="42"/>
      <c r="AVG10" s="42"/>
      <c r="AVH10" s="42"/>
      <c r="AVI10" s="42"/>
      <c r="AVJ10" s="42"/>
      <c r="AVK10" s="42"/>
      <c r="AVL10" s="42"/>
      <c r="AVM10" s="42"/>
      <c r="AVN10" s="42"/>
      <c r="AVO10" s="42"/>
      <c r="AVP10" s="42"/>
      <c r="AVQ10" s="42"/>
      <c r="AVR10" s="42"/>
      <c r="AVS10" s="42"/>
      <c r="AVT10" s="42"/>
      <c r="AVU10" s="42"/>
      <c r="AVV10" s="42"/>
      <c r="AVW10" s="42"/>
      <c r="AVX10" s="42"/>
      <c r="AVY10" s="42"/>
      <c r="AVZ10" s="42"/>
      <c r="AWA10" s="42"/>
      <c r="AWB10" s="42"/>
      <c r="AWC10" s="42"/>
      <c r="AWD10" s="42"/>
      <c r="AWE10" s="42"/>
      <c r="AWF10" s="42"/>
      <c r="AWG10" s="42"/>
      <c r="AWH10" s="42"/>
      <c r="AWI10" s="42"/>
      <c r="AWJ10" s="42"/>
      <c r="AWK10" s="42"/>
      <c r="AWL10" s="42"/>
      <c r="AWM10" s="42"/>
      <c r="AWN10" s="42"/>
      <c r="AWO10" s="42"/>
      <c r="AWP10" s="42"/>
      <c r="AWQ10" s="42"/>
      <c r="AWR10" s="42"/>
      <c r="AWS10" s="42"/>
      <c r="AWT10" s="42"/>
      <c r="AWU10" s="42"/>
      <c r="AWV10" s="42"/>
      <c r="AWW10" s="42"/>
      <c r="AWX10" s="42"/>
      <c r="AWY10" s="42"/>
      <c r="AWZ10" s="42"/>
      <c r="AXA10" s="42"/>
      <c r="AXB10" s="42"/>
      <c r="AXC10" s="42"/>
      <c r="AXD10" s="42"/>
      <c r="AXE10" s="42"/>
      <c r="AXF10" s="42"/>
      <c r="AXG10" s="42"/>
      <c r="AXH10" s="42"/>
      <c r="AXI10" s="42"/>
      <c r="AXJ10" s="42"/>
      <c r="AXK10" s="42"/>
      <c r="AXL10" s="42"/>
      <c r="AXM10" s="42"/>
      <c r="AXN10" s="42"/>
      <c r="AXO10" s="42"/>
      <c r="AXP10" s="42"/>
      <c r="AXQ10" s="42"/>
      <c r="AXR10" s="42"/>
      <c r="AXS10" s="42"/>
      <c r="AXT10" s="42"/>
      <c r="AXU10" s="42"/>
      <c r="AXV10" s="42"/>
      <c r="AXW10" s="42"/>
      <c r="AXX10" s="42"/>
      <c r="AXY10" s="42"/>
      <c r="AXZ10" s="42"/>
      <c r="AYA10" s="42"/>
      <c r="AYB10" s="42"/>
      <c r="AYC10" s="42"/>
      <c r="AYD10" s="42"/>
      <c r="AYE10" s="42"/>
      <c r="AYF10" s="42"/>
      <c r="AYG10" s="42"/>
      <c r="AYH10" s="42"/>
      <c r="AYI10" s="42"/>
      <c r="AYJ10" s="42"/>
      <c r="AYK10" s="42"/>
      <c r="AYL10" s="42"/>
      <c r="AYM10" s="42"/>
      <c r="AYN10" s="42"/>
      <c r="AYO10" s="42"/>
      <c r="AYP10" s="42"/>
      <c r="AYQ10" s="42"/>
      <c r="AYR10" s="42"/>
      <c r="AYS10" s="42"/>
      <c r="AYT10" s="42"/>
      <c r="AYU10" s="42"/>
      <c r="AYV10" s="42"/>
      <c r="AYW10" s="42"/>
      <c r="AYX10" s="42"/>
      <c r="AYY10" s="42"/>
      <c r="AYZ10" s="42"/>
      <c r="AZA10" s="42"/>
      <c r="AZB10" s="42"/>
      <c r="AZC10" s="42"/>
      <c r="AZD10" s="42"/>
      <c r="AZE10" s="42"/>
      <c r="AZF10" s="42"/>
      <c r="AZG10" s="42"/>
      <c r="AZH10" s="42"/>
      <c r="AZI10" s="42"/>
      <c r="AZJ10" s="42"/>
      <c r="AZK10" s="42"/>
      <c r="AZL10" s="42"/>
      <c r="AZM10" s="42"/>
      <c r="AZN10" s="42"/>
      <c r="AZO10" s="42"/>
      <c r="AZP10" s="42"/>
      <c r="AZQ10" s="42"/>
      <c r="AZR10" s="42"/>
      <c r="AZS10" s="42"/>
      <c r="AZT10" s="42"/>
      <c r="AZU10" s="42"/>
      <c r="AZV10" s="42"/>
      <c r="AZW10" s="42"/>
      <c r="AZX10" s="42"/>
      <c r="AZY10" s="42"/>
      <c r="AZZ10" s="42"/>
      <c r="BAA10" s="42"/>
      <c r="BAB10" s="42"/>
      <c r="BAC10" s="42"/>
      <c r="BAD10" s="42"/>
      <c r="BAE10" s="42"/>
      <c r="BAF10" s="42"/>
      <c r="BAG10" s="42"/>
      <c r="BAH10" s="42"/>
      <c r="BAI10" s="42"/>
      <c r="BAJ10" s="42"/>
      <c r="BAK10" s="42"/>
      <c r="BAL10" s="42"/>
      <c r="BAM10" s="42"/>
      <c r="BAN10" s="42"/>
      <c r="BAO10" s="42"/>
      <c r="BAP10" s="42"/>
      <c r="BAQ10" s="42"/>
      <c r="BAR10" s="42"/>
      <c r="BAS10" s="42"/>
      <c r="BAT10" s="42"/>
      <c r="BAU10" s="42"/>
      <c r="BAV10" s="42"/>
      <c r="BAW10" s="42"/>
      <c r="BAX10" s="42"/>
      <c r="BAY10" s="42"/>
      <c r="BAZ10" s="42"/>
      <c r="BBA10" s="42"/>
      <c r="BBB10" s="42"/>
      <c r="BBC10" s="42"/>
      <c r="BBD10" s="42"/>
      <c r="BBE10" s="42"/>
      <c r="BBF10" s="42"/>
      <c r="BBG10" s="42"/>
      <c r="BBH10" s="42"/>
      <c r="BBI10" s="42"/>
      <c r="BBJ10" s="42"/>
      <c r="BBK10" s="42"/>
      <c r="BBL10" s="42"/>
      <c r="BBM10" s="42"/>
      <c r="BBN10" s="42"/>
      <c r="BBO10" s="42"/>
      <c r="BBP10" s="42"/>
      <c r="BBQ10" s="42"/>
      <c r="BBR10" s="42"/>
      <c r="BBS10" s="42"/>
      <c r="BBT10" s="42"/>
      <c r="BBU10" s="42"/>
      <c r="BBV10" s="42"/>
      <c r="BBW10" s="42"/>
      <c r="BBX10" s="42"/>
      <c r="BBY10" s="42"/>
      <c r="BBZ10" s="42"/>
      <c r="BCA10" s="42"/>
      <c r="BCB10" s="42"/>
      <c r="BCC10" s="42"/>
      <c r="BCD10" s="42"/>
      <c r="BCE10" s="42"/>
      <c r="BCF10" s="42"/>
      <c r="BCG10" s="42"/>
      <c r="BCH10" s="42"/>
      <c r="BCI10" s="42"/>
      <c r="BCJ10" s="42"/>
      <c r="BCK10" s="42"/>
      <c r="BCL10" s="42"/>
      <c r="BCM10" s="42"/>
      <c r="BCN10" s="42"/>
      <c r="BCO10" s="42"/>
      <c r="BCP10" s="42"/>
      <c r="BCQ10" s="42"/>
      <c r="BCR10" s="42"/>
      <c r="BCS10" s="42"/>
      <c r="BCT10" s="42"/>
      <c r="BCU10" s="42"/>
      <c r="BCV10" s="42"/>
      <c r="BCW10" s="42"/>
      <c r="BCX10" s="42"/>
    </row>
    <row r="11" spans="1:1454" s="49" customFormat="1" x14ac:dyDescent="0.25">
      <c r="A11" s="80">
        <v>2</v>
      </c>
      <c r="B11" s="76" t="str">
        <f>线路!B8</f>
        <v>IP5</v>
      </c>
      <c r="C11" s="81">
        <f>线路!E8</f>
        <v>451333.91159999999</v>
      </c>
      <c r="D11" s="81">
        <f>线路!F8</f>
        <v>3047880.2790999999</v>
      </c>
      <c r="E11" s="85">
        <f>线路!G8</f>
        <v>13</v>
      </c>
      <c r="F11" s="85">
        <f>线路!H8</f>
        <v>64.323999999999998</v>
      </c>
      <c r="G11" s="86">
        <f>线路!L8</f>
        <v>322.06952828459731</v>
      </c>
      <c r="H11" s="86">
        <f>线路!M8</f>
        <v>329.36685460694071</v>
      </c>
      <c r="I11" s="86">
        <f>线路!N8</f>
        <v>336.66418092928416</v>
      </c>
      <c r="J11" s="83">
        <f t="shared" si="0"/>
        <v>14.594652644686846</v>
      </c>
      <c r="K11" s="83">
        <f t="shared" si="13"/>
        <v>78.395474462574242</v>
      </c>
      <c r="L11" s="83">
        <f>IF(A11=1,断面设计!$D$7,IF(A11=2,断面设计!$D$8,IF(A11=3,断面设计!$D$9,IF(A11=4,断面设计!$D$10,IF(A11=5,断面设计!$D$11,IF(A11=6,断面设计!$D$12,IF(A11=7,断面设计!$D$13,IF(A11=8,断面设计!$D$14,IF(A11=9,断面设计!$D$15,IF(A11=10,断面设计!$D$16))))))))))</f>
        <v>1.5</v>
      </c>
      <c r="M11" s="83">
        <f t="shared" si="14"/>
        <v>1.2</v>
      </c>
      <c r="N11" s="110">
        <f t="shared" si="1"/>
        <v>1.4999999999999999E-2</v>
      </c>
      <c r="O11" s="83">
        <f>IF(A11=1,断面设计!$J$7,IF(A11=2,断面设计!$J$8,IF(A11=3,断面设计!$J$9,IF(A11=4,断面设计!$J$10,IF(A11=5,断面设计!$J$11,IF(A11=6,断面设计!$J$12,IF(A11=7,断面设计!$J$13,IF(A11=8,断面设计!$J$14,IF(A11=9,断面设计!$J$15,IF(A11=10,断面设计!$J$16))))))))))</f>
        <v>5000</v>
      </c>
      <c r="P11" s="111">
        <f>IF(A11=1,断面设计!$K$7,IF(A11=2,断面设计!$K$8,IF(A11=3,断面设计!$K$9,IF(A11=4,断面设计!$K$10,IF(A11=5,断面设计!$K$11,IF(A11=6,断面设计!$K$12,IF(A11=7,断面设计!$K$13,IF(A11=8,断面设计!$K$14,IF(A11=9,断面设计!$K$15,IF(A11=10,断面设计!$K$16))))))))))</f>
        <v>4.4993914540329225</v>
      </c>
      <c r="Q11" s="110">
        <f>IF(A11=1,断面设计!$C$7,IF(A11=2,断面设计!$C$8,IF(A11=3,断面设计!$C$9,IF(A11=4,断面设计!$C$10,IF(A11=5,断面设计!$C$11,IF(A11=6,断面设计!$C$12,IF(A11=7,断面设计!$C$13,IF(A11=8,断面设计!$C$14,IF(A11=9,断面设计!$C$15,IF(A11=10,断面设计!$C$16))))))))))</f>
        <v>1.58308906639964</v>
      </c>
      <c r="R11" s="83">
        <f>IF(A11=1,断面设计!$F$7,IF(A11=2,断面设计!$F$8,IF(A11=3,断面设计!$F$9,IF(A11=4,断面设计!$F$10,IF(A11=5,断面设计!$F$11,IF(A11=6,断面设计!$F$12,IF(A11=7,断面设计!$F$13,IF(A11=8,断面设计!$F$14,IF(A11=9,断面设计!$F$15,IF(A11=10,断面设计!$F$16))))))))))</f>
        <v>5.3820387901843603</v>
      </c>
      <c r="S11" s="83">
        <f>IF(A11=1,断面设计!$G$7,IF(A11=2,断面设计!$G$8,IF(A11=3,断面设计!$G$9,IF(A11=4,断面设计!$G$10,IF(A11=5,断面设计!$G$11,IF(A11=6,断面设计!$G$12,IF(A11=7,断面设计!$G$13,IF(A11=8,断面设计!$G$14,IF(A11=9,断面设计!$G$15,IF(A11=10,断面设计!$G$16))))))))))</f>
        <v>6.445728347111662</v>
      </c>
      <c r="T11" s="83">
        <f t="shared" si="15"/>
        <v>0.83497760072312976</v>
      </c>
      <c r="U11" s="83">
        <f t="shared" si="16"/>
        <v>0.8360013053489711</v>
      </c>
      <c r="V11" s="123">
        <f t="shared" si="17"/>
        <v>1.5407443396667708E-3</v>
      </c>
      <c r="W11" s="110"/>
      <c r="X11" s="110">
        <f>IF(AN11=0,IF(AN10=2,(H11-H10-AE10)/O11,(H11-H10)/O11),IF(AN11=1,IF(AN10=2,IF(AE11&lt;9,(H11-H10-AE11-AE10)/断面设计!$J$7,(H11-H10-AE11-AE10)/断面设计!$J$7),(H11-H10-AE11)/O10),(H11-H10)/O11))</f>
        <v>1.5679094892514848E-2</v>
      </c>
      <c r="Y11" s="133">
        <v>0</v>
      </c>
      <c r="Z11" s="134">
        <f t="shared" si="26"/>
        <v>0</v>
      </c>
      <c r="AA11" s="83"/>
      <c r="AB11" s="133">
        <f t="shared" si="4"/>
        <v>1.58308906639964</v>
      </c>
      <c r="AC11" s="110">
        <f t="shared" si="5"/>
        <v>1.7219839232181618E-2</v>
      </c>
      <c r="AD11" s="110">
        <f t="shared" si="18"/>
        <v>2392.1993918826693</v>
      </c>
      <c r="AE11" s="82">
        <f t="shared" si="19"/>
        <v>0</v>
      </c>
      <c r="AF11" s="110" t="str">
        <f t="shared" si="6"/>
        <v xml:space="preserve"> </v>
      </c>
      <c r="AG11" s="110" t="str">
        <f>IF(AE11=0," ",AF11-断面设计!$C$7)</f>
        <v xml:space="preserve"> </v>
      </c>
      <c r="AH11" s="110">
        <f t="shared" si="7"/>
        <v>2392.2023920922734</v>
      </c>
      <c r="AI11" s="110">
        <f t="shared" si="8"/>
        <v>2390.6193030258737</v>
      </c>
      <c r="AJ11" s="110">
        <f t="shared" si="9"/>
        <v>2392.1979324174049</v>
      </c>
      <c r="AK11" s="110">
        <f t="shared" si="10"/>
        <v>2390.6148433510052</v>
      </c>
      <c r="AL11" s="110">
        <f t="shared" si="11"/>
        <v>2392.2001622548391</v>
      </c>
      <c r="AM11" s="110">
        <f t="shared" si="12"/>
        <v>2390.6170731884395</v>
      </c>
      <c r="AN11" s="80"/>
      <c r="AO11" s="80">
        <v>0</v>
      </c>
      <c r="AP11" s="161"/>
      <c r="AQ11" s="42"/>
      <c r="AR11" s="42"/>
      <c r="AS11" s="42"/>
      <c r="AT11" s="42"/>
      <c r="AU11" s="64" t="str">
        <f t="shared" si="20"/>
        <v>329.366854606941,2390.61707318844</v>
      </c>
      <c r="AV11" s="64" t="str">
        <f t="shared" si="21"/>
        <v>329.366854606941,2392.20016225484</v>
      </c>
      <c r="AW11" s="169" t="str">
        <f t="shared" si="22"/>
        <v xml:space="preserve">pl 329.366854606941,0 329.366854606941,76 </v>
      </c>
      <c r="AX11" s="161" t="str">
        <f t="shared" si="23"/>
        <v>-text 329.366854606941,48 3.5 90 2390.617</v>
      </c>
      <c r="AY11" s="161" t="str">
        <f t="shared" si="24"/>
        <v>-text 329.366854606941,62.5 3.5 90 2392.200</v>
      </c>
      <c r="AZ11" s="42" t="str">
        <f t="shared" si="25"/>
        <v>-text 329.366854606941,23.5 3.5 90 马分0+329.37</v>
      </c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  <c r="FI11" s="42"/>
      <c r="FJ11" s="42"/>
      <c r="FK11" s="42"/>
      <c r="FL11" s="42"/>
      <c r="FM11" s="42"/>
      <c r="FN11" s="42"/>
      <c r="FO11" s="42"/>
      <c r="FP11" s="42"/>
      <c r="FQ11" s="42"/>
      <c r="FR11" s="42"/>
      <c r="FS11" s="42"/>
      <c r="FT11" s="42"/>
      <c r="FU11" s="42"/>
      <c r="FV11" s="42"/>
      <c r="FW11" s="42"/>
      <c r="FX11" s="42"/>
      <c r="FY11" s="42"/>
      <c r="FZ11" s="42"/>
      <c r="GA11" s="42"/>
      <c r="GB11" s="42"/>
      <c r="GC11" s="42"/>
      <c r="GD11" s="42"/>
      <c r="GE11" s="42"/>
      <c r="GF11" s="42"/>
      <c r="GG11" s="42"/>
      <c r="GH11" s="42"/>
      <c r="GI11" s="42"/>
      <c r="GJ11" s="42"/>
      <c r="GK11" s="42"/>
      <c r="GL11" s="42"/>
      <c r="GM11" s="42"/>
      <c r="GN11" s="42"/>
      <c r="GO11" s="42"/>
      <c r="GP11" s="42"/>
      <c r="GQ11" s="42"/>
      <c r="GR11" s="42"/>
      <c r="GS11" s="42"/>
      <c r="GT11" s="42"/>
      <c r="GU11" s="42"/>
      <c r="GV11" s="42"/>
      <c r="GW11" s="42"/>
      <c r="GX11" s="42"/>
      <c r="GY11" s="42"/>
      <c r="GZ11" s="42"/>
      <c r="HA11" s="42"/>
      <c r="HB11" s="42"/>
      <c r="HC11" s="42"/>
      <c r="HD11" s="42"/>
      <c r="HE11" s="42"/>
      <c r="HF11" s="42"/>
      <c r="HG11" s="42"/>
      <c r="HH11" s="42"/>
      <c r="HI11" s="42"/>
      <c r="HJ11" s="42"/>
      <c r="HK11" s="42"/>
      <c r="HL11" s="42"/>
      <c r="HM11" s="42"/>
      <c r="HN11" s="42"/>
      <c r="HO11" s="42"/>
      <c r="HP11" s="42"/>
      <c r="HQ11" s="42"/>
      <c r="HR11" s="42"/>
      <c r="HS11" s="42"/>
      <c r="HT11" s="42"/>
      <c r="HU11" s="42"/>
      <c r="HV11" s="42"/>
      <c r="HW11" s="42"/>
      <c r="HX11" s="42"/>
      <c r="HY11" s="42"/>
      <c r="HZ11" s="42"/>
      <c r="IA11" s="42"/>
      <c r="IB11" s="42"/>
      <c r="IC11" s="42"/>
      <c r="ID11" s="42"/>
      <c r="IE11" s="42"/>
      <c r="IF11" s="42"/>
      <c r="IG11" s="42"/>
      <c r="IH11" s="42"/>
      <c r="II11" s="42"/>
      <c r="IJ11" s="42"/>
      <c r="IK11" s="42"/>
      <c r="IL11" s="42"/>
      <c r="IM11" s="42"/>
      <c r="IN11" s="42"/>
      <c r="IO11" s="42"/>
      <c r="IP11" s="42"/>
      <c r="IQ11" s="42"/>
      <c r="IR11" s="42"/>
      <c r="IS11" s="42"/>
      <c r="IT11" s="42"/>
      <c r="IU11" s="42"/>
      <c r="IV11" s="42"/>
      <c r="IW11" s="42"/>
      <c r="IX11" s="42"/>
      <c r="IY11" s="42"/>
      <c r="IZ11" s="42"/>
      <c r="JA11" s="42"/>
      <c r="JB11" s="42"/>
      <c r="JC11" s="42"/>
      <c r="JD11" s="42"/>
      <c r="JE11" s="42"/>
      <c r="JF11" s="42"/>
      <c r="JG11" s="42"/>
      <c r="JH11" s="42"/>
      <c r="JI11" s="42"/>
      <c r="JJ11" s="42"/>
      <c r="JK11" s="42"/>
      <c r="JL11" s="42"/>
      <c r="JM11" s="42"/>
      <c r="JN11" s="42"/>
      <c r="JO11" s="42"/>
      <c r="JP11" s="42"/>
      <c r="JQ11" s="42"/>
      <c r="JR11" s="42"/>
      <c r="JS11" s="42"/>
      <c r="JT11" s="42"/>
      <c r="JU11" s="42"/>
      <c r="JV11" s="42"/>
      <c r="JW11" s="42"/>
      <c r="JX11" s="42"/>
      <c r="JY11" s="42"/>
      <c r="JZ11" s="42"/>
      <c r="KA11" s="42"/>
      <c r="KB11" s="42"/>
      <c r="KC11" s="42"/>
      <c r="KD11" s="42"/>
      <c r="KE11" s="42"/>
      <c r="KF11" s="42"/>
      <c r="KG11" s="42"/>
      <c r="KH11" s="42"/>
      <c r="KI11" s="42"/>
      <c r="KJ11" s="42"/>
      <c r="KK11" s="42"/>
      <c r="KL11" s="42"/>
      <c r="KM11" s="42"/>
      <c r="KN11" s="42"/>
      <c r="KO11" s="42"/>
      <c r="KP11" s="42"/>
      <c r="KQ11" s="42"/>
      <c r="KR11" s="42"/>
      <c r="KS11" s="42"/>
      <c r="KT11" s="42"/>
      <c r="KU11" s="42"/>
      <c r="KV11" s="42"/>
      <c r="KW11" s="42"/>
      <c r="KX11" s="42"/>
      <c r="KY11" s="42"/>
      <c r="KZ11" s="42"/>
      <c r="LA11" s="42"/>
      <c r="LB11" s="42"/>
      <c r="LC11" s="42"/>
      <c r="LD11" s="42"/>
      <c r="LE11" s="42"/>
      <c r="LF11" s="42"/>
      <c r="LG11" s="42"/>
      <c r="LH11" s="42"/>
      <c r="LI11" s="42"/>
      <c r="LJ11" s="42"/>
      <c r="LK11" s="42"/>
      <c r="LL11" s="42"/>
      <c r="LM11" s="42"/>
      <c r="LN11" s="42"/>
      <c r="LO11" s="42"/>
      <c r="LP11" s="42"/>
      <c r="LQ11" s="42"/>
      <c r="LR11" s="42"/>
      <c r="LS11" s="42"/>
      <c r="LT11" s="42"/>
      <c r="LU11" s="42"/>
      <c r="LV11" s="42"/>
      <c r="LW11" s="42"/>
      <c r="LX11" s="42"/>
      <c r="LY11" s="42"/>
      <c r="LZ11" s="42"/>
      <c r="MA11" s="42"/>
      <c r="MB11" s="42"/>
      <c r="MC11" s="42"/>
      <c r="MD11" s="42"/>
      <c r="ME11" s="42"/>
      <c r="MF11" s="42"/>
      <c r="MG11" s="42"/>
      <c r="MH11" s="42"/>
      <c r="MI11" s="42"/>
      <c r="MJ11" s="42"/>
      <c r="MK11" s="42"/>
      <c r="ML11" s="42"/>
      <c r="MM11" s="42"/>
      <c r="MN11" s="42"/>
      <c r="MO11" s="42"/>
      <c r="MP11" s="42"/>
      <c r="MQ11" s="42"/>
      <c r="MR11" s="42"/>
      <c r="MS11" s="42"/>
      <c r="MT11" s="42"/>
      <c r="MU11" s="42"/>
      <c r="MV11" s="42"/>
      <c r="MW11" s="42"/>
      <c r="MX11" s="42"/>
      <c r="MY11" s="42"/>
      <c r="MZ11" s="42"/>
      <c r="NA11" s="42"/>
      <c r="NB11" s="42"/>
      <c r="NC11" s="42"/>
      <c r="ND11" s="42"/>
      <c r="NE11" s="42"/>
      <c r="NF11" s="42"/>
      <c r="NG11" s="42"/>
      <c r="NH11" s="42"/>
      <c r="NI11" s="42"/>
      <c r="NJ11" s="42"/>
      <c r="NK11" s="42"/>
      <c r="NL11" s="42"/>
      <c r="NM11" s="42"/>
      <c r="NN11" s="42"/>
      <c r="NO11" s="42"/>
      <c r="NP11" s="42"/>
      <c r="NQ11" s="42"/>
      <c r="NR11" s="42"/>
      <c r="NS11" s="42"/>
      <c r="NT11" s="42"/>
      <c r="NU11" s="42"/>
      <c r="NV11" s="42"/>
      <c r="NW11" s="42"/>
      <c r="NX11" s="42"/>
      <c r="NY11" s="42"/>
      <c r="NZ11" s="42"/>
      <c r="OA11" s="42"/>
      <c r="OB11" s="42"/>
      <c r="OC11" s="42"/>
      <c r="OD11" s="42"/>
      <c r="OE11" s="42"/>
      <c r="OF11" s="42"/>
      <c r="OG11" s="42"/>
      <c r="OH11" s="42"/>
      <c r="OI11" s="42"/>
      <c r="OJ11" s="42"/>
      <c r="OK11" s="42"/>
      <c r="OL11" s="42"/>
      <c r="OM11" s="42"/>
      <c r="ON11" s="42"/>
      <c r="OO11" s="42"/>
      <c r="OP11" s="42"/>
      <c r="OQ11" s="42"/>
      <c r="OR11" s="42"/>
      <c r="OS11" s="42"/>
      <c r="OT11" s="42"/>
      <c r="OU11" s="42"/>
      <c r="OV11" s="42"/>
      <c r="OW11" s="42"/>
      <c r="OX11" s="42"/>
      <c r="OY11" s="42"/>
      <c r="OZ11" s="42"/>
      <c r="PA11" s="42"/>
      <c r="PB11" s="42"/>
      <c r="PC11" s="42"/>
      <c r="PD11" s="42"/>
      <c r="PE11" s="42"/>
      <c r="PF11" s="42"/>
      <c r="PG11" s="42"/>
      <c r="PH11" s="42"/>
      <c r="PI11" s="42"/>
      <c r="PJ11" s="42"/>
      <c r="PK11" s="42"/>
      <c r="PL11" s="42"/>
      <c r="PM11" s="42"/>
      <c r="PN11" s="42"/>
      <c r="PO11" s="42"/>
      <c r="PP11" s="42"/>
      <c r="PQ11" s="42"/>
      <c r="PR11" s="42"/>
      <c r="PS11" s="42"/>
      <c r="PT11" s="42"/>
      <c r="PU11" s="42"/>
      <c r="PV11" s="42"/>
      <c r="PW11" s="42"/>
      <c r="PX11" s="42"/>
      <c r="PY11" s="42"/>
      <c r="PZ11" s="42"/>
      <c r="QA11" s="42"/>
      <c r="QB11" s="42"/>
      <c r="QC11" s="42"/>
      <c r="QD11" s="42"/>
      <c r="QE11" s="42"/>
      <c r="QF11" s="42"/>
      <c r="QG11" s="42"/>
      <c r="QH11" s="42"/>
      <c r="QI11" s="42"/>
      <c r="QJ11" s="42"/>
      <c r="QK11" s="42"/>
      <c r="QL11" s="42"/>
      <c r="QM11" s="42"/>
      <c r="QN11" s="42"/>
      <c r="QO11" s="42"/>
      <c r="QP11" s="42"/>
      <c r="QQ11" s="42"/>
      <c r="QR11" s="42"/>
      <c r="QS11" s="42"/>
      <c r="QT11" s="42"/>
      <c r="QU11" s="42"/>
      <c r="QV11" s="42"/>
      <c r="QW11" s="42"/>
      <c r="QX11" s="42"/>
      <c r="QY11" s="42"/>
      <c r="QZ11" s="42"/>
      <c r="RA11" s="42"/>
      <c r="RB11" s="42"/>
      <c r="RC11" s="42"/>
      <c r="RD11" s="42"/>
      <c r="RE11" s="42"/>
      <c r="RF11" s="42"/>
      <c r="RG11" s="42"/>
      <c r="RH11" s="42"/>
      <c r="RI11" s="42"/>
      <c r="RJ11" s="42"/>
      <c r="RK11" s="42"/>
      <c r="RL11" s="42"/>
      <c r="RM11" s="42"/>
      <c r="RN11" s="42"/>
      <c r="RO11" s="42"/>
      <c r="RP11" s="42"/>
      <c r="RQ11" s="42"/>
      <c r="RR11" s="42"/>
      <c r="RS11" s="42"/>
      <c r="RT11" s="42"/>
      <c r="RU11" s="42"/>
      <c r="RV11" s="42"/>
      <c r="RW11" s="42"/>
      <c r="RX11" s="42"/>
      <c r="RY11" s="42"/>
      <c r="RZ11" s="42"/>
      <c r="SA11" s="42"/>
      <c r="SB11" s="42"/>
      <c r="SC11" s="42"/>
      <c r="SD11" s="42"/>
      <c r="SE11" s="42"/>
      <c r="SF11" s="42"/>
      <c r="SG11" s="42"/>
      <c r="SH11" s="42"/>
      <c r="SI11" s="42"/>
      <c r="SJ11" s="42"/>
      <c r="SK11" s="42"/>
      <c r="SL11" s="42"/>
      <c r="SM11" s="42"/>
      <c r="SN11" s="42"/>
      <c r="SO11" s="42"/>
      <c r="SP11" s="42"/>
      <c r="SQ11" s="42"/>
      <c r="SR11" s="42"/>
      <c r="SS11" s="42"/>
      <c r="ST11" s="42"/>
      <c r="SU11" s="42"/>
      <c r="SV11" s="42"/>
      <c r="SW11" s="42"/>
      <c r="SX11" s="42"/>
      <c r="SY11" s="42"/>
      <c r="SZ11" s="42"/>
      <c r="TA11" s="42"/>
      <c r="TB11" s="42"/>
      <c r="TC11" s="42"/>
      <c r="TD11" s="42"/>
      <c r="TE11" s="42"/>
      <c r="TF11" s="42"/>
      <c r="TG11" s="42"/>
      <c r="TH11" s="42"/>
      <c r="TI11" s="42"/>
      <c r="TJ11" s="42"/>
      <c r="TK11" s="42"/>
      <c r="TL11" s="42"/>
      <c r="TM11" s="42"/>
      <c r="TN11" s="42"/>
      <c r="TO11" s="42"/>
      <c r="TP11" s="42"/>
      <c r="TQ11" s="42"/>
      <c r="TR11" s="42"/>
      <c r="TS11" s="42"/>
      <c r="TT11" s="42"/>
      <c r="TU11" s="42"/>
      <c r="TV11" s="42"/>
      <c r="TW11" s="42"/>
      <c r="TX11" s="42"/>
      <c r="TY11" s="42"/>
      <c r="TZ11" s="42"/>
      <c r="UA11" s="42"/>
      <c r="UB11" s="42"/>
      <c r="UC11" s="42"/>
      <c r="UD11" s="42"/>
      <c r="UE11" s="42"/>
      <c r="UF11" s="42"/>
      <c r="UG11" s="42"/>
      <c r="UH11" s="42"/>
      <c r="UI11" s="42"/>
      <c r="UJ11" s="42"/>
      <c r="UK11" s="42"/>
      <c r="UL11" s="42"/>
      <c r="UM11" s="42"/>
      <c r="UN11" s="42"/>
      <c r="UO11" s="42"/>
      <c r="UP11" s="42"/>
      <c r="UQ11" s="42"/>
      <c r="UR11" s="42"/>
      <c r="US11" s="42"/>
      <c r="UT11" s="42"/>
      <c r="UU11" s="42"/>
      <c r="UV11" s="42"/>
      <c r="UW11" s="42"/>
      <c r="UX11" s="42"/>
      <c r="UY11" s="42"/>
      <c r="UZ11" s="42"/>
      <c r="VA11" s="42"/>
      <c r="VB11" s="42"/>
      <c r="VC11" s="42"/>
      <c r="VD11" s="42"/>
      <c r="VE11" s="42"/>
      <c r="VF11" s="42"/>
      <c r="VG11" s="42"/>
      <c r="VH11" s="42"/>
      <c r="VI11" s="42"/>
      <c r="VJ11" s="42"/>
      <c r="VK11" s="42"/>
      <c r="VL11" s="42"/>
      <c r="VM11" s="42"/>
      <c r="VN11" s="42"/>
      <c r="VO11" s="42"/>
      <c r="VP11" s="42"/>
      <c r="VQ11" s="42"/>
      <c r="VR11" s="42"/>
      <c r="VS11" s="42"/>
      <c r="VT11" s="42"/>
      <c r="VU11" s="42"/>
      <c r="VV11" s="42"/>
      <c r="VW11" s="42"/>
      <c r="VX11" s="42"/>
      <c r="VY11" s="42"/>
      <c r="VZ11" s="42"/>
      <c r="WA11" s="42"/>
      <c r="WB11" s="42"/>
      <c r="WC11" s="42"/>
      <c r="WD11" s="42"/>
      <c r="WE11" s="42"/>
      <c r="WF11" s="42"/>
      <c r="WG11" s="42"/>
      <c r="WH11" s="42"/>
      <c r="WI11" s="42"/>
      <c r="WJ11" s="42"/>
      <c r="WK11" s="42"/>
      <c r="WL11" s="42"/>
      <c r="WM11" s="42"/>
      <c r="WN11" s="42"/>
      <c r="WO11" s="42"/>
      <c r="WP11" s="42"/>
      <c r="WQ11" s="42"/>
      <c r="WR11" s="42"/>
      <c r="WS11" s="42"/>
      <c r="WT11" s="42"/>
      <c r="WU11" s="42"/>
      <c r="WV11" s="42"/>
      <c r="WW11" s="42"/>
      <c r="WX11" s="42"/>
      <c r="WY11" s="42"/>
      <c r="WZ11" s="42"/>
      <c r="XA11" s="42"/>
      <c r="XB11" s="42"/>
      <c r="XC11" s="42"/>
      <c r="XD11" s="42"/>
      <c r="XE11" s="42"/>
      <c r="XF11" s="42"/>
      <c r="XG11" s="42"/>
      <c r="XH11" s="42"/>
      <c r="XI11" s="42"/>
      <c r="XJ11" s="42"/>
      <c r="XK11" s="42"/>
      <c r="XL11" s="42"/>
      <c r="XM11" s="42"/>
      <c r="XN11" s="42"/>
      <c r="XO11" s="42"/>
      <c r="XP11" s="42"/>
      <c r="XQ11" s="42"/>
      <c r="XR11" s="42"/>
      <c r="XS11" s="42"/>
      <c r="XT11" s="42"/>
      <c r="XU11" s="42"/>
      <c r="XV11" s="42"/>
      <c r="XW11" s="42"/>
      <c r="XX11" s="42"/>
      <c r="XY11" s="42"/>
      <c r="XZ11" s="42"/>
      <c r="YA11" s="42"/>
      <c r="YB11" s="42"/>
      <c r="YC11" s="42"/>
      <c r="YD11" s="42"/>
      <c r="YE11" s="42"/>
      <c r="YF11" s="42"/>
      <c r="YG11" s="42"/>
      <c r="YH11" s="42"/>
      <c r="YI11" s="42"/>
      <c r="YJ11" s="42"/>
      <c r="YK11" s="42"/>
      <c r="YL11" s="42"/>
      <c r="YM11" s="42"/>
      <c r="YN11" s="42"/>
      <c r="YO11" s="42"/>
      <c r="YP11" s="42"/>
      <c r="YQ11" s="42"/>
      <c r="YR11" s="42"/>
      <c r="YS11" s="42"/>
      <c r="YT11" s="42"/>
      <c r="YU11" s="42"/>
      <c r="YV11" s="42"/>
      <c r="YW11" s="42"/>
      <c r="YX11" s="42"/>
      <c r="YY11" s="42"/>
      <c r="YZ11" s="42"/>
      <c r="ZA11" s="42"/>
      <c r="ZB11" s="42"/>
      <c r="ZC11" s="42"/>
      <c r="ZD11" s="42"/>
      <c r="ZE11" s="42"/>
      <c r="ZF11" s="42"/>
      <c r="ZG11" s="42"/>
      <c r="ZH11" s="42"/>
      <c r="ZI11" s="42"/>
      <c r="ZJ11" s="42"/>
      <c r="ZK11" s="42"/>
      <c r="ZL11" s="42"/>
      <c r="ZM11" s="42"/>
      <c r="ZN11" s="42"/>
      <c r="ZO11" s="42"/>
      <c r="ZP11" s="42"/>
      <c r="ZQ11" s="42"/>
      <c r="ZR11" s="42"/>
      <c r="ZS11" s="42"/>
      <c r="ZT11" s="42"/>
      <c r="ZU11" s="42"/>
      <c r="ZV11" s="42"/>
      <c r="ZW11" s="42"/>
      <c r="ZX11" s="42"/>
      <c r="ZY11" s="42"/>
      <c r="ZZ11" s="42"/>
      <c r="AAA11" s="42"/>
      <c r="AAB11" s="42"/>
      <c r="AAC11" s="42"/>
      <c r="AAD11" s="42"/>
      <c r="AAE11" s="42"/>
      <c r="AAF11" s="42"/>
      <c r="AAG11" s="42"/>
      <c r="AAH11" s="42"/>
      <c r="AAI11" s="42"/>
      <c r="AAJ11" s="42"/>
      <c r="AAK11" s="42"/>
      <c r="AAL11" s="42"/>
      <c r="AAM11" s="42"/>
      <c r="AAN11" s="42"/>
      <c r="AAO11" s="42"/>
      <c r="AAP11" s="42"/>
      <c r="AAQ11" s="42"/>
      <c r="AAR11" s="42"/>
      <c r="AAS11" s="42"/>
      <c r="AAT11" s="42"/>
      <c r="AAU11" s="42"/>
      <c r="AAV11" s="42"/>
      <c r="AAW11" s="42"/>
      <c r="AAX11" s="42"/>
      <c r="AAY11" s="42"/>
      <c r="AAZ11" s="42"/>
      <c r="ABA11" s="42"/>
      <c r="ABB11" s="42"/>
      <c r="ABC11" s="42"/>
      <c r="ABD11" s="42"/>
      <c r="ABE11" s="42"/>
      <c r="ABF11" s="42"/>
      <c r="ABG11" s="42"/>
      <c r="ABH11" s="42"/>
      <c r="ABI11" s="42"/>
      <c r="ABJ11" s="42"/>
      <c r="ABK11" s="42"/>
      <c r="ABL11" s="42"/>
      <c r="ABM11" s="42"/>
      <c r="ABN11" s="42"/>
      <c r="ABO11" s="42"/>
      <c r="ABP11" s="42"/>
      <c r="ABQ11" s="42"/>
      <c r="ABR11" s="42"/>
      <c r="ABS11" s="42"/>
      <c r="ABT11" s="42"/>
      <c r="ABU11" s="42"/>
      <c r="ABV11" s="42"/>
      <c r="ABW11" s="42"/>
      <c r="ABX11" s="42"/>
      <c r="ABY11" s="42"/>
      <c r="ABZ11" s="42"/>
      <c r="ACA11" s="42"/>
      <c r="ACB11" s="42"/>
      <c r="ACC11" s="42"/>
      <c r="ACD11" s="42"/>
      <c r="ACE11" s="42"/>
      <c r="ACF11" s="42"/>
      <c r="ACG11" s="42"/>
      <c r="ACH11" s="42"/>
      <c r="ACI11" s="42"/>
      <c r="ACJ11" s="42"/>
      <c r="ACK11" s="42"/>
      <c r="ACL11" s="42"/>
      <c r="ACM11" s="42"/>
      <c r="ACN11" s="42"/>
      <c r="ACO11" s="42"/>
      <c r="ACP11" s="42"/>
      <c r="ACQ11" s="42"/>
      <c r="ACR11" s="42"/>
      <c r="ACS11" s="42"/>
      <c r="ACT11" s="42"/>
      <c r="ACU11" s="42"/>
      <c r="ACV11" s="42"/>
      <c r="ACW11" s="42"/>
      <c r="ACX11" s="42"/>
      <c r="ACY11" s="42"/>
      <c r="ACZ11" s="42"/>
      <c r="ADA11" s="42"/>
      <c r="ADB11" s="42"/>
      <c r="ADC11" s="42"/>
      <c r="ADD11" s="42"/>
      <c r="ADE11" s="42"/>
      <c r="ADF11" s="42"/>
      <c r="ADG11" s="42"/>
      <c r="ADH11" s="42"/>
      <c r="ADI11" s="42"/>
      <c r="ADJ11" s="42"/>
      <c r="ADK11" s="42"/>
      <c r="ADL11" s="42"/>
      <c r="ADM11" s="42"/>
      <c r="ADN11" s="42"/>
      <c r="ADO11" s="42"/>
      <c r="ADP11" s="42"/>
      <c r="ADQ11" s="42"/>
      <c r="ADR11" s="42"/>
      <c r="ADS11" s="42"/>
      <c r="ADT11" s="42"/>
      <c r="ADU11" s="42"/>
      <c r="ADV11" s="42"/>
      <c r="ADW11" s="42"/>
      <c r="ADX11" s="42"/>
      <c r="ADY11" s="42"/>
      <c r="ADZ11" s="42"/>
      <c r="AEA11" s="42"/>
      <c r="AEB11" s="42"/>
      <c r="AEC11" s="42"/>
      <c r="AED11" s="42"/>
      <c r="AEE11" s="42"/>
      <c r="AEF11" s="42"/>
      <c r="AEG11" s="42"/>
      <c r="AEH11" s="42"/>
      <c r="AEI11" s="42"/>
      <c r="AEJ11" s="42"/>
      <c r="AEK11" s="42"/>
      <c r="AEL11" s="42"/>
      <c r="AEM11" s="42"/>
      <c r="AEN11" s="42"/>
      <c r="AEO11" s="42"/>
      <c r="AEP11" s="42"/>
      <c r="AEQ11" s="42"/>
      <c r="AER11" s="42"/>
      <c r="AES11" s="42"/>
      <c r="AET11" s="42"/>
      <c r="AEU11" s="42"/>
      <c r="AEV11" s="42"/>
      <c r="AEW11" s="42"/>
      <c r="AEX11" s="42"/>
      <c r="AEY11" s="42"/>
      <c r="AEZ11" s="42"/>
      <c r="AFA11" s="42"/>
      <c r="AFB11" s="42"/>
      <c r="AFC11" s="42"/>
      <c r="AFD11" s="42"/>
      <c r="AFE11" s="42"/>
      <c r="AFF11" s="42"/>
      <c r="AFG11" s="42"/>
      <c r="AFH11" s="42"/>
      <c r="AFI11" s="42"/>
      <c r="AFJ11" s="42"/>
      <c r="AFK11" s="42"/>
      <c r="AFL11" s="42"/>
      <c r="AFM11" s="42"/>
      <c r="AFN11" s="42"/>
      <c r="AFO11" s="42"/>
      <c r="AFP11" s="42"/>
      <c r="AFQ11" s="42"/>
      <c r="AFR11" s="42"/>
      <c r="AFS11" s="42"/>
      <c r="AFT11" s="42"/>
      <c r="AFU11" s="42"/>
      <c r="AFV11" s="42"/>
      <c r="AFW11" s="42"/>
      <c r="AFX11" s="42"/>
      <c r="AFY11" s="42"/>
      <c r="AFZ11" s="42"/>
      <c r="AGA11" s="42"/>
      <c r="AGB11" s="42"/>
      <c r="AGC11" s="42"/>
      <c r="AGD11" s="42"/>
      <c r="AGE11" s="42"/>
      <c r="AGF11" s="42"/>
      <c r="AGG11" s="42"/>
      <c r="AGH11" s="42"/>
      <c r="AGI11" s="42"/>
      <c r="AGJ11" s="42"/>
      <c r="AGK11" s="42"/>
      <c r="AGL11" s="42"/>
      <c r="AGM11" s="42"/>
      <c r="AGN11" s="42"/>
      <c r="AGO11" s="42"/>
      <c r="AGP11" s="42"/>
      <c r="AGQ11" s="42"/>
      <c r="AGR11" s="42"/>
      <c r="AGS11" s="42"/>
      <c r="AGT11" s="42"/>
      <c r="AGU11" s="42"/>
      <c r="AGV11" s="42"/>
      <c r="AGW11" s="42"/>
      <c r="AGX11" s="42"/>
      <c r="AGY11" s="42"/>
      <c r="AGZ11" s="42"/>
      <c r="AHA11" s="42"/>
      <c r="AHB11" s="42"/>
      <c r="AHC11" s="42"/>
      <c r="AHD11" s="42"/>
      <c r="AHE11" s="42"/>
      <c r="AHF11" s="42"/>
      <c r="AHG11" s="42"/>
      <c r="AHH11" s="42"/>
      <c r="AHI11" s="42"/>
      <c r="AHJ11" s="42"/>
      <c r="AHK11" s="42"/>
      <c r="AHL11" s="42"/>
      <c r="AHM11" s="42"/>
      <c r="AHN11" s="42"/>
      <c r="AHO11" s="42"/>
      <c r="AHP11" s="42"/>
      <c r="AHQ11" s="42"/>
      <c r="AHR11" s="42"/>
      <c r="AHS11" s="42"/>
      <c r="AHT11" s="42"/>
      <c r="AHU11" s="42"/>
      <c r="AHV11" s="42"/>
      <c r="AHW11" s="42"/>
      <c r="AHX11" s="42"/>
      <c r="AHY11" s="42"/>
      <c r="AHZ11" s="42"/>
      <c r="AIA11" s="42"/>
      <c r="AIB11" s="42"/>
      <c r="AIC11" s="42"/>
      <c r="AID11" s="42"/>
      <c r="AIE11" s="42"/>
      <c r="AIF11" s="42"/>
      <c r="AIG11" s="42"/>
      <c r="AIH11" s="42"/>
      <c r="AII11" s="42"/>
      <c r="AIJ11" s="42"/>
      <c r="AIK11" s="42"/>
      <c r="AIL11" s="42"/>
      <c r="AIM11" s="42"/>
      <c r="AIN11" s="42"/>
      <c r="AIO11" s="42"/>
      <c r="AIP11" s="42"/>
      <c r="AIQ11" s="42"/>
      <c r="AIR11" s="42"/>
      <c r="AIS11" s="42"/>
      <c r="AIT11" s="42"/>
      <c r="AIU11" s="42"/>
      <c r="AIV11" s="42"/>
      <c r="AIW11" s="42"/>
      <c r="AIX11" s="42"/>
      <c r="AIY11" s="42"/>
      <c r="AIZ11" s="42"/>
      <c r="AJA11" s="42"/>
      <c r="AJB11" s="42"/>
      <c r="AJC11" s="42"/>
      <c r="AJD11" s="42"/>
      <c r="AJE11" s="42"/>
      <c r="AJF11" s="42"/>
      <c r="AJG11" s="42"/>
      <c r="AJH11" s="42"/>
      <c r="AJI11" s="42"/>
      <c r="AJJ11" s="42"/>
      <c r="AJK11" s="42"/>
      <c r="AJL11" s="42"/>
      <c r="AJM11" s="42"/>
      <c r="AJN11" s="42"/>
      <c r="AJO11" s="42"/>
      <c r="AJP11" s="42"/>
      <c r="AJQ11" s="42"/>
      <c r="AJR11" s="42"/>
      <c r="AJS11" s="42"/>
      <c r="AJT11" s="42"/>
      <c r="AJU11" s="42"/>
      <c r="AJV11" s="42"/>
      <c r="AJW11" s="42"/>
      <c r="AJX11" s="42"/>
      <c r="AJY11" s="42"/>
      <c r="AJZ11" s="42"/>
      <c r="AKA11" s="42"/>
      <c r="AKB11" s="42"/>
      <c r="AKC11" s="42"/>
      <c r="AKD11" s="42"/>
      <c r="AKE11" s="42"/>
      <c r="AKF11" s="42"/>
      <c r="AKG11" s="42"/>
      <c r="AKH11" s="42"/>
      <c r="AKI11" s="42"/>
      <c r="AKJ11" s="42"/>
      <c r="AKK11" s="42"/>
      <c r="AKL11" s="42"/>
      <c r="AKM11" s="42"/>
      <c r="AKN11" s="42"/>
      <c r="AKO11" s="42"/>
      <c r="AKP11" s="42"/>
      <c r="AKQ11" s="42"/>
      <c r="AKR11" s="42"/>
      <c r="AKS11" s="42"/>
      <c r="AKT11" s="42"/>
      <c r="AKU11" s="42"/>
      <c r="AKV11" s="42"/>
      <c r="AKW11" s="42"/>
      <c r="AKX11" s="42"/>
      <c r="AKY11" s="42"/>
      <c r="AKZ11" s="42"/>
      <c r="ALA11" s="42"/>
      <c r="ALB11" s="42"/>
      <c r="ALC11" s="42"/>
      <c r="ALD11" s="42"/>
      <c r="ALE11" s="42"/>
      <c r="ALF11" s="42"/>
      <c r="ALG11" s="42"/>
      <c r="ALH11" s="42"/>
      <c r="ALI11" s="42"/>
      <c r="ALJ11" s="42"/>
      <c r="ALK11" s="42"/>
      <c r="ALL11" s="42"/>
      <c r="ALM11" s="42"/>
      <c r="ALN11" s="42"/>
      <c r="ALO11" s="42"/>
      <c r="ALP11" s="42"/>
      <c r="ALQ11" s="42"/>
      <c r="ALR11" s="42"/>
      <c r="ALS11" s="42"/>
      <c r="ALT11" s="42"/>
      <c r="ALU11" s="42"/>
      <c r="ALV11" s="42"/>
      <c r="ALW11" s="42"/>
      <c r="ALX11" s="42"/>
      <c r="ALY11" s="42"/>
      <c r="ALZ11" s="42"/>
      <c r="AMA11" s="42"/>
      <c r="AMB11" s="42"/>
      <c r="AMC11" s="42"/>
      <c r="AMD11" s="42"/>
      <c r="AME11" s="42"/>
      <c r="AMF11" s="42"/>
      <c r="AMG11" s="42"/>
      <c r="AMH11" s="42"/>
      <c r="AMI11" s="42"/>
      <c r="AMJ11" s="42"/>
      <c r="AMK11" s="42"/>
      <c r="AML11" s="42"/>
      <c r="AMM11" s="42"/>
      <c r="AMN11" s="42"/>
      <c r="AMO11" s="42"/>
      <c r="AMP11" s="42"/>
      <c r="AMQ11" s="42"/>
      <c r="AMR11" s="42"/>
      <c r="AMS11" s="42"/>
      <c r="AMT11" s="42"/>
      <c r="AMU11" s="42"/>
      <c r="AMV11" s="42"/>
      <c r="AMW11" s="42"/>
      <c r="AMX11" s="42"/>
      <c r="AMY11" s="42"/>
      <c r="AMZ11" s="42"/>
      <c r="ANA11" s="42"/>
      <c r="ANB11" s="42"/>
      <c r="ANC11" s="42"/>
      <c r="AND11" s="42"/>
      <c r="ANE11" s="42"/>
      <c r="ANF11" s="42"/>
      <c r="ANG11" s="42"/>
      <c r="ANH11" s="42"/>
      <c r="ANI11" s="42"/>
      <c r="ANJ11" s="42"/>
      <c r="ANK11" s="42"/>
      <c r="ANL11" s="42"/>
      <c r="ANM11" s="42"/>
      <c r="ANN11" s="42"/>
      <c r="ANO11" s="42"/>
      <c r="ANP11" s="42"/>
      <c r="ANQ11" s="42"/>
      <c r="ANR11" s="42"/>
      <c r="ANS11" s="42"/>
      <c r="ANT11" s="42"/>
      <c r="ANU11" s="42"/>
      <c r="ANV11" s="42"/>
      <c r="ANW11" s="42"/>
      <c r="ANX11" s="42"/>
      <c r="ANY11" s="42"/>
      <c r="ANZ11" s="42"/>
      <c r="AOA11" s="42"/>
      <c r="AOB11" s="42"/>
      <c r="AOC11" s="42"/>
      <c r="AOD11" s="42"/>
      <c r="AOE11" s="42"/>
      <c r="AOF11" s="42"/>
      <c r="AOG11" s="42"/>
      <c r="AOH11" s="42"/>
      <c r="AOI11" s="42"/>
      <c r="AOJ11" s="42"/>
      <c r="AOK11" s="42"/>
      <c r="AOL11" s="42"/>
      <c r="AOM11" s="42"/>
      <c r="AON11" s="42"/>
      <c r="AOO11" s="42"/>
      <c r="AOP11" s="42"/>
      <c r="AOQ11" s="42"/>
      <c r="AOR11" s="42"/>
      <c r="AOS11" s="42"/>
      <c r="AOT11" s="42"/>
      <c r="AOU11" s="42"/>
      <c r="AOV11" s="42"/>
      <c r="AOW11" s="42"/>
      <c r="AOX11" s="42"/>
      <c r="AOY11" s="42"/>
      <c r="AOZ11" s="42"/>
      <c r="APA11" s="42"/>
      <c r="APB11" s="42"/>
      <c r="APC11" s="42"/>
      <c r="APD11" s="42"/>
      <c r="APE11" s="42"/>
      <c r="APF11" s="42"/>
      <c r="APG11" s="42"/>
      <c r="APH11" s="42"/>
      <c r="API11" s="42"/>
      <c r="APJ11" s="42"/>
      <c r="APK11" s="42"/>
      <c r="APL11" s="42"/>
      <c r="APM11" s="42"/>
      <c r="APN11" s="42"/>
      <c r="APO11" s="42"/>
      <c r="APP11" s="42"/>
      <c r="APQ11" s="42"/>
      <c r="APR11" s="42"/>
      <c r="APS11" s="42"/>
      <c r="APT11" s="42"/>
      <c r="APU11" s="42"/>
      <c r="APV11" s="42"/>
      <c r="APW11" s="42"/>
      <c r="APX11" s="42"/>
      <c r="APY11" s="42"/>
      <c r="APZ11" s="42"/>
      <c r="AQA11" s="42"/>
      <c r="AQB11" s="42"/>
      <c r="AQC11" s="42"/>
      <c r="AQD11" s="42"/>
      <c r="AQE11" s="42"/>
      <c r="AQF11" s="42"/>
      <c r="AQG11" s="42"/>
      <c r="AQH11" s="42"/>
      <c r="AQI11" s="42"/>
      <c r="AQJ11" s="42"/>
      <c r="AQK11" s="42"/>
      <c r="AQL11" s="42"/>
      <c r="AQM11" s="42"/>
      <c r="AQN11" s="42"/>
      <c r="AQO11" s="42"/>
      <c r="AQP11" s="42"/>
      <c r="AQQ11" s="42"/>
      <c r="AQR11" s="42"/>
      <c r="AQS11" s="42"/>
      <c r="AQT11" s="42"/>
      <c r="AQU11" s="42"/>
      <c r="AQV11" s="42"/>
      <c r="AQW11" s="42"/>
      <c r="AQX11" s="42"/>
      <c r="AQY11" s="42"/>
      <c r="AQZ11" s="42"/>
      <c r="ARA11" s="42"/>
      <c r="ARB11" s="42"/>
      <c r="ARC11" s="42"/>
      <c r="ARD11" s="42"/>
      <c r="ARE11" s="42"/>
      <c r="ARF11" s="42"/>
      <c r="ARG11" s="42"/>
      <c r="ARH11" s="42"/>
      <c r="ARI11" s="42"/>
      <c r="ARJ11" s="42"/>
      <c r="ARK11" s="42"/>
      <c r="ARL11" s="42"/>
      <c r="ARM11" s="42"/>
      <c r="ARN11" s="42"/>
      <c r="ARO11" s="42"/>
      <c r="ARP11" s="42"/>
      <c r="ARQ11" s="42"/>
      <c r="ARR11" s="42"/>
      <c r="ARS11" s="42"/>
      <c r="ART11" s="42"/>
      <c r="ARU11" s="42"/>
      <c r="ARV11" s="42"/>
      <c r="ARW11" s="42"/>
      <c r="ARX11" s="42"/>
      <c r="ARY11" s="42"/>
      <c r="ARZ11" s="42"/>
      <c r="ASA11" s="42"/>
      <c r="ASB11" s="42"/>
      <c r="ASC11" s="42"/>
      <c r="ASD11" s="42"/>
      <c r="ASE11" s="42"/>
      <c r="ASF11" s="42"/>
      <c r="ASG11" s="42"/>
      <c r="ASH11" s="42"/>
      <c r="ASI11" s="42"/>
      <c r="ASJ11" s="42"/>
      <c r="ASK11" s="42"/>
      <c r="ASL11" s="42"/>
      <c r="ASM11" s="42"/>
      <c r="ASN11" s="42"/>
      <c r="ASO11" s="42"/>
      <c r="ASP11" s="42"/>
      <c r="ASQ11" s="42"/>
      <c r="ASR11" s="42"/>
      <c r="ASS11" s="42"/>
      <c r="AST11" s="42"/>
      <c r="ASU11" s="42"/>
      <c r="ASV11" s="42"/>
      <c r="ASW11" s="42"/>
      <c r="ASX11" s="42"/>
      <c r="ASY11" s="42"/>
      <c r="ASZ11" s="42"/>
      <c r="ATA11" s="42"/>
      <c r="ATB11" s="42"/>
      <c r="ATC11" s="42"/>
      <c r="ATD11" s="42"/>
      <c r="ATE11" s="42"/>
      <c r="ATF11" s="42"/>
      <c r="ATG11" s="42"/>
      <c r="ATH11" s="42"/>
      <c r="ATI11" s="42"/>
      <c r="ATJ11" s="42"/>
      <c r="ATK11" s="42"/>
      <c r="ATL11" s="42"/>
      <c r="ATM11" s="42"/>
      <c r="ATN11" s="42"/>
      <c r="ATO11" s="42"/>
      <c r="ATP11" s="42"/>
      <c r="ATQ11" s="42"/>
      <c r="ATR11" s="42"/>
      <c r="ATS11" s="42"/>
      <c r="ATT11" s="42"/>
      <c r="ATU11" s="42"/>
      <c r="ATV11" s="42"/>
      <c r="ATW11" s="42"/>
      <c r="ATX11" s="42"/>
      <c r="ATY11" s="42"/>
      <c r="ATZ11" s="42"/>
      <c r="AUA11" s="42"/>
      <c r="AUB11" s="42"/>
      <c r="AUC11" s="42"/>
      <c r="AUD11" s="42"/>
      <c r="AUE11" s="42"/>
      <c r="AUF11" s="42"/>
      <c r="AUG11" s="42"/>
      <c r="AUH11" s="42"/>
      <c r="AUI11" s="42"/>
      <c r="AUJ11" s="42"/>
      <c r="AUK11" s="42"/>
      <c r="AUL11" s="42"/>
      <c r="AUM11" s="42"/>
      <c r="AUN11" s="42"/>
      <c r="AUO11" s="42"/>
      <c r="AUP11" s="42"/>
      <c r="AUQ11" s="42"/>
      <c r="AUR11" s="42"/>
      <c r="AUS11" s="42"/>
      <c r="AUT11" s="42"/>
      <c r="AUU11" s="42"/>
      <c r="AUV11" s="42"/>
      <c r="AUW11" s="42"/>
      <c r="AUX11" s="42"/>
      <c r="AUY11" s="42"/>
      <c r="AUZ11" s="42"/>
      <c r="AVA11" s="42"/>
      <c r="AVB11" s="42"/>
      <c r="AVC11" s="42"/>
      <c r="AVD11" s="42"/>
      <c r="AVE11" s="42"/>
      <c r="AVF11" s="42"/>
      <c r="AVG11" s="42"/>
      <c r="AVH11" s="42"/>
      <c r="AVI11" s="42"/>
      <c r="AVJ11" s="42"/>
      <c r="AVK11" s="42"/>
      <c r="AVL11" s="42"/>
      <c r="AVM11" s="42"/>
      <c r="AVN11" s="42"/>
      <c r="AVO11" s="42"/>
      <c r="AVP11" s="42"/>
      <c r="AVQ11" s="42"/>
      <c r="AVR11" s="42"/>
      <c r="AVS11" s="42"/>
      <c r="AVT11" s="42"/>
      <c r="AVU11" s="42"/>
      <c r="AVV11" s="42"/>
      <c r="AVW11" s="42"/>
      <c r="AVX11" s="42"/>
      <c r="AVY11" s="42"/>
      <c r="AVZ11" s="42"/>
      <c r="AWA11" s="42"/>
      <c r="AWB11" s="42"/>
      <c r="AWC11" s="42"/>
      <c r="AWD11" s="42"/>
      <c r="AWE11" s="42"/>
      <c r="AWF11" s="42"/>
      <c r="AWG11" s="42"/>
      <c r="AWH11" s="42"/>
      <c r="AWI11" s="42"/>
      <c r="AWJ11" s="42"/>
      <c r="AWK11" s="42"/>
      <c r="AWL11" s="42"/>
      <c r="AWM11" s="42"/>
      <c r="AWN11" s="42"/>
      <c r="AWO11" s="42"/>
      <c r="AWP11" s="42"/>
      <c r="AWQ11" s="42"/>
      <c r="AWR11" s="42"/>
      <c r="AWS11" s="42"/>
      <c r="AWT11" s="42"/>
      <c r="AWU11" s="42"/>
      <c r="AWV11" s="42"/>
      <c r="AWW11" s="42"/>
      <c r="AWX11" s="42"/>
      <c r="AWY11" s="42"/>
      <c r="AWZ11" s="42"/>
      <c r="AXA11" s="42"/>
      <c r="AXB11" s="42"/>
      <c r="AXC11" s="42"/>
      <c r="AXD11" s="42"/>
      <c r="AXE11" s="42"/>
      <c r="AXF11" s="42"/>
      <c r="AXG11" s="42"/>
      <c r="AXH11" s="42"/>
      <c r="AXI11" s="42"/>
      <c r="AXJ11" s="42"/>
      <c r="AXK11" s="42"/>
      <c r="AXL11" s="42"/>
      <c r="AXM11" s="42"/>
      <c r="AXN11" s="42"/>
      <c r="AXO11" s="42"/>
      <c r="AXP11" s="42"/>
      <c r="AXQ11" s="42"/>
      <c r="AXR11" s="42"/>
      <c r="AXS11" s="42"/>
      <c r="AXT11" s="42"/>
      <c r="AXU11" s="42"/>
      <c r="AXV11" s="42"/>
      <c r="AXW11" s="42"/>
      <c r="AXX11" s="42"/>
      <c r="AXY11" s="42"/>
      <c r="AXZ11" s="42"/>
      <c r="AYA11" s="42"/>
      <c r="AYB11" s="42"/>
      <c r="AYC11" s="42"/>
      <c r="AYD11" s="42"/>
      <c r="AYE11" s="42"/>
      <c r="AYF11" s="42"/>
      <c r="AYG11" s="42"/>
      <c r="AYH11" s="42"/>
      <c r="AYI11" s="42"/>
      <c r="AYJ11" s="42"/>
      <c r="AYK11" s="42"/>
      <c r="AYL11" s="42"/>
      <c r="AYM11" s="42"/>
      <c r="AYN11" s="42"/>
      <c r="AYO11" s="42"/>
      <c r="AYP11" s="42"/>
      <c r="AYQ11" s="42"/>
      <c r="AYR11" s="42"/>
      <c r="AYS11" s="42"/>
      <c r="AYT11" s="42"/>
      <c r="AYU11" s="42"/>
      <c r="AYV11" s="42"/>
      <c r="AYW11" s="42"/>
      <c r="AYX11" s="42"/>
      <c r="AYY11" s="42"/>
      <c r="AYZ11" s="42"/>
      <c r="AZA11" s="42"/>
      <c r="AZB11" s="42"/>
      <c r="AZC11" s="42"/>
      <c r="AZD11" s="42"/>
      <c r="AZE11" s="42"/>
      <c r="AZF11" s="42"/>
      <c r="AZG11" s="42"/>
      <c r="AZH11" s="42"/>
      <c r="AZI11" s="42"/>
      <c r="AZJ11" s="42"/>
      <c r="AZK11" s="42"/>
      <c r="AZL11" s="42"/>
      <c r="AZM11" s="42"/>
      <c r="AZN11" s="42"/>
      <c r="AZO11" s="42"/>
      <c r="AZP11" s="42"/>
      <c r="AZQ11" s="42"/>
      <c r="AZR11" s="42"/>
      <c r="AZS11" s="42"/>
      <c r="AZT11" s="42"/>
      <c r="AZU11" s="42"/>
      <c r="AZV11" s="42"/>
      <c r="AZW11" s="42"/>
      <c r="AZX11" s="42"/>
      <c r="AZY11" s="42"/>
      <c r="AZZ11" s="42"/>
      <c r="BAA11" s="42"/>
      <c r="BAB11" s="42"/>
      <c r="BAC11" s="42"/>
      <c r="BAD11" s="42"/>
      <c r="BAE11" s="42"/>
      <c r="BAF11" s="42"/>
      <c r="BAG11" s="42"/>
      <c r="BAH11" s="42"/>
      <c r="BAI11" s="42"/>
      <c r="BAJ11" s="42"/>
      <c r="BAK11" s="42"/>
      <c r="BAL11" s="42"/>
      <c r="BAM11" s="42"/>
      <c r="BAN11" s="42"/>
      <c r="BAO11" s="42"/>
      <c r="BAP11" s="42"/>
      <c r="BAQ11" s="42"/>
      <c r="BAR11" s="42"/>
      <c r="BAS11" s="42"/>
      <c r="BAT11" s="42"/>
      <c r="BAU11" s="42"/>
      <c r="BAV11" s="42"/>
      <c r="BAW11" s="42"/>
      <c r="BAX11" s="42"/>
      <c r="BAY11" s="42"/>
      <c r="BAZ11" s="42"/>
      <c r="BBA11" s="42"/>
      <c r="BBB11" s="42"/>
      <c r="BBC11" s="42"/>
      <c r="BBD11" s="42"/>
      <c r="BBE11" s="42"/>
      <c r="BBF11" s="42"/>
      <c r="BBG11" s="42"/>
      <c r="BBH11" s="42"/>
      <c r="BBI11" s="42"/>
      <c r="BBJ11" s="42"/>
      <c r="BBK11" s="42"/>
      <c r="BBL11" s="42"/>
      <c r="BBM11" s="42"/>
      <c r="BBN11" s="42"/>
      <c r="BBO11" s="42"/>
      <c r="BBP11" s="42"/>
      <c r="BBQ11" s="42"/>
      <c r="BBR11" s="42"/>
      <c r="BBS11" s="42"/>
      <c r="BBT11" s="42"/>
      <c r="BBU11" s="42"/>
      <c r="BBV11" s="42"/>
      <c r="BBW11" s="42"/>
      <c r="BBX11" s="42"/>
      <c r="BBY11" s="42"/>
      <c r="BBZ11" s="42"/>
      <c r="BCA11" s="42"/>
      <c r="BCB11" s="42"/>
      <c r="BCC11" s="42"/>
      <c r="BCD11" s="42"/>
      <c r="BCE11" s="42"/>
      <c r="BCF11" s="42"/>
      <c r="BCG11" s="42"/>
      <c r="BCH11" s="42"/>
      <c r="BCI11" s="42"/>
      <c r="BCJ11" s="42"/>
      <c r="BCK11" s="42"/>
      <c r="BCL11" s="42"/>
      <c r="BCM11" s="42"/>
      <c r="BCN11" s="42"/>
      <c r="BCO11" s="42"/>
      <c r="BCP11" s="42"/>
      <c r="BCQ11" s="42"/>
      <c r="BCR11" s="42"/>
      <c r="BCS11" s="42"/>
      <c r="BCT11" s="42"/>
      <c r="BCU11" s="42"/>
      <c r="BCV11" s="42"/>
      <c r="BCW11" s="42"/>
      <c r="BCX11" s="42"/>
    </row>
    <row r="12" spans="1:1454" s="49" customFormat="1" x14ac:dyDescent="0.25">
      <c r="A12" s="80">
        <v>2</v>
      </c>
      <c r="B12" s="76" t="str">
        <f>线路!B9</f>
        <v>IP6</v>
      </c>
      <c r="C12" s="81">
        <f>线路!E9</f>
        <v>451286.96840000001</v>
      </c>
      <c r="D12" s="81">
        <f>线路!F9</f>
        <v>3047877.5153000001</v>
      </c>
      <c r="E12" s="85">
        <f>线路!G9</f>
        <v>13</v>
      </c>
      <c r="F12" s="85">
        <f>线路!H9</f>
        <v>44.874000000000002</v>
      </c>
      <c r="G12" s="86">
        <f>线路!L9</f>
        <v>370.14613243371258</v>
      </c>
      <c r="H12" s="86">
        <f>线路!M9</f>
        <v>375.23692624922217</v>
      </c>
      <c r="I12" s="86">
        <f>线路!N9</f>
        <v>380.32772006473175</v>
      </c>
      <c r="J12" s="83">
        <f t="shared" si="0"/>
        <v>10.18158763101917</v>
      </c>
      <c r="K12" s="83">
        <f t="shared" si="13"/>
        <v>45.870071642281459</v>
      </c>
      <c r="L12" s="83">
        <f>IF(A12=1,断面设计!$D$7,IF(A12=2,断面设计!$D$8,IF(A12=3,断面设计!$D$9,IF(A12=4,断面设计!$D$10,IF(A12=5,断面设计!$D$11,IF(A12=6,断面设计!$D$12,IF(A12=7,断面设计!$D$13,IF(A12=8,断面设计!$D$14,IF(A12=9,断面设计!$D$15,IF(A12=10,断面设计!$D$16))))))))))</f>
        <v>1.5</v>
      </c>
      <c r="M12" s="83">
        <f t="shared" si="14"/>
        <v>1.2</v>
      </c>
      <c r="N12" s="110">
        <f t="shared" si="1"/>
        <v>1.4999999999999999E-2</v>
      </c>
      <c r="O12" s="83">
        <f>IF(A12=1,断面设计!$J$7,IF(A12=2,断面设计!$J$8,IF(A12=3,断面设计!$J$9,IF(A12=4,断面设计!$J$10,IF(A12=5,断面设计!$J$11,IF(A12=6,断面设计!$J$12,IF(A12=7,断面设计!$J$13,IF(A12=8,断面设计!$J$14,IF(A12=9,断面设计!$J$15,IF(A12=10,断面设计!$J$16))))))))))</f>
        <v>5000</v>
      </c>
      <c r="P12" s="111">
        <f>IF(A12=1,断面设计!$K$7,IF(A12=2,断面设计!$K$8,IF(A12=3,断面设计!$K$9,IF(A12=4,断面设计!$K$10,IF(A12=5,断面设计!$K$11,IF(A12=6,断面设计!$K$12,IF(A12=7,断面设计!$K$13,IF(A12=8,断面设计!$K$14,IF(A12=9,断面设计!$K$15,IF(A12=10,断面设计!$K$16))))))))))</f>
        <v>4.4993914540329225</v>
      </c>
      <c r="Q12" s="110">
        <f>IF(A12=1,断面设计!$C$7,IF(A12=2,断面设计!$C$8,IF(A12=3,断面设计!$C$9,IF(A12=4,断面设计!$C$10,IF(A12=5,断面设计!$C$11,IF(A12=6,断面设计!$C$12,IF(A12=7,断面设计!$C$13,IF(A12=8,断面设计!$C$14,IF(A12=9,断面设计!$C$15,IF(A12=10,断面设计!$C$16))))))))))</f>
        <v>1.58308906639964</v>
      </c>
      <c r="R12" s="83">
        <f>IF(A12=1,断面设计!$F$7,IF(A12=2,断面设计!$F$8,IF(A12=3,断面设计!$F$9,IF(A12=4,断面设计!$F$10,IF(A12=5,断面设计!$F$11,IF(A12=6,断面设计!$F$12,IF(A12=7,断面设计!$F$13,IF(A12=8,断面设计!$F$14,IF(A12=9,断面设计!$F$15,IF(A12=10,断面设计!$F$16))))))))))</f>
        <v>5.3820387901843603</v>
      </c>
      <c r="S12" s="83">
        <f>IF(A12=1,断面设计!$G$7,IF(A12=2,断面设计!$G$8,IF(A12=3,断面设计!$G$9,IF(A12=4,断面设计!$G$10,IF(A12=5,断面设计!$G$11,IF(A12=6,断面设计!$G$12,IF(A12=7,断面设计!$G$13,IF(A12=8,断面设计!$G$14,IF(A12=9,断面设计!$G$15,IF(A12=10,断面设计!$G$16))))))))))</f>
        <v>6.445728347111662</v>
      </c>
      <c r="T12" s="83">
        <f t="shared" si="15"/>
        <v>0.83497760072312976</v>
      </c>
      <c r="U12" s="83">
        <f t="shared" si="16"/>
        <v>0.8360013053489711</v>
      </c>
      <c r="V12" s="123">
        <f t="shared" si="17"/>
        <v>1.0748610393975285E-3</v>
      </c>
      <c r="W12" s="110"/>
      <c r="X12" s="110">
        <f>IF(AN12=0,IF(AN11=2,(H12-H11-AE11)/O12,(H12-H11)/O12),IF(AN12=1,IF(AN11=2,IF(AE12&lt;9,(H12-H11-AE12-AE11)/断面设计!$J$7,(H12-H11-AE12-AE11)/断面设计!$J$7),(H12-H11-AE12)/O11),(H12-H11)/O12))</f>
        <v>9.1740143284562911E-3</v>
      </c>
      <c r="Y12" s="133">
        <v>0</v>
      </c>
      <c r="Z12" s="134">
        <f t="shared" si="26"/>
        <v>0</v>
      </c>
      <c r="AA12" s="83"/>
      <c r="AB12" s="133">
        <f t="shared" si="4"/>
        <v>1.58308906639964</v>
      </c>
      <c r="AC12" s="110">
        <f t="shared" si="5"/>
        <v>1.024887536785382E-2</v>
      </c>
      <c r="AD12" s="110">
        <f t="shared" si="18"/>
        <v>2392.1891430073015</v>
      </c>
      <c r="AE12" s="82">
        <f t="shared" si="19"/>
        <v>0</v>
      </c>
      <c r="AF12" s="110" t="str">
        <f t="shared" si="6"/>
        <v xml:space="preserve"> </v>
      </c>
      <c r="AG12" s="110" t="str">
        <f>IF(AE12=0," ",AF12-断面设计!$C$7)</f>
        <v xml:space="preserve"> </v>
      </c>
      <c r="AH12" s="110">
        <f t="shared" si="7"/>
        <v>2392.191236027104</v>
      </c>
      <c r="AI12" s="110">
        <f t="shared" si="8"/>
        <v>2390.6081469607043</v>
      </c>
      <c r="AJ12" s="110">
        <f t="shared" si="9"/>
        <v>2392.1881248485383</v>
      </c>
      <c r="AK12" s="110">
        <f t="shared" si="10"/>
        <v>2390.6050357821387</v>
      </c>
      <c r="AL12" s="110">
        <f t="shared" si="11"/>
        <v>2392.1896804378212</v>
      </c>
      <c r="AM12" s="110">
        <f t="shared" si="12"/>
        <v>2390.6065913714215</v>
      </c>
      <c r="AN12" s="80"/>
      <c r="AO12" s="80">
        <v>0</v>
      </c>
      <c r="AP12" s="161"/>
      <c r="AQ12" s="42"/>
      <c r="AR12" s="42"/>
      <c r="AS12" s="42"/>
      <c r="AT12" s="42"/>
      <c r="AU12" s="64" t="str">
        <f t="shared" si="20"/>
        <v>375.236926249222,2390.60659137142</v>
      </c>
      <c r="AV12" s="64" t="str">
        <f t="shared" si="21"/>
        <v>375.236926249222,2392.18968043782</v>
      </c>
      <c r="AW12" s="169" t="str">
        <f t="shared" si="22"/>
        <v xml:space="preserve">pl 375.236926249222,0 375.236926249222,76 </v>
      </c>
      <c r="AX12" s="161" t="str">
        <f t="shared" si="23"/>
        <v>-text 375.236926249222,48 3.5 90 2390.607</v>
      </c>
      <c r="AY12" s="161" t="str">
        <f t="shared" si="24"/>
        <v>-text 375.236926249222,62.5 3.5 90 2392.190</v>
      </c>
      <c r="AZ12" s="42" t="str">
        <f t="shared" si="25"/>
        <v>-text 375.236926249222,23.5 3.5 90 马分0+375.24</v>
      </c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  <c r="FI12" s="42"/>
      <c r="FJ12" s="42"/>
      <c r="FK12" s="42"/>
      <c r="FL12" s="42"/>
      <c r="FM12" s="42"/>
      <c r="FN12" s="42"/>
      <c r="FO12" s="42"/>
      <c r="FP12" s="42"/>
      <c r="FQ12" s="42"/>
      <c r="FR12" s="42"/>
      <c r="FS12" s="42"/>
      <c r="FT12" s="42"/>
      <c r="FU12" s="42"/>
      <c r="FV12" s="42"/>
      <c r="FW12" s="42"/>
      <c r="FX12" s="42"/>
      <c r="FY12" s="42"/>
      <c r="FZ12" s="42"/>
      <c r="GA12" s="42"/>
      <c r="GB12" s="42"/>
      <c r="GC12" s="42"/>
      <c r="GD12" s="42"/>
      <c r="GE12" s="42"/>
      <c r="GF12" s="42"/>
      <c r="GG12" s="42"/>
      <c r="GH12" s="42"/>
      <c r="GI12" s="42"/>
      <c r="GJ12" s="42"/>
      <c r="GK12" s="42"/>
      <c r="GL12" s="42"/>
      <c r="GM12" s="42"/>
      <c r="GN12" s="42"/>
      <c r="GO12" s="42"/>
      <c r="GP12" s="42"/>
      <c r="GQ12" s="42"/>
      <c r="GR12" s="42"/>
      <c r="GS12" s="42"/>
      <c r="GT12" s="42"/>
      <c r="GU12" s="42"/>
      <c r="GV12" s="42"/>
      <c r="GW12" s="42"/>
      <c r="GX12" s="42"/>
      <c r="GY12" s="42"/>
      <c r="GZ12" s="42"/>
      <c r="HA12" s="42"/>
      <c r="HB12" s="42"/>
      <c r="HC12" s="42"/>
      <c r="HD12" s="42"/>
      <c r="HE12" s="42"/>
      <c r="HF12" s="42"/>
      <c r="HG12" s="42"/>
      <c r="HH12" s="42"/>
      <c r="HI12" s="42"/>
      <c r="HJ12" s="42"/>
      <c r="HK12" s="42"/>
      <c r="HL12" s="42"/>
      <c r="HM12" s="42"/>
      <c r="HN12" s="42"/>
      <c r="HO12" s="42"/>
      <c r="HP12" s="42"/>
      <c r="HQ12" s="42"/>
      <c r="HR12" s="42"/>
      <c r="HS12" s="42"/>
      <c r="HT12" s="42"/>
      <c r="HU12" s="42"/>
      <c r="HV12" s="42"/>
      <c r="HW12" s="42"/>
      <c r="HX12" s="42"/>
      <c r="HY12" s="42"/>
      <c r="HZ12" s="42"/>
      <c r="IA12" s="42"/>
      <c r="IB12" s="42"/>
      <c r="IC12" s="42"/>
      <c r="ID12" s="42"/>
      <c r="IE12" s="42"/>
      <c r="IF12" s="42"/>
      <c r="IG12" s="42"/>
      <c r="IH12" s="42"/>
      <c r="II12" s="42"/>
      <c r="IJ12" s="42"/>
      <c r="IK12" s="42"/>
      <c r="IL12" s="42"/>
      <c r="IM12" s="42"/>
      <c r="IN12" s="42"/>
      <c r="IO12" s="42"/>
      <c r="IP12" s="42"/>
      <c r="IQ12" s="42"/>
      <c r="IR12" s="42"/>
      <c r="IS12" s="42"/>
      <c r="IT12" s="42"/>
      <c r="IU12" s="42"/>
      <c r="IV12" s="42"/>
      <c r="IW12" s="42"/>
      <c r="IX12" s="42"/>
      <c r="IY12" s="42"/>
      <c r="IZ12" s="42"/>
      <c r="JA12" s="42"/>
      <c r="JB12" s="42"/>
      <c r="JC12" s="42"/>
      <c r="JD12" s="42"/>
      <c r="JE12" s="42"/>
      <c r="JF12" s="42"/>
      <c r="JG12" s="42"/>
      <c r="JH12" s="42"/>
      <c r="JI12" s="42"/>
      <c r="JJ12" s="42"/>
      <c r="JK12" s="42"/>
      <c r="JL12" s="42"/>
      <c r="JM12" s="42"/>
      <c r="JN12" s="42"/>
      <c r="JO12" s="42"/>
      <c r="JP12" s="42"/>
      <c r="JQ12" s="42"/>
      <c r="JR12" s="42"/>
      <c r="JS12" s="42"/>
      <c r="JT12" s="42"/>
      <c r="JU12" s="42"/>
      <c r="JV12" s="42"/>
      <c r="JW12" s="42"/>
      <c r="JX12" s="42"/>
      <c r="JY12" s="42"/>
      <c r="JZ12" s="42"/>
      <c r="KA12" s="42"/>
      <c r="KB12" s="42"/>
      <c r="KC12" s="42"/>
      <c r="KD12" s="42"/>
      <c r="KE12" s="42"/>
      <c r="KF12" s="42"/>
      <c r="KG12" s="42"/>
      <c r="KH12" s="42"/>
      <c r="KI12" s="42"/>
      <c r="KJ12" s="42"/>
      <c r="KK12" s="42"/>
      <c r="KL12" s="42"/>
      <c r="KM12" s="42"/>
      <c r="KN12" s="42"/>
      <c r="KO12" s="42"/>
      <c r="KP12" s="42"/>
      <c r="KQ12" s="42"/>
      <c r="KR12" s="42"/>
      <c r="KS12" s="42"/>
      <c r="KT12" s="42"/>
      <c r="KU12" s="42"/>
      <c r="KV12" s="42"/>
      <c r="KW12" s="42"/>
      <c r="KX12" s="42"/>
      <c r="KY12" s="42"/>
      <c r="KZ12" s="42"/>
      <c r="LA12" s="42"/>
      <c r="LB12" s="42"/>
      <c r="LC12" s="42"/>
      <c r="LD12" s="42"/>
      <c r="LE12" s="42"/>
      <c r="LF12" s="42"/>
      <c r="LG12" s="42"/>
      <c r="LH12" s="42"/>
      <c r="LI12" s="42"/>
      <c r="LJ12" s="42"/>
      <c r="LK12" s="42"/>
      <c r="LL12" s="42"/>
      <c r="LM12" s="42"/>
      <c r="LN12" s="42"/>
      <c r="LO12" s="42"/>
      <c r="LP12" s="42"/>
      <c r="LQ12" s="42"/>
      <c r="LR12" s="42"/>
      <c r="LS12" s="42"/>
      <c r="LT12" s="42"/>
      <c r="LU12" s="42"/>
      <c r="LV12" s="42"/>
      <c r="LW12" s="42"/>
      <c r="LX12" s="42"/>
      <c r="LY12" s="42"/>
      <c r="LZ12" s="42"/>
      <c r="MA12" s="42"/>
      <c r="MB12" s="42"/>
      <c r="MC12" s="42"/>
      <c r="MD12" s="42"/>
      <c r="ME12" s="42"/>
      <c r="MF12" s="42"/>
      <c r="MG12" s="42"/>
      <c r="MH12" s="42"/>
      <c r="MI12" s="42"/>
      <c r="MJ12" s="42"/>
      <c r="MK12" s="42"/>
      <c r="ML12" s="42"/>
      <c r="MM12" s="42"/>
      <c r="MN12" s="42"/>
      <c r="MO12" s="42"/>
      <c r="MP12" s="42"/>
      <c r="MQ12" s="42"/>
      <c r="MR12" s="42"/>
      <c r="MS12" s="42"/>
      <c r="MT12" s="42"/>
      <c r="MU12" s="42"/>
      <c r="MV12" s="42"/>
      <c r="MW12" s="42"/>
      <c r="MX12" s="42"/>
      <c r="MY12" s="42"/>
      <c r="MZ12" s="42"/>
      <c r="NA12" s="42"/>
      <c r="NB12" s="42"/>
      <c r="NC12" s="42"/>
      <c r="ND12" s="42"/>
      <c r="NE12" s="42"/>
      <c r="NF12" s="42"/>
      <c r="NG12" s="42"/>
      <c r="NH12" s="42"/>
      <c r="NI12" s="42"/>
      <c r="NJ12" s="42"/>
      <c r="NK12" s="42"/>
      <c r="NL12" s="42"/>
      <c r="NM12" s="42"/>
      <c r="NN12" s="42"/>
      <c r="NO12" s="42"/>
      <c r="NP12" s="42"/>
      <c r="NQ12" s="42"/>
      <c r="NR12" s="42"/>
      <c r="NS12" s="42"/>
      <c r="NT12" s="42"/>
      <c r="NU12" s="42"/>
      <c r="NV12" s="42"/>
      <c r="NW12" s="42"/>
      <c r="NX12" s="42"/>
      <c r="NY12" s="42"/>
      <c r="NZ12" s="42"/>
      <c r="OA12" s="42"/>
      <c r="OB12" s="42"/>
      <c r="OC12" s="42"/>
      <c r="OD12" s="42"/>
      <c r="OE12" s="42"/>
      <c r="OF12" s="42"/>
      <c r="OG12" s="42"/>
      <c r="OH12" s="42"/>
      <c r="OI12" s="42"/>
      <c r="OJ12" s="42"/>
      <c r="OK12" s="42"/>
      <c r="OL12" s="42"/>
      <c r="OM12" s="42"/>
      <c r="ON12" s="42"/>
      <c r="OO12" s="42"/>
      <c r="OP12" s="42"/>
      <c r="OQ12" s="42"/>
      <c r="OR12" s="42"/>
      <c r="OS12" s="42"/>
      <c r="OT12" s="42"/>
      <c r="OU12" s="42"/>
      <c r="OV12" s="42"/>
      <c r="OW12" s="42"/>
      <c r="OX12" s="42"/>
      <c r="OY12" s="42"/>
      <c r="OZ12" s="42"/>
      <c r="PA12" s="42"/>
      <c r="PB12" s="42"/>
      <c r="PC12" s="42"/>
      <c r="PD12" s="42"/>
      <c r="PE12" s="42"/>
      <c r="PF12" s="42"/>
      <c r="PG12" s="42"/>
      <c r="PH12" s="42"/>
      <c r="PI12" s="42"/>
      <c r="PJ12" s="42"/>
      <c r="PK12" s="42"/>
      <c r="PL12" s="42"/>
      <c r="PM12" s="42"/>
      <c r="PN12" s="42"/>
      <c r="PO12" s="42"/>
      <c r="PP12" s="42"/>
      <c r="PQ12" s="42"/>
      <c r="PR12" s="42"/>
      <c r="PS12" s="42"/>
      <c r="PT12" s="42"/>
      <c r="PU12" s="42"/>
      <c r="PV12" s="42"/>
      <c r="PW12" s="42"/>
      <c r="PX12" s="42"/>
      <c r="PY12" s="42"/>
      <c r="PZ12" s="42"/>
      <c r="QA12" s="42"/>
      <c r="QB12" s="42"/>
      <c r="QC12" s="42"/>
      <c r="QD12" s="42"/>
      <c r="QE12" s="42"/>
      <c r="QF12" s="42"/>
      <c r="QG12" s="42"/>
      <c r="QH12" s="42"/>
      <c r="QI12" s="42"/>
      <c r="QJ12" s="42"/>
      <c r="QK12" s="42"/>
      <c r="QL12" s="42"/>
      <c r="QM12" s="42"/>
      <c r="QN12" s="42"/>
      <c r="QO12" s="42"/>
      <c r="QP12" s="42"/>
      <c r="QQ12" s="42"/>
      <c r="QR12" s="42"/>
      <c r="QS12" s="42"/>
      <c r="QT12" s="42"/>
      <c r="QU12" s="42"/>
      <c r="QV12" s="42"/>
      <c r="QW12" s="42"/>
      <c r="QX12" s="42"/>
      <c r="QY12" s="42"/>
      <c r="QZ12" s="42"/>
      <c r="RA12" s="42"/>
      <c r="RB12" s="42"/>
      <c r="RC12" s="42"/>
      <c r="RD12" s="42"/>
      <c r="RE12" s="42"/>
      <c r="RF12" s="42"/>
      <c r="RG12" s="42"/>
      <c r="RH12" s="42"/>
      <c r="RI12" s="42"/>
      <c r="RJ12" s="42"/>
      <c r="RK12" s="42"/>
      <c r="RL12" s="42"/>
      <c r="RM12" s="42"/>
      <c r="RN12" s="42"/>
      <c r="RO12" s="42"/>
      <c r="RP12" s="42"/>
      <c r="RQ12" s="42"/>
      <c r="RR12" s="42"/>
      <c r="RS12" s="42"/>
      <c r="RT12" s="42"/>
      <c r="RU12" s="42"/>
      <c r="RV12" s="42"/>
      <c r="RW12" s="42"/>
      <c r="RX12" s="42"/>
      <c r="RY12" s="42"/>
      <c r="RZ12" s="42"/>
      <c r="SA12" s="42"/>
      <c r="SB12" s="42"/>
      <c r="SC12" s="42"/>
      <c r="SD12" s="42"/>
      <c r="SE12" s="42"/>
      <c r="SF12" s="42"/>
      <c r="SG12" s="42"/>
      <c r="SH12" s="42"/>
      <c r="SI12" s="42"/>
      <c r="SJ12" s="42"/>
      <c r="SK12" s="42"/>
      <c r="SL12" s="42"/>
      <c r="SM12" s="42"/>
      <c r="SN12" s="42"/>
      <c r="SO12" s="42"/>
      <c r="SP12" s="42"/>
      <c r="SQ12" s="42"/>
      <c r="SR12" s="42"/>
      <c r="SS12" s="42"/>
      <c r="ST12" s="42"/>
      <c r="SU12" s="42"/>
      <c r="SV12" s="42"/>
      <c r="SW12" s="42"/>
      <c r="SX12" s="42"/>
      <c r="SY12" s="42"/>
      <c r="SZ12" s="42"/>
      <c r="TA12" s="42"/>
      <c r="TB12" s="42"/>
      <c r="TC12" s="42"/>
      <c r="TD12" s="42"/>
      <c r="TE12" s="42"/>
      <c r="TF12" s="42"/>
      <c r="TG12" s="42"/>
      <c r="TH12" s="42"/>
      <c r="TI12" s="42"/>
      <c r="TJ12" s="42"/>
      <c r="TK12" s="42"/>
      <c r="TL12" s="42"/>
      <c r="TM12" s="42"/>
      <c r="TN12" s="42"/>
      <c r="TO12" s="42"/>
      <c r="TP12" s="42"/>
      <c r="TQ12" s="42"/>
      <c r="TR12" s="42"/>
      <c r="TS12" s="42"/>
      <c r="TT12" s="42"/>
      <c r="TU12" s="42"/>
      <c r="TV12" s="42"/>
      <c r="TW12" s="42"/>
      <c r="TX12" s="42"/>
      <c r="TY12" s="42"/>
      <c r="TZ12" s="42"/>
      <c r="UA12" s="42"/>
      <c r="UB12" s="42"/>
      <c r="UC12" s="42"/>
      <c r="UD12" s="42"/>
      <c r="UE12" s="42"/>
      <c r="UF12" s="42"/>
      <c r="UG12" s="42"/>
      <c r="UH12" s="42"/>
      <c r="UI12" s="42"/>
      <c r="UJ12" s="42"/>
      <c r="UK12" s="42"/>
      <c r="UL12" s="42"/>
      <c r="UM12" s="42"/>
      <c r="UN12" s="42"/>
      <c r="UO12" s="42"/>
      <c r="UP12" s="42"/>
      <c r="UQ12" s="42"/>
      <c r="UR12" s="42"/>
      <c r="US12" s="42"/>
      <c r="UT12" s="42"/>
      <c r="UU12" s="42"/>
      <c r="UV12" s="42"/>
      <c r="UW12" s="42"/>
      <c r="UX12" s="42"/>
      <c r="UY12" s="42"/>
      <c r="UZ12" s="42"/>
      <c r="VA12" s="42"/>
      <c r="VB12" s="42"/>
      <c r="VC12" s="42"/>
      <c r="VD12" s="42"/>
      <c r="VE12" s="42"/>
      <c r="VF12" s="42"/>
      <c r="VG12" s="42"/>
      <c r="VH12" s="42"/>
      <c r="VI12" s="42"/>
      <c r="VJ12" s="42"/>
      <c r="VK12" s="42"/>
      <c r="VL12" s="42"/>
      <c r="VM12" s="42"/>
      <c r="VN12" s="42"/>
      <c r="VO12" s="42"/>
      <c r="VP12" s="42"/>
      <c r="VQ12" s="42"/>
      <c r="VR12" s="42"/>
      <c r="VS12" s="42"/>
      <c r="VT12" s="42"/>
      <c r="VU12" s="42"/>
      <c r="VV12" s="42"/>
      <c r="VW12" s="42"/>
      <c r="VX12" s="42"/>
      <c r="VY12" s="42"/>
      <c r="VZ12" s="42"/>
      <c r="WA12" s="42"/>
      <c r="WB12" s="42"/>
      <c r="WC12" s="42"/>
      <c r="WD12" s="42"/>
      <c r="WE12" s="42"/>
      <c r="WF12" s="42"/>
      <c r="WG12" s="42"/>
      <c r="WH12" s="42"/>
      <c r="WI12" s="42"/>
      <c r="WJ12" s="42"/>
      <c r="WK12" s="42"/>
      <c r="WL12" s="42"/>
      <c r="WM12" s="42"/>
      <c r="WN12" s="42"/>
      <c r="WO12" s="42"/>
      <c r="WP12" s="42"/>
      <c r="WQ12" s="42"/>
      <c r="WR12" s="42"/>
      <c r="WS12" s="42"/>
      <c r="WT12" s="42"/>
      <c r="WU12" s="42"/>
      <c r="WV12" s="42"/>
      <c r="WW12" s="42"/>
      <c r="WX12" s="42"/>
      <c r="WY12" s="42"/>
      <c r="WZ12" s="42"/>
      <c r="XA12" s="42"/>
      <c r="XB12" s="42"/>
      <c r="XC12" s="42"/>
      <c r="XD12" s="42"/>
      <c r="XE12" s="42"/>
      <c r="XF12" s="42"/>
      <c r="XG12" s="42"/>
      <c r="XH12" s="42"/>
      <c r="XI12" s="42"/>
      <c r="XJ12" s="42"/>
      <c r="XK12" s="42"/>
      <c r="XL12" s="42"/>
      <c r="XM12" s="42"/>
      <c r="XN12" s="42"/>
      <c r="XO12" s="42"/>
      <c r="XP12" s="42"/>
      <c r="XQ12" s="42"/>
      <c r="XR12" s="42"/>
      <c r="XS12" s="42"/>
      <c r="XT12" s="42"/>
      <c r="XU12" s="42"/>
      <c r="XV12" s="42"/>
      <c r="XW12" s="42"/>
      <c r="XX12" s="42"/>
      <c r="XY12" s="42"/>
      <c r="XZ12" s="42"/>
      <c r="YA12" s="42"/>
      <c r="YB12" s="42"/>
      <c r="YC12" s="42"/>
      <c r="YD12" s="42"/>
      <c r="YE12" s="42"/>
      <c r="YF12" s="42"/>
      <c r="YG12" s="42"/>
      <c r="YH12" s="42"/>
      <c r="YI12" s="42"/>
      <c r="YJ12" s="42"/>
      <c r="YK12" s="42"/>
      <c r="YL12" s="42"/>
      <c r="YM12" s="42"/>
      <c r="YN12" s="42"/>
      <c r="YO12" s="42"/>
      <c r="YP12" s="42"/>
      <c r="YQ12" s="42"/>
      <c r="YR12" s="42"/>
      <c r="YS12" s="42"/>
      <c r="YT12" s="42"/>
      <c r="YU12" s="42"/>
      <c r="YV12" s="42"/>
      <c r="YW12" s="42"/>
      <c r="YX12" s="42"/>
      <c r="YY12" s="42"/>
      <c r="YZ12" s="42"/>
      <c r="ZA12" s="42"/>
      <c r="ZB12" s="42"/>
      <c r="ZC12" s="42"/>
      <c r="ZD12" s="42"/>
      <c r="ZE12" s="42"/>
      <c r="ZF12" s="42"/>
      <c r="ZG12" s="42"/>
      <c r="ZH12" s="42"/>
      <c r="ZI12" s="42"/>
      <c r="ZJ12" s="42"/>
      <c r="ZK12" s="42"/>
      <c r="ZL12" s="42"/>
      <c r="ZM12" s="42"/>
      <c r="ZN12" s="42"/>
      <c r="ZO12" s="42"/>
      <c r="ZP12" s="42"/>
      <c r="ZQ12" s="42"/>
      <c r="ZR12" s="42"/>
      <c r="ZS12" s="42"/>
      <c r="ZT12" s="42"/>
      <c r="ZU12" s="42"/>
      <c r="ZV12" s="42"/>
      <c r="ZW12" s="42"/>
      <c r="ZX12" s="42"/>
      <c r="ZY12" s="42"/>
      <c r="ZZ12" s="42"/>
      <c r="AAA12" s="42"/>
      <c r="AAB12" s="42"/>
      <c r="AAC12" s="42"/>
      <c r="AAD12" s="42"/>
      <c r="AAE12" s="42"/>
      <c r="AAF12" s="42"/>
      <c r="AAG12" s="42"/>
      <c r="AAH12" s="42"/>
      <c r="AAI12" s="42"/>
      <c r="AAJ12" s="42"/>
      <c r="AAK12" s="42"/>
      <c r="AAL12" s="42"/>
      <c r="AAM12" s="42"/>
      <c r="AAN12" s="42"/>
      <c r="AAO12" s="42"/>
      <c r="AAP12" s="42"/>
      <c r="AAQ12" s="42"/>
      <c r="AAR12" s="42"/>
      <c r="AAS12" s="42"/>
      <c r="AAT12" s="42"/>
      <c r="AAU12" s="42"/>
      <c r="AAV12" s="42"/>
      <c r="AAW12" s="42"/>
      <c r="AAX12" s="42"/>
      <c r="AAY12" s="42"/>
      <c r="AAZ12" s="42"/>
      <c r="ABA12" s="42"/>
      <c r="ABB12" s="42"/>
      <c r="ABC12" s="42"/>
      <c r="ABD12" s="42"/>
      <c r="ABE12" s="42"/>
      <c r="ABF12" s="42"/>
      <c r="ABG12" s="42"/>
      <c r="ABH12" s="42"/>
      <c r="ABI12" s="42"/>
      <c r="ABJ12" s="42"/>
      <c r="ABK12" s="42"/>
      <c r="ABL12" s="42"/>
      <c r="ABM12" s="42"/>
      <c r="ABN12" s="42"/>
      <c r="ABO12" s="42"/>
      <c r="ABP12" s="42"/>
      <c r="ABQ12" s="42"/>
      <c r="ABR12" s="42"/>
      <c r="ABS12" s="42"/>
      <c r="ABT12" s="42"/>
      <c r="ABU12" s="42"/>
      <c r="ABV12" s="42"/>
      <c r="ABW12" s="42"/>
      <c r="ABX12" s="42"/>
      <c r="ABY12" s="42"/>
      <c r="ABZ12" s="42"/>
      <c r="ACA12" s="42"/>
      <c r="ACB12" s="42"/>
      <c r="ACC12" s="42"/>
      <c r="ACD12" s="42"/>
      <c r="ACE12" s="42"/>
      <c r="ACF12" s="42"/>
      <c r="ACG12" s="42"/>
      <c r="ACH12" s="42"/>
      <c r="ACI12" s="42"/>
      <c r="ACJ12" s="42"/>
      <c r="ACK12" s="42"/>
      <c r="ACL12" s="42"/>
      <c r="ACM12" s="42"/>
      <c r="ACN12" s="42"/>
      <c r="ACO12" s="42"/>
      <c r="ACP12" s="42"/>
      <c r="ACQ12" s="42"/>
      <c r="ACR12" s="42"/>
      <c r="ACS12" s="42"/>
      <c r="ACT12" s="42"/>
      <c r="ACU12" s="42"/>
      <c r="ACV12" s="42"/>
      <c r="ACW12" s="42"/>
      <c r="ACX12" s="42"/>
      <c r="ACY12" s="42"/>
      <c r="ACZ12" s="42"/>
      <c r="ADA12" s="42"/>
      <c r="ADB12" s="42"/>
      <c r="ADC12" s="42"/>
      <c r="ADD12" s="42"/>
      <c r="ADE12" s="42"/>
      <c r="ADF12" s="42"/>
      <c r="ADG12" s="42"/>
      <c r="ADH12" s="42"/>
      <c r="ADI12" s="42"/>
      <c r="ADJ12" s="42"/>
      <c r="ADK12" s="42"/>
      <c r="ADL12" s="42"/>
      <c r="ADM12" s="42"/>
      <c r="ADN12" s="42"/>
      <c r="ADO12" s="42"/>
      <c r="ADP12" s="42"/>
      <c r="ADQ12" s="42"/>
      <c r="ADR12" s="42"/>
      <c r="ADS12" s="42"/>
      <c r="ADT12" s="42"/>
      <c r="ADU12" s="42"/>
      <c r="ADV12" s="42"/>
      <c r="ADW12" s="42"/>
      <c r="ADX12" s="42"/>
      <c r="ADY12" s="42"/>
      <c r="ADZ12" s="42"/>
      <c r="AEA12" s="42"/>
      <c r="AEB12" s="42"/>
      <c r="AEC12" s="42"/>
      <c r="AED12" s="42"/>
      <c r="AEE12" s="42"/>
      <c r="AEF12" s="42"/>
      <c r="AEG12" s="42"/>
      <c r="AEH12" s="42"/>
      <c r="AEI12" s="42"/>
      <c r="AEJ12" s="42"/>
      <c r="AEK12" s="42"/>
      <c r="AEL12" s="42"/>
      <c r="AEM12" s="42"/>
      <c r="AEN12" s="42"/>
      <c r="AEO12" s="42"/>
      <c r="AEP12" s="42"/>
      <c r="AEQ12" s="42"/>
      <c r="AER12" s="42"/>
      <c r="AES12" s="42"/>
      <c r="AET12" s="42"/>
      <c r="AEU12" s="42"/>
      <c r="AEV12" s="42"/>
      <c r="AEW12" s="42"/>
      <c r="AEX12" s="42"/>
      <c r="AEY12" s="42"/>
      <c r="AEZ12" s="42"/>
      <c r="AFA12" s="42"/>
      <c r="AFB12" s="42"/>
      <c r="AFC12" s="42"/>
      <c r="AFD12" s="42"/>
      <c r="AFE12" s="42"/>
      <c r="AFF12" s="42"/>
      <c r="AFG12" s="42"/>
      <c r="AFH12" s="42"/>
      <c r="AFI12" s="42"/>
      <c r="AFJ12" s="42"/>
      <c r="AFK12" s="42"/>
      <c r="AFL12" s="42"/>
      <c r="AFM12" s="42"/>
      <c r="AFN12" s="42"/>
      <c r="AFO12" s="42"/>
      <c r="AFP12" s="42"/>
      <c r="AFQ12" s="42"/>
      <c r="AFR12" s="42"/>
      <c r="AFS12" s="42"/>
      <c r="AFT12" s="42"/>
      <c r="AFU12" s="42"/>
      <c r="AFV12" s="42"/>
      <c r="AFW12" s="42"/>
      <c r="AFX12" s="42"/>
      <c r="AFY12" s="42"/>
      <c r="AFZ12" s="42"/>
      <c r="AGA12" s="42"/>
      <c r="AGB12" s="42"/>
      <c r="AGC12" s="42"/>
      <c r="AGD12" s="42"/>
      <c r="AGE12" s="42"/>
      <c r="AGF12" s="42"/>
      <c r="AGG12" s="42"/>
      <c r="AGH12" s="42"/>
      <c r="AGI12" s="42"/>
      <c r="AGJ12" s="42"/>
      <c r="AGK12" s="42"/>
      <c r="AGL12" s="42"/>
      <c r="AGM12" s="42"/>
      <c r="AGN12" s="42"/>
      <c r="AGO12" s="42"/>
      <c r="AGP12" s="42"/>
      <c r="AGQ12" s="42"/>
      <c r="AGR12" s="42"/>
      <c r="AGS12" s="42"/>
      <c r="AGT12" s="42"/>
      <c r="AGU12" s="42"/>
      <c r="AGV12" s="42"/>
      <c r="AGW12" s="42"/>
      <c r="AGX12" s="42"/>
      <c r="AGY12" s="42"/>
      <c r="AGZ12" s="42"/>
      <c r="AHA12" s="42"/>
      <c r="AHB12" s="42"/>
      <c r="AHC12" s="42"/>
      <c r="AHD12" s="42"/>
      <c r="AHE12" s="42"/>
      <c r="AHF12" s="42"/>
      <c r="AHG12" s="42"/>
      <c r="AHH12" s="42"/>
      <c r="AHI12" s="42"/>
      <c r="AHJ12" s="42"/>
      <c r="AHK12" s="42"/>
      <c r="AHL12" s="42"/>
      <c r="AHM12" s="42"/>
      <c r="AHN12" s="42"/>
      <c r="AHO12" s="42"/>
      <c r="AHP12" s="42"/>
      <c r="AHQ12" s="42"/>
      <c r="AHR12" s="42"/>
      <c r="AHS12" s="42"/>
      <c r="AHT12" s="42"/>
      <c r="AHU12" s="42"/>
      <c r="AHV12" s="42"/>
      <c r="AHW12" s="42"/>
      <c r="AHX12" s="42"/>
      <c r="AHY12" s="42"/>
      <c r="AHZ12" s="42"/>
      <c r="AIA12" s="42"/>
      <c r="AIB12" s="42"/>
      <c r="AIC12" s="42"/>
      <c r="AID12" s="42"/>
      <c r="AIE12" s="42"/>
      <c r="AIF12" s="42"/>
      <c r="AIG12" s="42"/>
      <c r="AIH12" s="42"/>
      <c r="AII12" s="42"/>
      <c r="AIJ12" s="42"/>
      <c r="AIK12" s="42"/>
      <c r="AIL12" s="42"/>
      <c r="AIM12" s="42"/>
      <c r="AIN12" s="42"/>
      <c r="AIO12" s="42"/>
      <c r="AIP12" s="42"/>
      <c r="AIQ12" s="42"/>
      <c r="AIR12" s="42"/>
      <c r="AIS12" s="42"/>
      <c r="AIT12" s="42"/>
      <c r="AIU12" s="42"/>
      <c r="AIV12" s="42"/>
      <c r="AIW12" s="42"/>
      <c r="AIX12" s="42"/>
      <c r="AIY12" s="42"/>
      <c r="AIZ12" s="42"/>
      <c r="AJA12" s="42"/>
      <c r="AJB12" s="42"/>
      <c r="AJC12" s="42"/>
      <c r="AJD12" s="42"/>
      <c r="AJE12" s="42"/>
      <c r="AJF12" s="42"/>
      <c r="AJG12" s="42"/>
      <c r="AJH12" s="42"/>
      <c r="AJI12" s="42"/>
      <c r="AJJ12" s="42"/>
      <c r="AJK12" s="42"/>
      <c r="AJL12" s="42"/>
      <c r="AJM12" s="42"/>
      <c r="AJN12" s="42"/>
      <c r="AJO12" s="42"/>
      <c r="AJP12" s="42"/>
      <c r="AJQ12" s="42"/>
      <c r="AJR12" s="42"/>
      <c r="AJS12" s="42"/>
      <c r="AJT12" s="42"/>
      <c r="AJU12" s="42"/>
      <c r="AJV12" s="42"/>
      <c r="AJW12" s="42"/>
      <c r="AJX12" s="42"/>
      <c r="AJY12" s="42"/>
      <c r="AJZ12" s="42"/>
      <c r="AKA12" s="42"/>
      <c r="AKB12" s="42"/>
      <c r="AKC12" s="42"/>
      <c r="AKD12" s="42"/>
      <c r="AKE12" s="42"/>
      <c r="AKF12" s="42"/>
      <c r="AKG12" s="42"/>
      <c r="AKH12" s="42"/>
      <c r="AKI12" s="42"/>
      <c r="AKJ12" s="42"/>
      <c r="AKK12" s="42"/>
      <c r="AKL12" s="42"/>
      <c r="AKM12" s="42"/>
      <c r="AKN12" s="42"/>
      <c r="AKO12" s="42"/>
      <c r="AKP12" s="42"/>
      <c r="AKQ12" s="42"/>
      <c r="AKR12" s="42"/>
      <c r="AKS12" s="42"/>
      <c r="AKT12" s="42"/>
      <c r="AKU12" s="42"/>
      <c r="AKV12" s="42"/>
      <c r="AKW12" s="42"/>
      <c r="AKX12" s="42"/>
      <c r="AKY12" s="42"/>
      <c r="AKZ12" s="42"/>
      <c r="ALA12" s="42"/>
      <c r="ALB12" s="42"/>
      <c r="ALC12" s="42"/>
      <c r="ALD12" s="42"/>
      <c r="ALE12" s="42"/>
      <c r="ALF12" s="42"/>
      <c r="ALG12" s="42"/>
      <c r="ALH12" s="42"/>
      <c r="ALI12" s="42"/>
      <c r="ALJ12" s="42"/>
      <c r="ALK12" s="42"/>
      <c r="ALL12" s="42"/>
      <c r="ALM12" s="42"/>
      <c r="ALN12" s="42"/>
      <c r="ALO12" s="42"/>
      <c r="ALP12" s="42"/>
      <c r="ALQ12" s="42"/>
      <c r="ALR12" s="42"/>
      <c r="ALS12" s="42"/>
      <c r="ALT12" s="42"/>
      <c r="ALU12" s="42"/>
      <c r="ALV12" s="42"/>
      <c r="ALW12" s="42"/>
      <c r="ALX12" s="42"/>
      <c r="ALY12" s="42"/>
      <c r="ALZ12" s="42"/>
      <c r="AMA12" s="42"/>
      <c r="AMB12" s="42"/>
      <c r="AMC12" s="42"/>
      <c r="AMD12" s="42"/>
      <c r="AME12" s="42"/>
      <c r="AMF12" s="42"/>
      <c r="AMG12" s="42"/>
      <c r="AMH12" s="42"/>
      <c r="AMI12" s="42"/>
      <c r="AMJ12" s="42"/>
      <c r="AMK12" s="42"/>
      <c r="AML12" s="42"/>
      <c r="AMM12" s="42"/>
      <c r="AMN12" s="42"/>
      <c r="AMO12" s="42"/>
      <c r="AMP12" s="42"/>
      <c r="AMQ12" s="42"/>
      <c r="AMR12" s="42"/>
      <c r="AMS12" s="42"/>
      <c r="AMT12" s="42"/>
      <c r="AMU12" s="42"/>
      <c r="AMV12" s="42"/>
      <c r="AMW12" s="42"/>
      <c r="AMX12" s="42"/>
      <c r="AMY12" s="42"/>
      <c r="AMZ12" s="42"/>
      <c r="ANA12" s="42"/>
      <c r="ANB12" s="42"/>
      <c r="ANC12" s="42"/>
      <c r="AND12" s="42"/>
      <c r="ANE12" s="42"/>
      <c r="ANF12" s="42"/>
      <c r="ANG12" s="42"/>
      <c r="ANH12" s="42"/>
      <c r="ANI12" s="42"/>
      <c r="ANJ12" s="42"/>
      <c r="ANK12" s="42"/>
      <c r="ANL12" s="42"/>
      <c r="ANM12" s="42"/>
      <c r="ANN12" s="42"/>
      <c r="ANO12" s="42"/>
      <c r="ANP12" s="42"/>
      <c r="ANQ12" s="42"/>
      <c r="ANR12" s="42"/>
      <c r="ANS12" s="42"/>
      <c r="ANT12" s="42"/>
      <c r="ANU12" s="42"/>
      <c r="ANV12" s="42"/>
      <c r="ANW12" s="42"/>
      <c r="ANX12" s="42"/>
      <c r="ANY12" s="42"/>
      <c r="ANZ12" s="42"/>
      <c r="AOA12" s="42"/>
      <c r="AOB12" s="42"/>
      <c r="AOC12" s="42"/>
      <c r="AOD12" s="42"/>
      <c r="AOE12" s="42"/>
      <c r="AOF12" s="42"/>
      <c r="AOG12" s="42"/>
      <c r="AOH12" s="42"/>
      <c r="AOI12" s="42"/>
      <c r="AOJ12" s="42"/>
      <c r="AOK12" s="42"/>
      <c r="AOL12" s="42"/>
      <c r="AOM12" s="42"/>
      <c r="AON12" s="42"/>
      <c r="AOO12" s="42"/>
      <c r="AOP12" s="42"/>
      <c r="AOQ12" s="42"/>
      <c r="AOR12" s="42"/>
      <c r="AOS12" s="42"/>
      <c r="AOT12" s="42"/>
      <c r="AOU12" s="42"/>
      <c r="AOV12" s="42"/>
      <c r="AOW12" s="42"/>
      <c r="AOX12" s="42"/>
      <c r="AOY12" s="42"/>
      <c r="AOZ12" s="42"/>
      <c r="APA12" s="42"/>
      <c r="APB12" s="42"/>
      <c r="APC12" s="42"/>
      <c r="APD12" s="42"/>
      <c r="APE12" s="42"/>
      <c r="APF12" s="42"/>
      <c r="APG12" s="42"/>
      <c r="APH12" s="42"/>
      <c r="API12" s="42"/>
      <c r="APJ12" s="42"/>
      <c r="APK12" s="42"/>
      <c r="APL12" s="42"/>
      <c r="APM12" s="42"/>
      <c r="APN12" s="42"/>
      <c r="APO12" s="42"/>
      <c r="APP12" s="42"/>
      <c r="APQ12" s="42"/>
      <c r="APR12" s="42"/>
      <c r="APS12" s="42"/>
      <c r="APT12" s="42"/>
      <c r="APU12" s="42"/>
      <c r="APV12" s="42"/>
      <c r="APW12" s="42"/>
      <c r="APX12" s="42"/>
      <c r="APY12" s="42"/>
      <c r="APZ12" s="42"/>
      <c r="AQA12" s="42"/>
      <c r="AQB12" s="42"/>
      <c r="AQC12" s="42"/>
      <c r="AQD12" s="42"/>
      <c r="AQE12" s="42"/>
      <c r="AQF12" s="42"/>
      <c r="AQG12" s="42"/>
      <c r="AQH12" s="42"/>
      <c r="AQI12" s="42"/>
      <c r="AQJ12" s="42"/>
      <c r="AQK12" s="42"/>
      <c r="AQL12" s="42"/>
      <c r="AQM12" s="42"/>
      <c r="AQN12" s="42"/>
      <c r="AQO12" s="42"/>
      <c r="AQP12" s="42"/>
      <c r="AQQ12" s="42"/>
      <c r="AQR12" s="42"/>
      <c r="AQS12" s="42"/>
      <c r="AQT12" s="42"/>
      <c r="AQU12" s="42"/>
      <c r="AQV12" s="42"/>
      <c r="AQW12" s="42"/>
      <c r="AQX12" s="42"/>
      <c r="AQY12" s="42"/>
      <c r="AQZ12" s="42"/>
      <c r="ARA12" s="42"/>
      <c r="ARB12" s="42"/>
      <c r="ARC12" s="42"/>
      <c r="ARD12" s="42"/>
      <c r="ARE12" s="42"/>
      <c r="ARF12" s="42"/>
      <c r="ARG12" s="42"/>
      <c r="ARH12" s="42"/>
      <c r="ARI12" s="42"/>
      <c r="ARJ12" s="42"/>
      <c r="ARK12" s="42"/>
      <c r="ARL12" s="42"/>
      <c r="ARM12" s="42"/>
      <c r="ARN12" s="42"/>
      <c r="ARO12" s="42"/>
      <c r="ARP12" s="42"/>
      <c r="ARQ12" s="42"/>
      <c r="ARR12" s="42"/>
      <c r="ARS12" s="42"/>
      <c r="ART12" s="42"/>
      <c r="ARU12" s="42"/>
      <c r="ARV12" s="42"/>
      <c r="ARW12" s="42"/>
      <c r="ARX12" s="42"/>
      <c r="ARY12" s="42"/>
      <c r="ARZ12" s="42"/>
      <c r="ASA12" s="42"/>
      <c r="ASB12" s="42"/>
      <c r="ASC12" s="42"/>
      <c r="ASD12" s="42"/>
      <c r="ASE12" s="42"/>
      <c r="ASF12" s="42"/>
      <c r="ASG12" s="42"/>
      <c r="ASH12" s="42"/>
      <c r="ASI12" s="42"/>
      <c r="ASJ12" s="42"/>
      <c r="ASK12" s="42"/>
      <c r="ASL12" s="42"/>
      <c r="ASM12" s="42"/>
      <c r="ASN12" s="42"/>
      <c r="ASO12" s="42"/>
      <c r="ASP12" s="42"/>
      <c r="ASQ12" s="42"/>
      <c r="ASR12" s="42"/>
      <c r="ASS12" s="42"/>
      <c r="AST12" s="42"/>
      <c r="ASU12" s="42"/>
      <c r="ASV12" s="42"/>
      <c r="ASW12" s="42"/>
      <c r="ASX12" s="42"/>
      <c r="ASY12" s="42"/>
      <c r="ASZ12" s="42"/>
      <c r="ATA12" s="42"/>
      <c r="ATB12" s="42"/>
      <c r="ATC12" s="42"/>
      <c r="ATD12" s="42"/>
      <c r="ATE12" s="42"/>
      <c r="ATF12" s="42"/>
      <c r="ATG12" s="42"/>
      <c r="ATH12" s="42"/>
      <c r="ATI12" s="42"/>
      <c r="ATJ12" s="42"/>
      <c r="ATK12" s="42"/>
      <c r="ATL12" s="42"/>
      <c r="ATM12" s="42"/>
      <c r="ATN12" s="42"/>
      <c r="ATO12" s="42"/>
      <c r="ATP12" s="42"/>
      <c r="ATQ12" s="42"/>
      <c r="ATR12" s="42"/>
      <c r="ATS12" s="42"/>
      <c r="ATT12" s="42"/>
      <c r="ATU12" s="42"/>
      <c r="ATV12" s="42"/>
      <c r="ATW12" s="42"/>
      <c r="ATX12" s="42"/>
      <c r="ATY12" s="42"/>
      <c r="ATZ12" s="42"/>
      <c r="AUA12" s="42"/>
      <c r="AUB12" s="42"/>
      <c r="AUC12" s="42"/>
      <c r="AUD12" s="42"/>
      <c r="AUE12" s="42"/>
      <c r="AUF12" s="42"/>
      <c r="AUG12" s="42"/>
      <c r="AUH12" s="42"/>
      <c r="AUI12" s="42"/>
      <c r="AUJ12" s="42"/>
      <c r="AUK12" s="42"/>
      <c r="AUL12" s="42"/>
      <c r="AUM12" s="42"/>
      <c r="AUN12" s="42"/>
      <c r="AUO12" s="42"/>
      <c r="AUP12" s="42"/>
      <c r="AUQ12" s="42"/>
      <c r="AUR12" s="42"/>
      <c r="AUS12" s="42"/>
      <c r="AUT12" s="42"/>
      <c r="AUU12" s="42"/>
      <c r="AUV12" s="42"/>
      <c r="AUW12" s="42"/>
      <c r="AUX12" s="42"/>
      <c r="AUY12" s="42"/>
      <c r="AUZ12" s="42"/>
      <c r="AVA12" s="42"/>
      <c r="AVB12" s="42"/>
      <c r="AVC12" s="42"/>
      <c r="AVD12" s="42"/>
      <c r="AVE12" s="42"/>
      <c r="AVF12" s="42"/>
      <c r="AVG12" s="42"/>
      <c r="AVH12" s="42"/>
      <c r="AVI12" s="42"/>
      <c r="AVJ12" s="42"/>
      <c r="AVK12" s="42"/>
      <c r="AVL12" s="42"/>
      <c r="AVM12" s="42"/>
      <c r="AVN12" s="42"/>
      <c r="AVO12" s="42"/>
      <c r="AVP12" s="42"/>
      <c r="AVQ12" s="42"/>
      <c r="AVR12" s="42"/>
      <c r="AVS12" s="42"/>
      <c r="AVT12" s="42"/>
      <c r="AVU12" s="42"/>
      <c r="AVV12" s="42"/>
      <c r="AVW12" s="42"/>
      <c r="AVX12" s="42"/>
      <c r="AVY12" s="42"/>
      <c r="AVZ12" s="42"/>
      <c r="AWA12" s="42"/>
      <c r="AWB12" s="42"/>
      <c r="AWC12" s="42"/>
      <c r="AWD12" s="42"/>
      <c r="AWE12" s="42"/>
      <c r="AWF12" s="42"/>
      <c r="AWG12" s="42"/>
      <c r="AWH12" s="42"/>
      <c r="AWI12" s="42"/>
      <c r="AWJ12" s="42"/>
      <c r="AWK12" s="42"/>
      <c r="AWL12" s="42"/>
      <c r="AWM12" s="42"/>
      <c r="AWN12" s="42"/>
      <c r="AWO12" s="42"/>
      <c r="AWP12" s="42"/>
      <c r="AWQ12" s="42"/>
      <c r="AWR12" s="42"/>
      <c r="AWS12" s="42"/>
      <c r="AWT12" s="42"/>
      <c r="AWU12" s="42"/>
      <c r="AWV12" s="42"/>
      <c r="AWW12" s="42"/>
      <c r="AWX12" s="42"/>
      <c r="AWY12" s="42"/>
      <c r="AWZ12" s="42"/>
      <c r="AXA12" s="42"/>
      <c r="AXB12" s="42"/>
      <c r="AXC12" s="42"/>
      <c r="AXD12" s="42"/>
      <c r="AXE12" s="42"/>
      <c r="AXF12" s="42"/>
      <c r="AXG12" s="42"/>
      <c r="AXH12" s="42"/>
      <c r="AXI12" s="42"/>
      <c r="AXJ12" s="42"/>
      <c r="AXK12" s="42"/>
      <c r="AXL12" s="42"/>
      <c r="AXM12" s="42"/>
      <c r="AXN12" s="42"/>
      <c r="AXO12" s="42"/>
      <c r="AXP12" s="42"/>
      <c r="AXQ12" s="42"/>
      <c r="AXR12" s="42"/>
      <c r="AXS12" s="42"/>
      <c r="AXT12" s="42"/>
      <c r="AXU12" s="42"/>
      <c r="AXV12" s="42"/>
      <c r="AXW12" s="42"/>
      <c r="AXX12" s="42"/>
      <c r="AXY12" s="42"/>
      <c r="AXZ12" s="42"/>
      <c r="AYA12" s="42"/>
      <c r="AYB12" s="42"/>
      <c r="AYC12" s="42"/>
      <c r="AYD12" s="42"/>
      <c r="AYE12" s="42"/>
      <c r="AYF12" s="42"/>
      <c r="AYG12" s="42"/>
      <c r="AYH12" s="42"/>
      <c r="AYI12" s="42"/>
      <c r="AYJ12" s="42"/>
      <c r="AYK12" s="42"/>
      <c r="AYL12" s="42"/>
      <c r="AYM12" s="42"/>
      <c r="AYN12" s="42"/>
      <c r="AYO12" s="42"/>
      <c r="AYP12" s="42"/>
      <c r="AYQ12" s="42"/>
      <c r="AYR12" s="42"/>
      <c r="AYS12" s="42"/>
      <c r="AYT12" s="42"/>
      <c r="AYU12" s="42"/>
      <c r="AYV12" s="42"/>
      <c r="AYW12" s="42"/>
      <c r="AYX12" s="42"/>
      <c r="AYY12" s="42"/>
      <c r="AYZ12" s="42"/>
      <c r="AZA12" s="42"/>
      <c r="AZB12" s="42"/>
      <c r="AZC12" s="42"/>
      <c r="AZD12" s="42"/>
      <c r="AZE12" s="42"/>
      <c r="AZF12" s="42"/>
      <c r="AZG12" s="42"/>
      <c r="AZH12" s="42"/>
      <c r="AZI12" s="42"/>
      <c r="AZJ12" s="42"/>
      <c r="AZK12" s="42"/>
      <c r="AZL12" s="42"/>
      <c r="AZM12" s="42"/>
      <c r="AZN12" s="42"/>
      <c r="AZO12" s="42"/>
      <c r="AZP12" s="42"/>
      <c r="AZQ12" s="42"/>
      <c r="AZR12" s="42"/>
      <c r="AZS12" s="42"/>
      <c r="AZT12" s="42"/>
      <c r="AZU12" s="42"/>
      <c r="AZV12" s="42"/>
      <c r="AZW12" s="42"/>
      <c r="AZX12" s="42"/>
      <c r="AZY12" s="42"/>
      <c r="AZZ12" s="42"/>
      <c r="BAA12" s="42"/>
      <c r="BAB12" s="42"/>
      <c r="BAC12" s="42"/>
      <c r="BAD12" s="42"/>
      <c r="BAE12" s="42"/>
      <c r="BAF12" s="42"/>
      <c r="BAG12" s="42"/>
      <c r="BAH12" s="42"/>
      <c r="BAI12" s="42"/>
      <c r="BAJ12" s="42"/>
      <c r="BAK12" s="42"/>
      <c r="BAL12" s="42"/>
      <c r="BAM12" s="42"/>
      <c r="BAN12" s="42"/>
      <c r="BAO12" s="42"/>
      <c r="BAP12" s="42"/>
      <c r="BAQ12" s="42"/>
      <c r="BAR12" s="42"/>
      <c r="BAS12" s="42"/>
      <c r="BAT12" s="42"/>
      <c r="BAU12" s="42"/>
      <c r="BAV12" s="42"/>
      <c r="BAW12" s="42"/>
      <c r="BAX12" s="42"/>
      <c r="BAY12" s="42"/>
      <c r="BAZ12" s="42"/>
      <c r="BBA12" s="42"/>
      <c r="BBB12" s="42"/>
      <c r="BBC12" s="42"/>
      <c r="BBD12" s="42"/>
      <c r="BBE12" s="42"/>
      <c r="BBF12" s="42"/>
      <c r="BBG12" s="42"/>
      <c r="BBH12" s="42"/>
      <c r="BBI12" s="42"/>
      <c r="BBJ12" s="42"/>
      <c r="BBK12" s="42"/>
      <c r="BBL12" s="42"/>
      <c r="BBM12" s="42"/>
      <c r="BBN12" s="42"/>
      <c r="BBO12" s="42"/>
      <c r="BBP12" s="42"/>
      <c r="BBQ12" s="42"/>
      <c r="BBR12" s="42"/>
      <c r="BBS12" s="42"/>
      <c r="BBT12" s="42"/>
      <c r="BBU12" s="42"/>
      <c r="BBV12" s="42"/>
      <c r="BBW12" s="42"/>
      <c r="BBX12" s="42"/>
      <c r="BBY12" s="42"/>
      <c r="BBZ12" s="42"/>
      <c r="BCA12" s="42"/>
      <c r="BCB12" s="42"/>
      <c r="BCC12" s="42"/>
      <c r="BCD12" s="42"/>
      <c r="BCE12" s="42"/>
      <c r="BCF12" s="42"/>
      <c r="BCG12" s="42"/>
      <c r="BCH12" s="42"/>
      <c r="BCI12" s="42"/>
      <c r="BCJ12" s="42"/>
      <c r="BCK12" s="42"/>
      <c r="BCL12" s="42"/>
      <c r="BCM12" s="42"/>
      <c r="BCN12" s="42"/>
      <c r="BCO12" s="42"/>
      <c r="BCP12" s="42"/>
      <c r="BCQ12" s="42"/>
      <c r="BCR12" s="42"/>
      <c r="BCS12" s="42"/>
      <c r="BCT12" s="42"/>
      <c r="BCU12" s="42"/>
      <c r="BCV12" s="42"/>
      <c r="BCW12" s="42"/>
      <c r="BCX12" s="42"/>
    </row>
    <row r="13" spans="1:1454" s="49" customFormat="1" x14ac:dyDescent="0.25">
      <c r="A13" s="80">
        <v>2</v>
      </c>
      <c r="B13" s="76" t="str">
        <f>线路!B10</f>
        <v>IP7</v>
      </c>
      <c r="C13" s="81">
        <f>线路!E10</f>
        <v>451185.67940000002</v>
      </c>
      <c r="D13" s="81">
        <f>线路!F10</f>
        <v>3047764.0562999998</v>
      </c>
      <c r="E13" s="85">
        <f>线路!G10</f>
        <v>13</v>
      </c>
      <c r="F13" s="85">
        <f>线路!H10</f>
        <v>53.83</v>
      </c>
      <c r="G13" s="86">
        <f>线路!L10</f>
        <v>520.45353928102713</v>
      </c>
      <c r="H13" s="86">
        <f>线路!M10</f>
        <v>526.56035906729267</v>
      </c>
      <c r="I13" s="86">
        <f>线路!N10</f>
        <v>532.6671788535582</v>
      </c>
      <c r="J13" s="83">
        <f t="shared" si="0"/>
        <v>12.213639572531065</v>
      </c>
      <c r="K13" s="83">
        <f t="shared" si="13"/>
        <v>151.3234328180705</v>
      </c>
      <c r="L13" s="83">
        <f>IF(A13=1,断面设计!$D$7,IF(A13=2,断面设计!$D$8,IF(A13=3,断面设计!$D$9,IF(A13=4,断面设计!$D$10,IF(A13=5,断面设计!$D$11,IF(A13=6,断面设计!$D$12,IF(A13=7,断面设计!$D$13,IF(A13=8,断面设计!$D$14,IF(A13=9,断面设计!$D$15,IF(A13=10,断面设计!$D$16))))))))))</f>
        <v>1.5</v>
      </c>
      <c r="M13" s="83">
        <f t="shared" si="14"/>
        <v>1.2</v>
      </c>
      <c r="N13" s="110">
        <f t="shared" si="1"/>
        <v>1.4999999999999999E-2</v>
      </c>
      <c r="O13" s="83">
        <f>IF(A13=1,断面设计!$J$7,IF(A13=2,断面设计!$J$8,IF(A13=3,断面设计!$J$9,IF(A13=4,断面设计!$J$10,IF(A13=5,断面设计!$J$11,IF(A13=6,断面设计!$J$12,IF(A13=7,断面设计!$J$13,IF(A13=8,断面设计!$J$14,IF(A13=9,断面设计!$J$15,IF(A13=10,断面设计!$J$16))))))))))</f>
        <v>5000</v>
      </c>
      <c r="P13" s="111">
        <f>IF(A13=1,断面设计!$K$7,IF(A13=2,断面设计!$K$8,IF(A13=3,断面设计!$K$9,IF(A13=4,断面设计!$K$10,IF(A13=5,断面设计!$K$11,IF(A13=6,断面设计!$K$12,IF(A13=7,断面设计!$K$13,IF(A13=8,断面设计!$K$14,IF(A13=9,断面设计!$K$15,IF(A13=10,断面设计!$K$16))))))))))</f>
        <v>4.4993914540329225</v>
      </c>
      <c r="Q13" s="110">
        <f>IF(A13=1,断面设计!$C$7,IF(A13=2,断面设计!$C$8,IF(A13=3,断面设计!$C$9,IF(A13=4,断面设计!$C$10,IF(A13=5,断面设计!$C$11,IF(A13=6,断面设计!$C$12,IF(A13=7,断面设计!$C$13,IF(A13=8,断面设计!$C$14,IF(A13=9,断面设计!$C$15,IF(A13=10,断面设计!$C$16))))))))))</f>
        <v>1.58308906639964</v>
      </c>
      <c r="R13" s="83">
        <f>IF(A13=1,断面设计!$F$7,IF(A13=2,断面设计!$F$8,IF(A13=3,断面设计!$F$9,IF(A13=4,断面设计!$F$10,IF(A13=5,断面设计!$F$11,IF(A13=6,断面设计!$F$12,IF(A13=7,断面设计!$F$13,IF(A13=8,断面设计!$F$14,IF(A13=9,断面设计!$F$15,IF(A13=10,断面设计!$F$16))))))))))</f>
        <v>5.3820387901843603</v>
      </c>
      <c r="S13" s="83">
        <f>IF(A13=1,断面设计!$G$7,IF(A13=2,断面设计!$G$8,IF(A13=3,断面设计!$G$9,IF(A13=4,断面设计!$G$10,IF(A13=5,断面设计!$G$11,IF(A13=6,断面设计!$G$12,IF(A13=7,断面设计!$G$13,IF(A13=8,断面设计!$G$14,IF(A13=9,断面设计!$G$15,IF(A13=10,断面设计!$G$16))))))))))</f>
        <v>6.445728347111662</v>
      </c>
      <c r="T13" s="83">
        <f t="shared" si="15"/>
        <v>0.83497760072312976</v>
      </c>
      <c r="U13" s="83">
        <f t="shared" si="16"/>
        <v>0.8360013053489711</v>
      </c>
      <c r="V13" s="123">
        <f t="shared" si="17"/>
        <v>1.2893829333415487E-3</v>
      </c>
      <c r="W13" s="110"/>
      <c r="X13" s="110">
        <f>IF(AN13=0,IF(AN12=2,(H13-H12-AE12)/O13,(H13-H12)/O13),IF(AN13=1,IF(AN12=2,IF(AE13&lt;9,(H13-H12-AE13-AE12)/断面设计!$J$7,(H13-H12-AE13-AE12)/断面设计!$J$7),(H13-H12-AE13)/O12),(H13-H12)/O13))</f>
        <v>3.0264686563614099E-2</v>
      </c>
      <c r="Y13" s="133">
        <v>0</v>
      </c>
      <c r="Z13" s="134">
        <f t="shared" si="26"/>
        <v>0</v>
      </c>
      <c r="AA13" s="83"/>
      <c r="AB13" s="133">
        <f t="shared" si="4"/>
        <v>1.58308906639964</v>
      </c>
      <c r="AC13" s="110">
        <f t="shared" si="5"/>
        <v>3.1554069496955647E-2</v>
      </c>
      <c r="AD13" s="110">
        <f t="shared" si="18"/>
        <v>2392.1575889378046</v>
      </c>
      <c r="AE13" s="82">
        <f t="shared" si="19"/>
        <v>0</v>
      </c>
      <c r="AF13" s="110" t="str">
        <f t="shared" si="6"/>
        <v xml:space="preserve"> </v>
      </c>
      <c r="AG13" s="110" t="str">
        <f>IF(AE13=0," ",AF13-断面设计!$C$7)</f>
        <v xml:space="preserve"> </v>
      </c>
      <c r="AH13" s="110">
        <f t="shared" si="7"/>
        <v>2392.1600996846951</v>
      </c>
      <c r="AI13" s="110">
        <f t="shared" si="8"/>
        <v>2390.5770106182954</v>
      </c>
      <c r="AJ13" s="110">
        <f t="shared" si="9"/>
        <v>2392.1563675738475</v>
      </c>
      <c r="AK13" s="110">
        <f t="shared" si="10"/>
        <v>2390.5732785074479</v>
      </c>
      <c r="AL13" s="110">
        <f t="shared" si="11"/>
        <v>2392.1582336292713</v>
      </c>
      <c r="AM13" s="110">
        <f t="shared" si="12"/>
        <v>2390.5751445628716</v>
      </c>
      <c r="AN13" s="80"/>
      <c r="AO13" s="80">
        <v>0</v>
      </c>
      <c r="AP13" s="161"/>
      <c r="AQ13" s="42"/>
      <c r="AR13" s="42"/>
      <c r="AS13" s="42"/>
      <c r="AT13" s="42"/>
      <c r="AU13" s="64" t="str">
        <f t="shared" si="20"/>
        <v>526.560359067293,2390.57514456287</v>
      </c>
      <c r="AV13" s="64" t="str">
        <f t="shared" si="21"/>
        <v>526.560359067293,2392.15823362927</v>
      </c>
      <c r="AW13" s="169" t="str">
        <f t="shared" si="22"/>
        <v xml:space="preserve">pl 526.560359067293,0 526.560359067293,76 </v>
      </c>
      <c r="AX13" s="161" t="str">
        <f t="shared" si="23"/>
        <v>-text 526.560359067293,48 3.5 90 2390.575</v>
      </c>
      <c r="AY13" s="161" t="str">
        <f t="shared" si="24"/>
        <v>-text 526.560359067293,62.5 3.5 90 2392.158</v>
      </c>
      <c r="AZ13" s="42" t="str">
        <f t="shared" si="25"/>
        <v>-text 526.560359067293,23.5 3.5 90 马分0+526.56</v>
      </c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  <c r="FI13" s="42"/>
      <c r="FJ13" s="42"/>
      <c r="FK13" s="42"/>
      <c r="FL13" s="42"/>
      <c r="FM13" s="42"/>
      <c r="FN13" s="42"/>
      <c r="FO13" s="42"/>
      <c r="FP13" s="42"/>
      <c r="FQ13" s="42"/>
      <c r="FR13" s="42"/>
      <c r="FS13" s="42"/>
      <c r="FT13" s="42"/>
      <c r="FU13" s="42"/>
      <c r="FV13" s="42"/>
      <c r="FW13" s="42"/>
      <c r="FX13" s="42"/>
      <c r="FY13" s="42"/>
      <c r="FZ13" s="42"/>
      <c r="GA13" s="42"/>
      <c r="GB13" s="42"/>
      <c r="GC13" s="42"/>
      <c r="GD13" s="42"/>
      <c r="GE13" s="42"/>
      <c r="GF13" s="42"/>
      <c r="GG13" s="42"/>
      <c r="GH13" s="42"/>
      <c r="GI13" s="42"/>
      <c r="GJ13" s="42"/>
      <c r="GK13" s="42"/>
      <c r="GL13" s="42"/>
      <c r="GM13" s="42"/>
      <c r="GN13" s="42"/>
      <c r="GO13" s="42"/>
      <c r="GP13" s="42"/>
      <c r="GQ13" s="42"/>
      <c r="GR13" s="42"/>
      <c r="GS13" s="42"/>
      <c r="GT13" s="42"/>
      <c r="GU13" s="42"/>
      <c r="GV13" s="42"/>
      <c r="GW13" s="42"/>
      <c r="GX13" s="42"/>
      <c r="GY13" s="42"/>
      <c r="GZ13" s="42"/>
      <c r="HA13" s="42"/>
      <c r="HB13" s="42"/>
      <c r="HC13" s="42"/>
      <c r="HD13" s="42"/>
      <c r="HE13" s="42"/>
      <c r="HF13" s="42"/>
      <c r="HG13" s="42"/>
      <c r="HH13" s="42"/>
      <c r="HI13" s="42"/>
      <c r="HJ13" s="42"/>
      <c r="HK13" s="42"/>
      <c r="HL13" s="42"/>
      <c r="HM13" s="42"/>
      <c r="HN13" s="42"/>
      <c r="HO13" s="42"/>
      <c r="HP13" s="42"/>
      <c r="HQ13" s="42"/>
      <c r="HR13" s="42"/>
      <c r="HS13" s="42"/>
      <c r="HT13" s="42"/>
      <c r="HU13" s="42"/>
      <c r="HV13" s="42"/>
      <c r="HW13" s="42"/>
      <c r="HX13" s="42"/>
      <c r="HY13" s="42"/>
      <c r="HZ13" s="42"/>
      <c r="IA13" s="42"/>
      <c r="IB13" s="42"/>
      <c r="IC13" s="42"/>
      <c r="ID13" s="42"/>
      <c r="IE13" s="42"/>
      <c r="IF13" s="42"/>
      <c r="IG13" s="42"/>
      <c r="IH13" s="42"/>
      <c r="II13" s="42"/>
      <c r="IJ13" s="42"/>
      <c r="IK13" s="42"/>
      <c r="IL13" s="42"/>
      <c r="IM13" s="42"/>
      <c r="IN13" s="42"/>
      <c r="IO13" s="42"/>
      <c r="IP13" s="42"/>
      <c r="IQ13" s="42"/>
      <c r="IR13" s="42"/>
      <c r="IS13" s="42"/>
      <c r="IT13" s="42"/>
      <c r="IU13" s="42"/>
      <c r="IV13" s="42"/>
      <c r="IW13" s="42"/>
      <c r="IX13" s="42"/>
      <c r="IY13" s="42"/>
      <c r="IZ13" s="42"/>
      <c r="JA13" s="42"/>
      <c r="JB13" s="42"/>
      <c r="JC13" s="42"/>
      <c r="JD13" s="42"/>
      <c r="JE13" s="42"/>
      <c r="JF13" s="42"/>
      <c r="JG13" s="42"/>
      <c r="JH13" s="42"/>
      <c r="JI13" s="42"/>
      <c r="JJ13" s="42"/>
      <c r="JK13" s="42"/>
      <c r="JL13" s="42"/>
      <c r="JM13" s="42"/>
      <c r="JN13" s="42"/>
      <c r="JO13" s="42"/>
      <c r="JP13" s="42"/>
      <c r="JQ13" s="42"/>
      <c r="JR13" s="42"/>
      <c r="JS13" s="42"/>
      <c r="JT13" s="42"/>
      <c r="JU13" s="42"/>
      <c r="JV13" s="42"/>
      <c r="JW13" s="42"/>
      <c r="JX13" s="42"/>
      <c r="JY13" s="42"/>
      <c r="JZ13" s="42"/>
      <c r="KA13" s="42"/>
      <c r="KB13" s="42"/>
      <c r="KC13" s="42"/>
      <c r="KD13" s="42"/>
      <c r="KE13" s="42"/>
      <c r="KF13" s="42"/>
      <c r="KG13" s="42"/>
      <c r="KH13" s="42"/>
      <c r="KI13" s="42"/>
      <c r="KJ13" s="42"/>
      <c r="KK13" s="42"/>
      <c r="KL13" s="42"/>
      <c r="KM13" s="42"/>
      <c r="KN13" s="42"/>
      <c r="KO13" s="42"/>
      <c r="KP13" s="42"/>
      <c r="KQ13" s="42"/>
      <c r="KR13" s="42"/>
      <c r="KS13" s="42"/>
      <c r="KT13" s="42"/>
      <c r="KU13" s="42"/>
      <c r="KV13" s="42"/>
      <c r="KW13" s="42"/>
      <c r="KX13" s="42"/>
      <c r="KY13" s="42"/>
      <c r="KZ13" s="42"/>
      <c r="LA13" s="42"/>
      <c r="LB13" s="42"/>
      <c r="LC13" s="42"/>
      <c r="LD13" s="42"/>
      <c r="LE13" s="42"/>
      <c r="LF13" s="42"/>
      <c r="LG13" s="42"/>
      <c r="LH13" s="42"/>
      <c r="LI13" s="42"/>
      <c r="LJ13" s="42"/>
      <c r="LK13" s="42"/>
      <c r="LL13" s="42"/>
      <c r="LM13" s="42"/>
      <c r="LN13" s="42"/>
      <c r="LO13" s="42"/>
      <c r="LP13" s="42"/>
      <c r="LQ13" s="42"/>
      <c r="LR13" s="42"/>
      <c r="LS13" s="42"/>
      <c r="LT13" s="42"/>
      <c r="LU13" s="42"/>
      <c r="LV13" s="42"/>
      <c r="LW13" s="42"/>
      <c r="LX13" s="42"/>
      <c r="LY13" s="42"/>
      <c r="LZ13" s="42"/>
      <c r="MA13" s="42"/>
      <c r="MB13" s="42"/>
      <c r="MC13" s="42"/>
      <c r="MD13" s="42"/>
      <c r="ME13" s="42"/>
      <c r="MF13" s="42"/>
      <c r="MG13" s="42"/>
      <c r="MH13" s="42"/>
      <c r="MI13" s="42"/>
      <c r="MJ13" s="42"/>
      <c r="MK13" s="42"/>
      <c r="ML13" s="42"/>
      <c r="MM13" s="42"/>
      <c r="MN13" s="42"/>
      <c r="MO13" s="42"/>
      <c r="MP13" s="42"/>
      <c r="MQ13" s="42"/>
      <c r="MR13" s="42"/>
      <c r="MS13" s="42"/>
      <c r="MT13" s="42"/>
      <c r="MU13" s="42"/>
      <c r="MV13" s="42"/>
      <c r="MW13" s="42"/>
      <c r="MX13" s="42"/>
      <c r="MY13" s="42"/>
      <c r="MZ13" s="42"/>
      <c r="NA13" s="42"/>
      <c r="NB13" s="42"/>
      <c r="NC13" s="42"/>
      <c r="ND13" s="42"/>
      <c r="NE13" s="42"/>
      <c r="NF13" s="42"/>
      <c r="NG13" s="42"/>
      <c r="NH13" s="42"/>
      <c r="NI13" s="42"/>
      <c r="NJ13" s="42"/>
      <c r="NK13" s="42"/>
      <c r="NL13" s="42"/>
      <c r="NM13" s="42"/>
      <c r="NN13" s="42"/>
      <c r="NO13" s="42"/>
      <c r="NP13" s="42"/>
      <c r="NQ13" s="42"/>
      <c r="NR13" s="42"/>
      <c r="NS13" s="42"/>
      <c r="NT13" s="42"/>
      <c r="NU13" s="42"/>
      <c r="NV13" s="42"/>
      <c r="NW13" s="42"/>
      <c r="NX13" s="42"/>
      <c r="NY13" s="42"/>
      <c r="NZ13" s="42"/>
      <c r="OA13" s="42"/>
      <c r="OB13" s="42"/>
      <c r="OC13" s="42"/>
      <c r="OD13" s="42"/>
      <c r="OE13" s="42"/>
      <c r="OF13" s="42"/>
      <c r="OG13" s="42"/>
      <c r="OH13" s="42"/>
      <c r="OI13" s="42"/>
      <c r="OJ13" s="42"/>
      <c r="OK13" s="42"/>
      <c r="OL13" s="42"/>
      <c r="OM13" s="42"/>
      <c r="ON13" s="42"/>
      <c r="OO13" s="42"/>
      <c r="OP13" s="42"/>
      <c r="OQ13" s="42"/>
      <c r="OR13" s="42"/>
      <c r="OS13" s="42"/>
      <c r="OT13" s="42"/>
      <c r="OU13" s="42"/>
      <c r="OV13" s="42"/>
      <c r="OW13" s="42"/>
      <c r="OX13" s="42"/>
      <c r="OY13" s="42"/>
      <c r="OZ13" s="42"/>
      <c r="PA13" s="42"/>
      <c r="PB13" s="42"/>
      <c r="PC13" s="42"/>
      <c r="PD13" s="42"/>
      <c r="PE13" s="42"/>
      <c r="PF13" s="42"/>
      <c r="PG13" s="42"/>
      <c r="PH13" s="42"/>
      <c r="PI13" s="42"/>
      <c r="PJ13" s="42"/>
      <c r="PK13" s="42"/>
      <c r="PL13" s="42"/>
      <c r="PM13" s="42"/>
      <c r="PN13" s="42"/>
      <c r="PO13" s="42"/>
      <c r="PP13" s="42"/>
      <c r="PQ13" s="42"/>
      <c r="PR13" s="42"/>
      <c r="PS13" s="42"/>
      <c r="PT13" s="42"/>
      <c r="PU13" s="42"/>
      <c r="PV13" s="42"/>
      <c r="PW13" s="42"/>
      <c r="PX13" s="42"/>
      <c r="PY13" s="42"/>
      <c r="PZ13" s="42"/>
      <c r="QA13" s="42"/>
      <c r="QB13" s="42"/>
      <c r="QC13" s="42"/>
      <c r="QD13" s="42"/>
      <c r="QE13" s="42"/>
      <c r="QF13" s="42"/>
      <c r="QG13" s="42"/>
      <c r="QH13" s="42"/>
      <c r="QI13" s="42"/>
      <c r="QJ13" s="42"/>
      <c r="QK13" s="42"/>
      <c r="QL13" s="42"/>
      <c r="QM13" s="42"/>
      <c r="QN13" s="42"/>
      <c r="QO13" s="42"/>
      <c r="QP13" s="42"/>
      <c r="QQ13" s="42"/>
      <c r="QR13" s="42"/>
      <c r="QS13" s="42"/>
      <c r="QT13" s="42"/>
      <c r="QU13" s="42"/>
      <c r="QV13" s="42"/>
      <c r="QW13" s="42"/>
      <c r="QX13" s="42"/>
      <c r="QY13" s="42"/>
      <c r="QZ13" s="42"/>
      <c r="RA13" s="42"/>
      <c r="RB13" s="42"/>
      <c r="RC13" s="42"/>
      <c r="RD13" s="42"/>
      <c r="RE13" s="42"/>
      <c r="RF13" s="42"/>
      <c r="RG13" s="42"/>
      <c r="RH13" s="42"/>
      <c r="RI13" s="42"/>
      <c r="RJ13" s="42"/>
      <c r="RK13" s="42"/>
      <c r="RL13" s="42"/>
      <c r="RM13" s="42"/>
      <c r="RN13" s="42"/>
      <c r="RO13" s="42"/>
      <c r="RP13" s="42"/>
      <c r="RQ13" s="42"/>
      <c r="RR13" s="42"/>
      <c r="RS13" s="42"/>
      <c r="RT13" s="42"/>
      <c r="RU13" s="42"/>
      <c r="RV13" s="42"/>
      <c r="RW13" s="42"/>
      <c r="RX13" s="42"/>
      <c r="RY13" s="42"/>
      <c r="RZ13" s="42"/>
      <c r="SA13" s="42"/>
      <c r="SB13" s="42"/>
      <c r="SC13" s="42"/>
      <c r="SD13" s="42"/>
      <c r="SE13" s="42"/>
      <c r="SF13" s="42"/>
      <c r="SG13" s="42"/>
      <c r="SH13" s="42"/>
      <c r="SI13" s="42"/>
      <c r="SJ13" s="42"/>
      <c r="SK13" s="42"/>
      <c r="SL13" s="42"/>
      <c r="SM13" s="42"/>
      <c r="SN13" s="42"/>
      <c r="SO13" s="42"/>
      <c r="SP13" s="42"/>
      <c r="SQ13" s="42"/>
      <c r="SR13" s="42"/>
      <c r="SS13" s="42"/>
      <c r="ST13" s="42"/>
      <c r="SU13" s="42"/>
      <c r="SV13" s="42"/>
      <c r="SW13" s="42"/>
      <c r="SX13" s="42"/>
      <c r="SY13" s="42"/>
      <c r="SZ13" s="42"/>
      <c r="TA13" s="42"/>
      <c r="TB13" s="42"/>
      <c r="TC13" s="42"/>
      <c r="TD13" s="42"/>
      <c r="TE13" s="42"/>
      <c r="TF13" s="42"/>
      <c r="TG13" s="42"/>
      <c r="TH13" s="42"/>
      <c r="TI13" s="42"/>
      <c r="TJ13" s="42"/>
      <c r="TK13" s="42"/>
      <c r="TL13" s="42"/>
      <c r="TM13" s="42"/>
      <c r="TN13" s="42"/>
      <c r="TO13" s="42"/>
      <c r="TP13" s="42"/>
      <c r="TQ13" s="42"/>
      <c r="TR13" s="42"/>
      <c r="TS13" s="42"/>
      <c r="TT13" s="42"/>
      <c r="TU13" s="42"/>
      <c r="TV13" s="42"/>
      <c r="TW13" s="42"/>
      <c r="TX13" s="42"/>
      <c r="TY13" s="42"/>
      <c r="TZ13" s="42"/>
      <c r="UA13" s="42"/>
      <c r="UB13" s="42"/>
      <c r="UC13" s="42"/>
      <c r="UD13" s="42"/>
      <c r="UE13" s="42"/>
      <c r="UF13" s="42"/>
      <c r="UG13" s="42"/>
      <c r="UH13" s="42"/>
      <c r="UI13" s="42"/>
      <c r="UJ13" s="42"/>
      <c r="UK13" s="42"/>
      <c r="UL13" s="42"/>
      <c r="UM13" s="42"/>
      <c r="UN13" s="42"/>
      <c r="UO13" s="42"/>
      <c r="UP13" s="42"/>
      <c r="UQ13" s="42"/>
      <c r="UR13" s="42"/>
      <c r="US13" s="42"/>
      <c r="UT13" s="42"/>
      <c r="UU13" s="42"/>
      <c r="UV13" s="42"/>
      <c r="UW13" s="42"/>
      <c r="UX13" s="42"/>
      <c r="UY13" s="42"/>
      <c r="UZ13" s="42"/>
      <c r="VA13" s="42"/>
      <c r="VB13" s="42"/>
      <c r="VC13" s="42"/>
      <c r="VD13" s="42"/>
      <c r="VE13" s="42"/>
      <c r="VF13" s="42"/>
      <c r="VG13" s="42"/>
      <c r="VH13" s="42"/>
      <c r="VI13" s="42"/>
      <c r="VJ13" s="42"/>
      <c r="VK13" s="42"/>
      <c r="VL13" s="42"/>
      <c r="VM13" s="42"/>
      <c r="VN13" s="42"/>
      <c r="VO13" s="42"/>
      <c r="VP13" s="42"/>
      <c r="VQ13" s="42"/>
      <c r="VR13" s="42"/>
      <c r="VS13" s="42"/>
      <c r="VT13" s="42"/>
      <c r="VU13" s="42"/>
      <c r="VV13" s="42"/>
      <c r="VW13" s="42"/>
      <c r="VX13" s="42"/>
      <c r="VY13" s="42"/>
      <c r="VZ13" s="42"/>
      <c r="WA13" s="42"/>
      <c r="WB13" s="42"/>
      <c r="WC13" s="42"/>
      <c r="WD13" s="42"/>
      <c r="WE13" s="42"/>
      <c r="WF13" s="42"/>
      <c r="WG13" s="42"/>
      <c r="WH13" s="42"/>
      <c r="WI13" s="42"/>
      <c r="WJ13" s="42"/>
      <c r="WK13" s="42"/>
      <c r="WL13" s="42"/>
      <c r="WM13" s="42"/>
      <c r="WN13" s="42"/>
      <c r="WO13" s="42"/>
      <c r="WP13" s="42"/>
      <c r="WQ13" s="42"/>
      <c r="WR13" s="42"/>
      <c r="WS13" s="42"/>
      <c r="WT13" s="42"/>
      <c r="WU13" s="42"/>
      <c r="WV13" s="42"/>
      <c r="WW13" s="42"/>
      <c r="WX13" s="42"/>
      <c r="WY13" s="42"/>
      <c r="WZ13" s="42"/>
      <c r="XA13" s="42"/>
      <c r="XB13" s="42"/>
      <c r="XC13" s="42"/>
      <c r="XD13" s="42"/>
      <c r="XE13" s="42"/>
      <c r="XF13" s="42"/>
      <c r="XG13" s="42"/>
      <c r="XH13" s="42"/>
      <c r="XI13" s="42"/>
      <c r="XJ13" s="42"/>
      <c r="XK13" s="42"/>
      <c r="XL13" s="42"/>
      <c r="XM13" s="42"/>
      <c r="XN13" s="42"/>
      <c r="XO13" s="42"/>
      <c r="XP13" s="42"/>
      <c r="XQ13" s="42"/>
      <c r="XR13" s="42"/>
      <c r="XS13" s="42"/>
      <c r="XT13" s="42"/>
      <c r="XU13" s="42"/>
      <c r="XV13" s="42"/>
      <c r="XW13" s="42"/>
      <c r="XX13" s="42"/>
      <c r="XY13" s="42"/>
      <c r="XZ13" s="42"/>
      <c r="YA13" s="42"/>
      <c r="YB13" s="42"/>
      <c r="YC13" s="42"/>
      <c r="YD13" s="42"/>
      <c r="YE13" s="42"/>
      <c r="YF13" s="42"/>
      <c r="YG13" s="42"/>
      <c r="YH13" s="42"/>
      <c r="YI13" s="42"/>
      <c r="YJ13" s="42"/>
      <c r="YK13" s="42"/>
      <c r="YL13" s="42"/>
      <c r="YM13" s="42"/>
      <c r="YN13" s="42"/>
      <c r="YO13" s="42"/>
      <c r="YP13" s="42"/>
      <c r="YQ13" s="42"/>
      <c r="YR13" s="42"/>
      <c r="YS13" s="42"/>
      <c r="YT13" s="42"/>
      <c r="YU13" s="42"/>
      <c r="YV13" s="42"/>
      <c r="YW13" s="42"/>
      <c r="YX13" s="42"/>
      <c r="YY13" s="42"/>
      <c r="YZ13" s="42"/>
      <c r="ZA13" s="42"/>
      <c r="ZB13" s="42"/>
      <c r="ZC13" s="42"/>
      <c r="ZD13" s="42"/>
      <c r="ZE13" s="42"/>
      <c r="ZF13" s="42"/>
      <c r="ZG13" s="42"/>
      <c r="ZH13" s="42"/>
      <c r="ZI13" s="42"/>
      <c r="ZJ13" s="42"/>
      <c r="ZK13" s="42"/>
      <c r="ZL13" s="42"/>
      <c r="ZM13" s="42"/>
      <c r="ZN13" s="42"/>
      <c r="ZO13" s="42"/>
      <c r="ZP13" s="42"/>
      <c r="ZQ13" s="42"/>
      <c r="ZR13" s="42"/>
      <c r="ZS13" s="42"/>
      <c r="ZT13" s="42"/>
      <c r="ZU13" s="42"/>
      <c r="ZV13" s="42"/>
      <c r="ZW13" s="42"/>
      <c r="ZX13" s="42"/>
      <c r="ZY13" s="42"/>
      <c r="ZZ13" s="42"/>
      <c r="AAA13" s="42"/>
      <c r="AAB13" s="42"/>
      <c r="AAC13" s="42"/>
      <c r="AAD13" s="42"/>
      <c r="AAE13" s="42"/>
      <c r="AAF13" s="42"/>
      <c r="AAG13" s="42"/>
      <c r="AAH13" s="42"/>
      <c r="AAI13" s="42"/>
      <c r="AAJ13" s="42"/>
      <c r="AAK13" s="42"/>
      <c r="AAL13" s="42"/>
      <c r="AAM13" s="42"/>
      <c r="AAN13" s="42"/>
      <c r="AAO13" s="42"/>
      <c r="AAP13" s="42"/>
      <c r="AAQ13" s="42"/>
      <c r="AAR13" s="42"/>
      <c r="AAS13" s="42"/>
      <c r="AAT13" s="42"/>
      <c r="AAU13" s="42"/>
      <c r="AAV13" s="42"/>
      <c r="AAW13" s="42"/>
      <c r="AAX13" s="42"/>
      <c r="AAY13" s="42"/>
      <c r="AAZ13" s="42"/>
      <c r="ABA13" s="42"/>
      <c r="ABB13" s="42"/>
      <c r="ABC13" s="42"/>
      <c r="ABD13" s="42"/>
      <c r="ABE13" s="42"/>
      <c r="ABF13" s="42"/>
      <c r="ABG13" s="42"/>
      <c r="ABH13" s="42"/>
      <c r="ABI13" s="42"/>
      <c r="ABJ13" s="42"/>
      <c r="ABK13" s="42"/>
      <c r="ABL13" s="42"/>
      <c r="ABM13" s="42"/>
      <c r="ABN13" s="42"/>
      <c r="ABO13" s="42"/>
      <c r="ABP13" s="42"/>
      <c r="ABQ13" s="42"/>
      <c r="ABR13" s="42"/>
      <c r="ABS13" s="42"/>
      <c r="ABT13" s="42"/>
      <c r="ABU13" s="42"/>
      <c r="ABV13" s="42"/>
      <c r="ABW13" s="42"/>
      <c r="ABX13" s="42"/>
      <c r="ABY13" s="42"/>
      <c r="ABZ13" s="42"/>
      <c r="ACA13" s="42"/>
      <c r="ACB13" s="42"/>
      <c r="ACC13" s="42"/>
      <c r="ACD13" s="42"/>
      <c r="ACE13" s="42"/>
      <c r="ACF13" s="42"/>
      <c r="ACG13" s="42"/>
      <c r="ACH13" s="42"/>
      <c r="ACI13" s="42"/>
      <c r="ACJ13" s="42"/>
      <c r="ACK13" s="42"/>
      <c r="ACL13" s="42"/>
      <c r="ACM13" s="42"/>
      <c r="ACN13" s="42"/>
      <c r="ACO13" s="42"/>
      <c r="ACP13" s="42"/>
      <c r="ACQ13" s="42"/>
      <c r="ACR13" s="42"/>
      <c r="ACS13" s="42"/>
      <c r="ACT13" s="42"/>
      <c r="ACU13" s="42"/>
      <c r="ACV13" s="42"/>
      <c r="ACW13" s="42"/>
      <c r="ACX13" s="42"/>
      <c r="ACY13" s="42"/>
      <c r="ACZ13" s="42"/>
      <c r="ADA13" s="42"/>
      <c r="ADB13" s="42"/>
      <c r="ADC13" s="42"/>
      <c r="ADD13" s="42"/>
      <c r="ADE13" s="42"/>
      <c r="ADF13" s="42"/>
      <c r="ADG13" s="42"/>
      <c r="ADH13" s="42"/>
      <c r="ADI13" s="42"/>
      <c r="ADJ13" s="42"/>
      <c r="ADK13" s="42"/>
      <c r="ADL13" s="42"/>
      <c r="ADM13" s="42"/>
      <c r="ADN13" s="42"/>
      <c r="ADO13" s="42"/>
      <c r="ADP13" s="42"/>
      <c r="ADQ13" s="42"/>
      <c r="ADR13" s="42"/>
      <c r="ADS13" s="42"/>
      <c r="ADT13" s="42"/>
      <c r="ADU13" s="42"/>
      <c r="ADV13" s="42"/>
      <c r="ADW13" s="42"/>
      <c r="ADX13" s="42"/>
      <c r="ADY13" s="42"/>
      <c r="ADZ13" s="42"/>
      <c r="AEA13" s="42"/>
      <c r="AEB13" s="42"/>
      <c r="AEC13" s="42"/>
      <c r="AED13" s="42"/>
      <c r="AEE13" s="42"/>
      <c r="AEF13" s="42"/>
      <c r="AEG13" s="42"/>
      <c r="AEH13" s="42"/>
      <c r="AEI13" s="42"/>
      <c r="AEJ13" s="42"/>
      <c r="AEK13" s="42"/>
      <c r="AEL13" s="42"/>
      <c r="AEM13" s="42"/>
      <c r="AEN13" s="42"/>
      <c r="AEO13" s="42"/>
      <c r="AEP13" s="42"/>
      <c r="AEQ13" s="42"/>
      <c r="AER13" s="42"/>
      <c r="AES13" s="42"/>
      <c r="AET13" s="42"/>
      <c r="AEU13" s="42"/>
      <c r="AEV13" s="42"/>
      <c r="AEW13" s="42"/>
      <c r="AEX13" s="42"/>
      <c r="AEY13" s="42"/>
      <c r="AEZ13" s="42"/>
      <c r="AFA13" s="42"/>
      <c r="AFB13" s="42"/>
      <c r="AFC13" s="42"/>
      <c r="AFD13" s="42"/>
      <c r="AFE13" s="42"/>
      <c r="AFF13" s="42"/>
      <c r="AFG13" s="42"/>
      <c r="AFH13" s="42"/>
      <c r="AFI13" s="42"/>
      <c r="AFJ13" s="42"/>
      <c r="AFK13" s="42"/>
      <c r="AFL13" s="42"/>
      <c r="AFM13" s="42"/>
      <c r="AFN13" s="42"/>
      <c r="AFO13" s="42"/>
      <c r="AFP13" s="42"/>
      <c r="AFQ13" s="42"/>
      <c r="AFR13" s="42"/>
      <c r="AFS13" s="42"/>
      <c r="AFT13" s="42"/>
      <c r="AFU13" s="42"/>
      <c r="AFV13" s="42"/>
      <c r="AFW13" s="42"/>
      <c r="AFX13" s="42"/>
      <c r="AFY13" s="42"/>
      <c r="AFZ13" s="42"/>
      <c r="AGA13" s="42"/>
      <c r="AGB13" s="42"/>
      <c r="AGC13" s="42"/>
      <c r="AGD13" s="42"/>
      <c r="AGE13" s="42"/>
      <c r="AGF13" s="42"/>
      <c r="AGG13" s="42"/>
      <c r="AGH13" s="42"/>
      <c r="AGI13" s="42"/>
      <c r="AGJ13" s="42"/>
      <c r="AGK13" s="42"/>
      <c r="AGL13" s="42"/>
      <c r="AGM13" s="42"/>
      <c r="AGN13" s="42"/>
      <c r="AGO13" s="42"/>
      <c r="AGP13" s="42"/>
      <c r="AGQ13" s="42"/>
      <c r="AGR13" s="42"/>
      <c r="AGS13" s="42"/>
      <c r="AGT13" s="42"/>
      <c r="AGU13" s="42"/>
      <c r="AGV13" s="42"/>
      <c r="AGW13" s="42"/>
      <c r="AGX13" s="42"/>
      <c r="AGY13" s="42"/>
      <c r="AGZ13" s="42"/>
      <c r="AHA13" s="42"/>
      <c r="AHB13" s="42"/>
      <c r="AHC13" s="42"/>
      <c r="AHD13" s="42"/>
      <c r="AHE13" s="42"/>
      <c r="AHF13" s="42"/>
      <c r="AHG13" s="42"/>
      <c r="AHH13" s="42"/>
      <c r="AHI13" s="42"/>
      <c r="AHJ13" s="42"/>
      <c r="AHK13" s="42"/>
      <c r="AHL13" s="42"/>
      <c r="AHM13" s="42"/>
      <c r="AHN13" s="42"/>
      <c r="AHO13" s="42"/>
      <c r="AHP13" s="42"/>
      <c r="AHQ13" s="42"/>
      <c r="AHR13" s="42"/>
      <c r="AHS13" s="42"/>
      <c r="AHT13" s="42"/>
      <c r="AHU13" s="42"/>
      <c r="AHV13" s="42"/>
      <c r="AHW13" s="42"/>
      <c r="AHX13" s="42"/>
      <c r="AHY13" s="42"/>
      <c r="AHZ13" s="42"/>
      <c r="AIA13" s="42"/>
      <c r="AIB13" s="42"/>
      <c r="AIC13" s="42"/>
      <c r="AID13" s="42"/>
      <c r="AIE13" s="42"/>
      <c r="AIF13" s="42"/>
      <c r="AIG13" s="42"/>
      <c r="AIH13" s="42"/>
      <c r="AII13" s="42"/>
      <c r="AIJ13" s="42"/>
      <c r="AIK13" s="42"/>
      <c r="AIL13" s="42"/>
      <c r="AIM13" s="42"/>
      <c r="AIN13" s="42"/>
      <c r="AIO13" s="42"/>
      <c r="AIP13" s="42"/>
      <c r="AIQ13" s="42"/>
      <c r="AIR13" s="42"/>
      <c r="AIS13" s="42"/>
      <c r="AIT13" s="42"/>
      <c r="AIU13" s="42"/>
      <c r="AIV13" s="42"/>
      <c r="AIW13" s="42"/>
      <c r="AIX13" s="42"/>
      <c r="AIY13" s="42"/>
      <c r="AIZ13" s="42"/>
      <c r="AJA13" s="42"/>
      <c r="AJB13" s="42"/>
      <c r="AJC13" s="42"/>
      <c r="AJD13" s="42"/>
      <c r="AJE13" s="42"/>
      <c r="AJF13" s="42"/>
      <c r="AJG13" s="42"/>
      <c r="AJH13" s="42"/>
      <c r="AJI13" s="42"/>
      <c r="AJJ13" s="42"/>
      <c r="AJK13" s="42"/>
      <c r="AJL13" s="42"/>
      <c r="AJM13" s="42"/>
      <c r="AJN13" s="42"/>
      <c r="AJO13" s="42"/>
      <c r="AJP13" s="42"/>
      <c r="AJQ13" s="42"/>
      <c r="AJR13" s="42"/>
      <c r="AJS13" s="42"/>
      <c r="AJT13" s="42"/>
      <c r="AJU13" s="42"/>
      <c r="AJV13" s="42"/>
      <c r="AJW13" s="42"/>
      <c r="AJX13" s="42"/>
      <c r="AJY13" s="42"/>
      <c r="AJZ13" s="42"/>
      <c r="AKA13" s="42"/>
      <c r="AKB13" s="42"/>
      <c r="AKC13" s="42"/>
      <c r="AKD13" s="42"/>
      <c r="AKE13" s="42"/>
      <c r="AKF13" s="42"/>
      <c r="AKG13" s="42"/>
      <c r="AKH13" s="42"/>
      <c r="AKI13" s="42"/>
      <c r="AKJ13" s="42"/>
      <c r="AKK13" s="42"/>
      <c r="AKL13" s="42"/>
      <c r="AKM13" s="42"/>
      <c r="AKN13" s="42"/>
      <c r="AKO13" s="42"/>
      <c r="AKP13" s="42"/>
      <c r="AKQ13" s="42"/>
      <c r="AKR13" s="42"/>
      <c r="AKS13" s="42"/>
      <c r="AKT13" s="42"/>
      <c r="AKU13" s="42"/>
      <c r="AKV13" s="42"/>
      <c r="AKW13" s="42"/>
      <c r="AKX13" s="42"/>
      <c r="AKY13" s="42"/>
      <c r="AKZ13" s="42"/>
      <c r="ALA13" s="42"/>
      <c r="ALB13" s="42"/>
      <c r="ALC13" s="42"/>
      <c r="ALD13" s="42"/>
      <c r="ALE13" s="42"/>
      <c r="ALF13" s="42"/>
      <c r="ALG13" s="42"/>
      <c r="ALH13" s="42"/>
      <c r="ALI13" s="42"/>
      <c r="ALJ13" s="42"/>
      <c r="ALK13" s="42"/>
      <c r="ALL13" s="42"/>
      <c r="ALM13" s="42"/>
      <c r="ALN13" s="42"/>
      <c r="ALO13" s="42"/>
      <c r="ALP13" s="42"/>
      <c r="ALQ13" s="42"/>
      <c r="ALR13" s="42"/>
      <c r="ALS13" s="42"/>
      <c r="ALT13" s="42"/>
      <c r="ALU13" s="42"/>
      <c r="ALV13" s="42"/>
      <c r="ALW13" s="42"/>
      <c r="ALX13" s="42"/>
      <c r="ALY13" s="42"/>
      <c r="ALZ13" s="42"/>
      <c r="AMA13" s="42"/>
      <c r="AMB13" s="42"/>
      <c r="AMC13" s="42"/>
      <c r="AMD13" s="42"/>
      <c r="AME13" s="42"/>
      <c r="AMF13" s="42"/>
      <c r="AMG13" s="42"/>
      <c r="AMH13" s="42"/>
      <c r="AMI13" s="42"/>
      <c r="AMJ13" s="42"/>
      <c r="AMK13" s="42"/>
      <c r="AML13" s="42"/>
      <c r="AMM13" s="42"/>
      <c r="AMN13" s="42"/>
      <c r="AMO13" s="42"/>
      <c r="AMP13" s="42"/>
      <c r="AMQ13" s="42"/>
      <c r="AMR13" s="42"/>
      <c r="AMS13" s="42"/>
      <c r="AMT13" s="42"/>
      <c r="AMU13" s="42"/>
      <c r="AMV13" s="42"/>
      <c r="AMW13" s="42"/>
      <c r="AMX13" s="42"/>
      <c r="AMY13" s="42"/>
      <c r="AMZ13" s="42"/>
      <c r="ANA13" s="42"/>
      <c r="ANB13" s="42"/>
      <c r="ANC13" s="42"/>
      <c r="AND13" s="42"/>
      <c r="ANE13" s="42"/>
      <c r="ANF13" s="42"/>
      <c r="ANG13" s="42"/>
      <c r="ANH13" s="42"/>
      <c r="ANI13" s="42"/>
      <c r="ANJ13" s="42"/>
      <c r="ANK13" s="42"/>
      <c r="ANL13" s="42"/>
      <c r="ANM13" s="42"/>
      <c r="ANN13" s="42"/>
      <c r="ANO13" s="42"/>
      <c r="ANP13" s="42"/>
      <c r="ANQ13" s="42"/>
      <c r="ANR13" s="42"/>
      <c r="ANS13" s="42"/>
      <c r="ANT13" s="42"/>
      <c r="ANU13" s="42"/>
      <c r="ANV13" s="42"/>
      <c r="ANW13" s="42"/>
      <c r="ANX13" s="42"/>
      <c r="ANY13" s="42"/>
      <c r="ANZ13" s="42"/>
      <c r="AOA13" s="42"/>
      <c r="AOB13" s="42"/>
      <c r="AOC13" s="42"/>
      <c r="AOD13" s="42"/>
      <c r="AOE13" s="42"/>
      <c r="AOF13" s="42"/>
      <c r="AOG13" s="42"/>
      <c r="AOH13" s="42"/>
      <c r="AOI13" s="42"/>
      <c r="AOJ13" s="42"/>
      <c r="AOK13" s="42"/>
      <c r="AOL13" s="42"/>
      <c r="AOM13" s="42"/>
      <c r="AON13" s="42"/>
      <c r="AOO13" s="42"/>
      <c r="AOP13" s="42"/>
      <c r="AOQ13" s="42"/>
      <c r="AOR13" s="42"/>
      <c r="AOS13" s="42"/>
      <c r="AOT13" s="42"/>
      <c r="AOU13" s="42"/>
      <c r="AOV13" s="42"/>
      <c r="AOW13" s="42"/>
      <c r="AOX13" s="42"/>
      <c r="AOY13" s="42"/>
      <c r="AOZ13" s="42"/>
      <c r="APA13" s="42"/>
      <c r="APB13" s="42"/>
      <c r="APC13" s="42"/>
      <c r="APD13" s="42"/>
      <c r="APE13" s="42"/>
      <c r="APF13" s="42"/>
      <c r="APG13" s="42"/>
      <c r="APH13" s="42"/>
      <c r="API13" s="42"/>
      <c r="APJ13" s="42"/>
      <c r="APK13" s="42"/>
      <c r="APL13" s="42"/>
      <c r="APM13" s="42"/>
      <c r="APN13" s="42"/>
      <c r="APO13" s="42"/>
      <c r="APP13" s="42"/>
      <c r="APQ13" s="42"/>
      <c r="APR13" s="42"/>
      <c r="APS13" s="42"/>
      <c r="APT13" s="42"/>
      <c r="APU13" s="42"/>
      <c r="APV13" s="42"/>
      <c r="APW13" s="42"/>
      <c r="APX13" s="42"/>
      <c r="APY13" s="42"/>
      <c r="APZ13" s="42"/>
      <c r="AQA13" s="42"/>
      <c r="AQB13" s="42"/>
      <c r="AQC13" s="42"/>
      <c r="AQD13" s="42"/>
      <c r="AQE13" s="42"/>
      <c r="AQF13" s="42"/>
      <c r="AQG13" s="42"/>
      <c r="AQH13" s="42"/>
      <c r="AQI13" s="42"/>
      <c r="AQJ13" s="42"/>
      <c r="AQK13" s="42"/>
      <c r="AQL13" s="42"/>
      <c r="AQM13" s="42"/>
      <c r="AQN13" s="42"/>
      <c r="AQO13" s="42"/>
      <c r="AQP13" s="42"/>
      <c r="AQQ13" s="42"/>
      <c r="AQR13" s="42"/>
      <c r="AQS13" s="42"/>
      <c r="AQT13" s="42"/>
      <c r="AQU13" s="42"/>
      <c r="AQV13" s="42"/>
      <c r="AQW13" s="42"/>
      <c r="AQX13" s="42"/>
      <c r="AQY13" s="42"/>
      <c r="AQZ13" s="42"/>
      <c r="ARA13" s="42"/>
      <c r="ARB13" s="42"/>
      <c r="ARC13" s="42"/>
      <c r="ARD13" s="42"/>
      <c r="ARE13" s="42"/>
      <c r="ARF13" s="42"/>
      <c r="ARG13" s="42"/>
      <c r="ARH13" s="42"/>
      <c r="ARI13" s="42"/>
      <c r="ARJ13" s="42"/>
      <c r="ARK13" s="42"/>
      <c r="ARL13" s="42"/>
      <c r="ARM13" s="42"/>
      <c r="ARN13" s="42"/>
      <c r="ARO13" s="42"/>
      <c r="ARP13" s="42"/>
      <c r="ARQ13" s="42"/>
      <c r="ARR13" s="42"/>
      <c r="ARS13" s="42"/>
      <c r="ART13" s="42"/>
      <c r="ARU13" s="42"/>
      <c r="ARV13" s="42"/>
      <c r="ARW13" s="42"/>
      <c r="ARX13" s="42"/>
      <c r="ARY13" s="42"/>
      <c r="ARZ13" s="42"/>
      <c r="ASA13" s="42"/>
      <c r="ASB13" s="42"/>
      <c r="ASC13" s="42"/>
      <c r="ASD13" s="42"/>
      <c r="ASE13" s="42"/>
      <c r="ASF13" s="42"/>
      <c r="ASG13" s="42"/>
      <c r="ASH13" s="42"/>
      <c r="ASI13" s="42"/>
      <c r="ASJ13" s="42"/>
      <c r="ASK13" s="42"/>
      <c r="ASL13" s="42"/>
      <c r="ASM13" s="42"/>
      <c r="ASN13" s="42"/>
      <c r="ASO13" s="42"/>
      <c r="ASP13" s="42"/>
      <c r="ASQ13" s="42"/>
      <c r="ASR13" s="42"/>
      <c r="ASS13" s="42"/>
      <c r="AST13" s="42"/>
      <c r="ASU13" s="42"/>
      <c r="ASV13" s="42"/>
      <c r="ASW13" s="42"/>
      <c r="ASX13" s="42"/>
      <c r="ASY13" s="42"/>
      <c r="ASZ13" s="42"/>
      <c r="ATA13" s="42"/>
      <c r="ATB13" s="42"/>
      <c r="ATC13" s="42"/>
      <c r="ATD13" s="42"/>
      <c r="ATE13" s="42"/>
      <c r="ATF13" s="42"/>
      <c r="ATG13" s="42"/>
      <c r="ATH13" s="42"/>
      <c r="ATI13" s="42"/>
      <c r="ATJ13" s="42"/>
      <c r="ATK13" s="42"/>
      <c r="ATL13" s="42"/>
      <c r="ATM13" s="42"/>
      <c r="ATN13" s="42"/>
      <c r="ATO13" s="42"/>
      <c r="ATP13" s="42"/>
      <c r="ATQ13" s="42"/>
      <c r="ATR13" s="42"/>
      <c r="ATS13" s="42"/>
      <c r="ATT13" s="42"/>
      <c r="ATU13" s="42"/>
      <c r="ATV13" s="42"/>
      <c r="ATW13" s="42"/>
      <c r="ATX13" s="42"/>
      <c r="ATY13" s="42"/>
      <c r="ATZ13" s="42"/>
      <c r="AUA13" s="42"/>
      <c r="AUB13" s="42"/>
      <c r="AUC13" s="42"/>
      <c r="AUD13" s="42"/>
      <c r="AUE13" s="42"/>
      <c r="AUF13" s="42"/>
      <c r="AUG13" s="42"/>
      <c r="AUH13" s="42"/>
      <c r="AUI13" s="42"/>
      <c r="AUJ13" s="42"/>
      <c r="AUK13" s="42"/>
      <c r="AUL13" s="42"/>
      <c r="AUM13" s="42"/>
      <c r="AUN13" s="42"/>
      <c r="AUO13" s="42"/>
      <c r="AUP13" s="42"/>
      <c r="AUQ13" s="42"/>
      <c r="AUR13" s="42"/>
      <c r="AUS13" s="42"/>
      <c r="AUT13" s="42"/>
      <c r="AUU13" s="42"/>
      <c r="AUV13" s="42"/>
      <c r="AUW13" s="42"/>
      <c r="AUX13" s="42"/>
      <c r="AUY13" s="42"/>
      <c r="AUZ13" s="42"/>
      <c r="AVA13" s="42"/>
      <c r="AVB13" s="42"/>
      <c r="AVC13" s="42"/>
      <c r="AVD13" s="42"/>
      <c r="AVE13" s="42"/>
      <c r="AVF13" s="42"/>
      <c r="AVG13" s="42"/>
      <c r="AVH13" s="42"/>
      <c r="AVI13" s="42"/>
      <c r="AVJ13" s="42"/>
      <c r="AVK13" s="42"/>
      <c r="AVL13" s="42"/>
      <c r="AVM13" s="42"/>
      <c r="AVN13" s="42"/>
      <c r="AVO13" s="42"/>
      <c r="AVP13" s="42"/>
      <c r="AVQ13" s="42"/>
      <c r="AVR13" s="42"/>
      <c r="AVS13" s="42"/>
      <c r="AVT13" s="42"/>
      <c r="AVU13" s="42"/>
      <c r="AVV13" s="42"/>
      <c r="AVW13" s="42"/>
      <c r="AVX13" s="42"/>
      <c r="AVY13" s="42"/>
      <c r="AVZ13" s="42"/>
      <c r="AWA13" s="42"/>
      <c r="AWB13" s="42"/>
      <c r="AWC13" s="42"/>
      <c r="AWD13" s="42"/>
      <c r="AWE13" s="42"/>
      <c r="AWF13" s="42"/>
      <c r="AWG13" s="42"/>
      <c r="AWH13" s="42"/>
      <c r="AWI13" s="42"/>
      <c r="AWJ13" s="42"/>
      <c r="AWK13" s="42"/>
      <c r="AWL13" s="42"/>
      <c r="AWM13" s="42"/>
      <c r="AWN13" s="42"/>
      <c r="AWO13" s="42"/>
      <c r="AWP13" s="42"/>
      <c r="AWQ13" s="42"/>
      <c r="AWR13" s="42"/>
      <c r="AWS13" s="42"/>
      <c r="AWT13" s="42"/>
      <c r="AWU13" s="42"/>
      <c r="AWV13" s="42"/>
      <c r="AWW13" s="42"/>
      <c r="AWX13" s="42"/>
      <c r="AWY13" s="42"/>
      <c r="AWZ13" s="42"/>
      <c r="AXA13" s="42"/>
      <c r="AXB13" s="42"/>
      <c r="AXC13" s="42"/>
      <c r="AXD13" s="42"/>
      <c r="AXE13" s="42"/>
      <c r="AXF13" s="42"/>
      <c r="AXG13" s="42"/>
      <c r="AXH13" s="42"/>
      <c r="AXI13" s="42"/>
      <c r="AXJ13" s="42"/>
      <c r="AXK13" s="42"/>
      <c r="AXL13" s="42"/>
      <c r="AXM13" s="42"/>
      <c r="AXN13" s="42"/>
      <c r="AXO13" s="42"/>
      <c r="AXP13" s="42"/>
      <c r="AXQ13" s="42"/>
      <c r="AXR13" s="42"/>
      <c r="AXS13" s="42"/>
      <c r="AXT13" s="42"/>
      <c r="AXU13" s="42"/>
      <c r="AXV13" s="42"/>
      <c r="AXW13" s="42"/>
      <c r="AXX13" s="42"/>
      <c r="AXY13" s="42"/>
      <c r="AXZ13" s="42"/>
      <c r="AYA13" s="42"/>
      <c r="AYB13" s="42"/>
      <c r="AYC13" s="42"/>
      <c r="AYD13" s="42"/>
      <c r="AYE13" s="42"/>
      <c r="AYF13" s="42"/>
      <c r="AYG13" s="42"/>
      <c r="AYH13" s="42"/>
      <c r="AYI13" s="42"/>
      <c r="AYJ13" s="42"/>
      <c r="AYK13" s="42"/>
      <c r="AYL13" s="42"/>
      <c r="AYM13" s="42"/>
      <c r="AYN13" s="42"/>
      <c r="AYO13" s="42"/>
      <c r="AYP13" s="42"/>
      <c r="AYQ13" s="42"/>
      <c r="AYR13" s="42"/>
      <c r="AYS13" s="42"/>
      <c r="AYT13" s="42"/>
      <c r="AYU13" s="42"/>
      <c r="AYV13" s="42"/>
      <c r="AYW13" s="42"/>
      <c r="AYX13" s="42"/>
      <c r="AYY13" s="42"/>
      <c r="AYZ13" s="42"/>
      <c r="AZA13" s="42"/>
      <c r="AZB13" s="42"/>
      <c r="AZC13" s="42"/>
      <c r="AZD13" s="42"/>
      <c r="AZE13" s="42"/>
      <c r="AZF13" s="42"/>
      <c r="AZG13" s="42"/>
      <c r="AZH13" s="42"/>
      <c r="AZI13" s="42"/>
      <c r="AZJ13" s="42"/>
      <c r="AZK13" s="42"/>
      <c r="AZL13" s="42"/>
      <c r="AZM13" s="42"/>
      <c r="AZN13" s="42"/>
      <c r="AZO13" s="42"/>
      <c r="AZP13" s="42"/>
      <c r="AZQ13" s="42"/>
      <c r="AZR13" s="42"/>
      <c r="AZS13" s="42"/>
      <c r="AZT13" s="42"/>
      <c r="AZU13" s="42"/>
      <c r="AZV13" s="42"/>
      <c r="AZW13" s="42"/>
      <c r="AZX13" s="42"/>
      <c r="AZY13" s="42"/>
      <c r="AZZ13" s="42"/>
      <c r="BAA13" s="42"/>
      <c r="BAB13" s="42"/>
      <c r="BAC13" s="42"/>
      <c r="BAD13" s="42"/>
      <c r="BAE13" s="42"/>
      <c r="BAF13" s="42"/>
      <c r="BAG13" s="42"/>
      <c r="BAH13" s="42"/>
      <c r="BAI13" s="42"/>
      <c r="BAJ13" s="42"/>
      <c r="BAK13" s="42"/>
      <c r="BAL13" s="42"/>
      <c r="BAM13" s="42"/>
      <c r="BAN13" s="42"/>
      <c r="BAO13" s="42"/>
      <c r="BAP13" s="42"/>
      <c r="BAQ13" s="42"/>
      <c r="BAR13" s="42"/>
      <c r="BAS13" s="42"/>
      <c r="BAT13" s="42"/>
      <c r="BAU13" s="42"/>
      <c r="BAV13" s="42"/>
      <c r="BAW13" s="42"/>
      <c r="BAX13" s="42"/>
      <c r="BAY13" s="42"/>
      <c r="BAZ13" s="42"/>
      <c r="BBA13" s="42"/>
      <c r="BBB13" s="42"/>
      <c r="BBC13" s="42"/>
      <c r="BBD13" s="42"/>
      <c r="BBE13" s="42"/>
      <c r="BBF13" s="42"/>
      <c r="BBG13" s="42"/>
      <c r="BBH13" s="42"/>
      <c r="BBI13" s="42"/>
      <c r="BBJ13" s="42"/>
      <c r="BBK13" s="42"/>
      <c r="BBL13" s="42"/>
      <c r="BBM13" s="42"/>
      <c r="BBN13" s="42"/>
      <c r="BBO13" s="42"/>
      <c r="BBP13" s="42"/>
      <c r="BBQ13" s="42"/>
      <c r="BBR13" s="42"/>
      <c r="BBS13" s="42"/>
      <c r="BBT13" s="42"/>
      <c r="BBU13" s="42"/>
      <c r="BBV13" s="42"/>
      <c r="BBW13" s="42"/>
      <c r="BBX13" s="42"/>
      <c r="BBY13" s="42"/>
      <c r="BBZ13" s="42"/>
      <c r="BCA13" s="42"/>
      <c r="BCB13" s="42"/>
      <c r="BCC13" s="42"/>
      <c r="BCD13" s="42"/>
      <c r="BCE13" s="42"/>
      <c r="BCF13" s="42"/>
      <c r="BCG13" s="42"/>
      <c r="BCH13" s="42"/>
      <c r="BCI13" s="42"/>
      <c r="BCJ13" s="42"/>
      <c r="BCK13" s="42"/>
      <c r="BCL13" s="42"/>
      <c r="BCM13" s="42"/>
      <c r="BCN13" s="42"/>
      <c r="BCO13" s="42"/>
      <c r="BCP13" s="42"/>
      <c r="BCQ13" s="42"/>
      <c r="BCR13" s="42"/>
      <c r="BCS13" s="42"/>
      <c r="BCT13" s="42"/>
      <c r="BCU13" s="42"/>
      <c r="BCV13" s="42"/>
      <c r="BCW13" s="42"/>
      <c r="BCX13" s="42"/>
    </row>
    <row r="14" spans="1:1454" s="54" customFormat="1" x14ac:dyDescent="0.25">
      <c r="A14" s="92">
        <v>2</v>
      </c>
      <c r="B14" s="93" t="str">
        <f>线路!B11</f>
        <v>1#倒虹吸进</v>
      </c>
      <c r="C14" s="94">
        <f>线路!E11</f>
        <v>451212.93290000001</v>
      </c>
      <c r="D14" s="94">
        <f>线路!F11</f>
        <v>3047636.6433999999</v>
      </c>
      <c r="E14" s="95">
        <f>线路!G11</f>
        <v>0</v>
      </c>
      <c r="F14" s="95">
        <f>线路!H11</f>
        <v>0</v>
      </c>
      <c r="G14" s="96">
        <f>线路!L11</f>
        <v>656.36267362457693</v>
      </c>
      <c r="H14" s="96">
        <f>线路!M11</f>
        <v>656.36267362457693</v>
      </c>
      <c r="I14" s="96">
        <f>线路!N11</f>
        <v>656.36267362457693</v>
      </c>
      <c r="J14" s="115">
        <f t="shared" si="0"/>
        <v>0</v>
      </c>
      <c r="K14" s="115">
        <f t="shared" si="13"/>
        <v>129.80231455728426</v>
      </c>
      <c r="L14" s="115">
        <f>IF(A14=1,断面设计!$D$7,IF(A14=2,断面设计!$D$8,IF(A14=3,断面设计!$D$9,IF(A14=4,断面设计!$D$10,IF(A14=5,断面设计!$D$11,IF(A14=6,断面设计!$D$12,IF(A14=7,断面设计!$D$13,IF(A14=8,断面设计!$D$14,IF(A14=9,断面设计!$D$15,IF(A14=10,断面设计!$D$16))))))))))</f>
        <v>1.5</v>
      </c>
      <c r="M14" s="115">
        <f t="shared" si="14"/>
        <v>1.2</v>
      </c>
      <c r="N14" s="116">
        <f t="shared" si="1"/>
        <v>1.4999999999999999E-2</v>
      </c>
      <c r="O14" s="115">
        <f>IF(A14=1,断面设计!$J$7,IF(A14=2,断面设计!$J$8,IF(A14=3,断面设计!$J$9,IF(A14=4,断面设计!$J$10,IF(A14=5,断面设计!$J$11,IF(A14=6,断面设计!$J$12,IF(A14=7,断面设计!$J$13,IF(A14=8,断面设计!$J$14,IF(A14=9,断面设计!$J$15,IF(A14=10,断面设计!$J$16))))))))))</f>
        <v>5000</v>
      </c>
      <c r="P14" s="117">
        <f>IF(A14=1,断面设计!$K$7,IF(A14=2,断面设计!$K$8,IF(A14=3,断面设计!$K$9,IF(A14=4,断面设计!$K$10,IF(A14=5,断面设计!$K$11,IF(A14=6,断面设计!$K$12,IF(A14=7,断面设计!$K$13,IF(A14=8,断面设计!$K$14,IF(A14=9,断面设计!$K$15,IF(A14=10,断面设计!$K$16))))))))))</f>
        <v>4.4993914540329225</v>
      </c>
      <c r="Q14" s="116">
        <f>IF(A14=1,断面设计!$C$7,IF(A14=2,断面设计!$C$8,IF(A14=3,断面设计!$C$9,IF(A14=4,断面设计!$C$10,IF(A14=5,断面设计!$C$11,IF(A14=6,断面设计!$C$12,IF(A14=7,断面设计!$C$13,IF(A14=8,断面设计!$C$14,IF(A14=9,断面设计!$C$15,IF(A14=10,断面设计!$C$16))))))))))</f>
        <v>1.58308906639964</v>
      </c>
      <c r="R14" s="115">
        <f>IF(A14=1,断面设计!$F$7,IF(A14=2,断面设计!$F$8,IF(A14=3,断面设计!$F$9,IF(A14=4,断面设计!$F$10,IF(A14=5,断面设计!$F$11,IF(A14=6,断面设计!$F$12,IF(A14=7,断面设计!$F$13,IF(A14=8,断面设计!$F$14,IF(A14=9,断面设计!$F$15,IF(A14=10,断面设计!$F$16))))))))))</f>
        <v>5.3820387901843603</v>
      </c>
      <c r="S14" s="115">
        <f>IF(A14=1,断面设计!$G$7,IF(A14=2,断面设计!$G$8,IF(A14=3,断面设计!$G$9,IF(A14=4,断面设计!$G$10,IF(A14=5,断面设计!$G$11,IF(A14=6,断面设计!$G$12,IF(A14=7,断面设计!$G$13,IF(A14=8,断面设计!$G$14,IF(A14=9,断面设计!$G$15,IF(A14=10,断面设计!$G$16))))))))))</f>
        <v>6.445728347111662</v>
      </c>
      <c r="T14" s="115">
        <f t="shared" si="15"/>
        <v>0.83497760072312976</v>
      </c>
      <c r="U14" s="115">
        <f t="shared" si="16"/>
        <v>0.8360013053489711</v>
      </c>
      <c r="V14" s="125"/>
      <c r="W14" s="116"/>
      <c r="X14" s="116"/>
      <c r="Y14" s="139">
        <v>0</v>
      </c>
      <c r="Z14" s="140">
        <f t="shared" si="26"/>
        <v>0</v>
      </c>
      <c r="AA14" s="115"/>
      <c r="AB14" s="139">
        <f t="shared" si="4"/>
        <v>1.58308906639964</v>
      </c>
      <c r="AC14" s="116">
        <f t="shared" si="5"/>
        <v>0</v>
      </c>
      <c r="AD14" s="116">
        <f t="shared" si="18"/>
        <v>2392.1575889378046</v>
      </c>
      <c r="AE14" s="141">
        <f t="shared" si="19"/>
        <v>0</v>
      </c>
      <c r="AF14" s="116" t="str">
        <f t="shared" si="6"/>
        <v xml:space="preserve"> </v>
      </c>
      <c r="AG14" s="116" t="str">
        <f>IF(AE14=0," ",AF14-断面设计!$C$7)</f>
        <v xml:space="preserve"> </v>
      </c>
      <c r="AH14" s="116" t="str">
        <f t="shared" si="7"/>
        <v xml:space="preserve"> </v>
      </c>
      <c r="AI14" s="116" t="str">
        <f t="shared" si="8"/>
        <v xml:space="preserve"> </v>
      </c>
      <c r="AJ14" s="116" t="str">
        <f t="shared" si="9"/>
        <v xml:space="preserve"> </v>
      </c>
      <c r="AK14" s="116" t="str">
        <f t="shared" si="10"/>
        <v xml:space="preserve"> </v>
      </c>
      <c r="AL14" s="116">
        <f t="shared" si="11"/>
        <v>2392.1575889378046</v>
      </c>
      <c r="AM14" s="116">
        <f t="shared" si="12"/>
        <v>2390.5744998714049</v>
      </c>
      <c r="AN14" s="92"/>
      <c r="AO14" s="92">
        <v>0</v>
      </c>
      <c r="AP14" s="161"/>
      <c r="AQ14" s="42"/>
      <c r="AR14" s="42"/>
      <c r="AS14" s="42"/>
      <c r="AT14" s="42"/>
      <c r="AU14" s="64" t="str">
        <f t="shared" si="20"/>
        <v>656.362673624577,2390.5744998714</v>
      </c>
      <c r="AV14" s="64" t="str">
        <f t="shared" si="21"/>
        <v>656.362673624577,2392.1575889378</v>
      </c>
      <c r="AW14" s="169" t="str">
        <f t="shared" si="22"/>
        <v xml:space="preserve">pl 656.362673624577,0 656.362673624577,76 </v>
      </c>
      <c r="AX14" s="161" t="str">
        <f t="shared" si="23"/>
        <v>-text 656.362673624577,48 3.5 90 2390.574</v>
      </c>
      <c r="AY14" s="161" t="str">
        <f t="shared" si="24"/>
        <v>-text 656.362673624577,62.5 3.5 90 2392.158</v>
      </c>
      <c r="AZ14" s="42" t="str">
        <f t="shared" si="25"/>
        <v>-text 656.362673624577,23.5 3.5 90 马分0+656.36</v>
      </c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  <c r="FI14" s="42"/>
      <c r="FJ14" s="42"/>
      <c r="FK14" s="42"/>
      <c r="FL14" s="42"/>
      <c r="FM14" s="42"/>
      <c r="FN14" s="42"/>
      <c r="FO14" s="42"/>
      <c r="FP14" s="42"/>
      <c r="FQ14" s="42"/>
      <c r="FR14" s="42"/>
      <c r="FS14" s="42"/>
      <c r="FT14" s="42"/>
      <c r="FU14" s="42"/>
      <c r="FV14" s="42"/>
      <c r="FW14" s="42"/>
      <c r="FX14" s="42"/>
      <c r="FY14" s="42"/>
      <c r="FZ14" s="42"/>
      <c r="GA14" s="42"/>
      <c r="GB14" s="42"/>
      <c r="GC14" s="42"/>
      <c r="GD14" s="42"/>
      <c r="GE14" s="42"/>
      <c r="GF14" s="42"/>
      <c r="GG14" s="42"/>
      <c r="GH14" s="42"/>
      <c r="GI14" s="42"/>
      <c r="GJ14" s="42"/>
      <c r="GK14" s="42"/>
      <c r="GL14" s="42"/>
      <c r="GM14" s="42"/>
      <c r="GN14" s="42"/>
      <c r="GO14" s="42"/>
      <c r="GP14" s="42"/>
      <c r="GQ14" s="42"/>
      <c r="GR14" s="42"/>
      <c r="GS14" s="42"/>
      <c r="GT14" s="42"/>
      <c r="GU14" s="42"/>
      <c r="GV14" s="42"/>
      <c r="GW14" s="42"/>
      <c r="GX14" s="42"/>
      <c r="GY14" s="55"/>
      <c r="GZ14" s="55"/>
      <c r="HA14" s="55"/>
      <c r="HB14" s="55"/>
      <c r="HC14" s="55"/>
      <c r="HD14" s="55"/>
      <c r="HE14" s="55"/>
      <c r="HF14" s="55"/>
      <c r="HG14" s="55"/>
      <c r="HH14" s="55"/>
      <c r="HI14" s="55"/>
      <c r="HJ14" s="55"/>
      <c r="HK14" s="55"/>
      <c r="HL14" s="55"/>
      <c r="HM14" s="55"/>
      <c r="HN14" s="55"/>
      <c r="HO14" s="55"/>
      <c r="HP14" s="55"/>
      <c r="HQ14" s="55"/>
      <c r="HR14" s="55"/>
      <c r="HS14" s="55"/>
      <c r="HT14" s="55"/>
      <c r="HU14" s="55"/>
      <c r="HV14" s="55"/>
      <c r="HW14" s="55"/>
      <c r="HX14" s="55"/>
      <c r="HY14" s="55"/>
      <c r="HZ14" s="55"/>
      <c r="IA14" s="55"/>
      <c r="IB14" s="55"/>
      <c r="IC14" s="55"/>
      <c r="ID14" s="55"/>
      <c r="IE14" s="55"/>
      <c r="IF14" s="55"/>
      <c r="IG14" s="55"/>
      <c r="IH14" s="55"/>
      <c r="II14" s="55"/>
      <c r="IJ14" s="55"/>
      <c r="IK14" s="55"/>
      <c r="IL14" s="55"/>
      <c r="IM14" s="55"/>
      <c r="IN14" s="55"/>
      <c r="IO14" s="55"/>
      <c r="IP14" s="55"/>
      <c r="IQ14" s="55"/>
      <c r="IR14" s="55"/>
      <c r="IS14" s="55"/>
      <c r="IT14" s="55"/>
      <c r="IU14" s="55"/>
      <c r="IV14" s="55"/>
      <c r="IW14" s="55"/>
      <c r="IX14" s="55"/>
      <c r="IY14" s="55"/>
      <c r="IZ14" s="55"/>
      <c r="JA14" s="55"/>
      <c r="JB14" s="55"/>
      <c r="JC14" s="55"/>
      <c r="JD14" s="55"/>
      <c r="JE14" s="55"/>
      <c r="JF14" s="55"/>
      <c r="JG14" s="55"/>
      <c r="JH14" s="55"/>
      <c r="JI14" s="55"/>
      <c r="JJ14" s="55"/>
      <c r="JK14" s="55"/>
      <c r="JL14" s="55"/>
      <c r="JM14" s="55"/>
      <c r="JN14" s="55"/>
      <c r="JO14" s="55"/>
      <c r="JP14" s="55"/>
      <c r="JQ14" s="55"/>
      <c r="JR14" s="55"/>
      <c r="JS14" s="55"/>
      <c r="JT14" s="55"/>
      <c r="JU14" s="55"/>
      <c r="JV14" s="55"/>
      <c r="JW14" s="55"/>
      <c r="JX14" s="55"/>
      <c r="JY14" s="55"/>
      <c r="JZ14" s="55"/>
      <c r="KA14" s="55"/>
      <c r="KB14" s="55"/>
      <c r="KC14" s="55"/>
      <c r="KD14" s="55"/>
      <c r="KE14" s="55"/>
      <c r="KF14" s="55"/>
      <c r="KG14" s="55"/>
      <c r="KH14" s="55"/>
      <c r="KI14" s="55"/>
      <c r="KJ14" s="55"/>
      <c r="KK14" s="55"/>
      <c r="KL14" s="55"/>
      <c r="KM14" s="55"/>
      <c r="KN14" s="55"/>
      <c r="KO14" s="55"/>
      <c r="KP14" s="55"/>
      <c r="KQ14" s="55"/>
      <c r="KR14" s="55"/>
      <c r="KS14" s="55"/>
      <c r="KT14" s="55"/>
      <c r="KU14" s="55"/>
      <c r="KV14" s="55"/>
      <c r="KW14" s="55"/>
      <c r="KX14" s="55"/>
      <c r="KY14" s="55"/>
      <c r="KZ14" s="55"/>
      <c r="LA14" s="55"/>
      <c r="LB14" s="55"/>
      <c r="LC14" s="55"/>
      <c r="LD14" s="55"/>
      <c r="LE14" s="55"/>
      <c r="LF14" s="55"/>
      <c r="LG14" s="55"/>
      <c r="LH14" s="55"/>
      <c r="LI14" s="55"/>
      <c r="LJ14" s="55"/>
      <c r="LK14" s="55"/>
      <c r="LL14" s="55"/>
      <c r="LM14" s="55"/>
      <c r="LN14" s="55"/>
      <c r="LO14" s="55"/>
      <c r="LP14" s="55"/>
      <c r="LQ14" s="55"/>
      <c r="LR14" s="55"/>
      <c r="LS14" s="55"/>
      <c r="LT14" s="55"/>
      <c r="LU14" s="55"/>
      <c r="LV14" s="55"/>
      <c r="LW14" s="55"/>
      <c r="LX14" s="55"/>
      <c r="LY14" s="55"/>
      <c r="LZ14" s="55"/>
      <c r="MA14" s="55"/>
      <c r="MB14" s="55"/>
      <c r="MC14" s="55"/>
      <c r="MD14" s="55"/>
      <c r="ME14" s="55"/>
      <c r="MF14" s="55"/>
      <c r="MG14" s="55"/>
      <c r="MH14" s="55"/>
      <c r="MI14" s="55"/>
      <c r="MJ14" s="55"/>
      <c r="MK14" s="55"/>
      <c r="ML14" s="55"/>
      <c r="MM14" s="55"/>
      <c r="MN14" s="55"/>
      <c r="MO14" s="55"/>
      <c r="MP14" s="55"/>
      <c r="MQ14" s="55"/>
      <c r="MR14" s="55"/>
      <c r="MS14" s="55"/>
      <c r="MT14" s="55"/>
      <c r="MU14" s="55"/>
      <c r="MV14" s="55"/>
      <c r="MW14" s="55"/>
      <c r="MX14" s="55"/>
      <c r="MY14" s="55"/>
      <c r="MZ14" s="55"/>
      <c r="NA14" s="55"/>
      <c r="NB14" s="55"/>
      <c r="NC14" s="55"/>
      <c r="ND14" s="55"/>
      <c r="NE14" s="55"/>
      <c r="NF14" s="55"/>
      <c r="NG14" s="55"/>
      <c r="NH14" s="55"/>
      <c r="NI14" s="55"/>
      <c r="NJ14" s="55"/>
      <c r="NK14" s="55"/>
      <c r="NL14" s="55"/>
      <c r="NM14" s="55"/>
      <c r="NN14" s="55"/>
      <c r="NO14" s="55"/>
      <c r="NP14" s="55"/>
      <c r="NQ14" s="55"/>
      <c r="NR14" s="55"/>
      <c r="NS14" s="55"/>
      <c r="NT14" s="55"/>
      <c r="NU14" s="55"/>
      <c r="NV14" s="55"/>
      <c r="NW14" s="55"/>
      <c r="NX14" s="55"/>
      <c r="NY14" s="55"/>
      <c r="NZ14" s="55"/>
      <c r="OA14" s="55"/>
      <c r="OB14" s="55"/>
      <c r="OC14" s="55"/>
      <c r="OD14" s="55"/>
      <c r="OE14" s="55"/>
      <c r="OF14" s="55"/>
      <c r="OG14" s="55"/>
      <c r="OH14" s="55"/>
      <c r="OI14" s="55"/>
      <c r="OJ14" s="55"/>
      <c r="OK14" s="55"/>
      <c r="OL14" s="55"/>
      <c r="OM14" s="55"/>
      <c r="ON14" s="55"/>
      <c r="OO14" s="55"/>
      <c r="OP14" s="55"/>
      <c r="OQ14" s="55"/>
      <c r="OR14" s="55"/>
      <c r="OS14" s="55"/>
      <c r="OT14" s="55"/>
      <c r="OU14" s="55"/>
      <c r="OV14" s="55"/>
      <c r="OW14" s="55"/>
      <c r="OX14" s="55"/>
      <c r="OY14" s="55"/>
      <c r="OZ14" s="55"/>
      <c r="PA14" s="55"/>
      <c r="PB14" s="55"/>
      <c r="PC14" s="55"/>
      <c r="PD14" s="55"/>
      <c r="PE14" s="55"/>
      <c r="PF14" s="55"/>
      <c r="PG14" s="55"/>
      <c r="PH14" s="55"/>
      <c r="PI14" s="55"/>
      <c r="PJ14" s="55"/>
      <c r="PK14" s="55"/>
      <c r="PL14" s="55"/>
      <c r="PM14" s="55"/>
      <c r="PN14" s="55"/>
      <c r="PO14" s="55"/>
      <c r="PP14" s="55"/>
      <c r="PQ14" s="55"/>
      <c r="PR14" s="55"/>
      <c r="PS14" s="55"/>
      <c r="PT14" s="55"/>
      <c r="PU14" s="55"/>
      <c r="PV14" s="55"/>
      <c r="PW14" s="55"/>
      <c r="PX14" s="55"/>
      <c r="PY14" s="55"/>
      <c r="PZ14" s="55"/>
      <c r="QA14" s="55"/>
      <c r="QB14" s="55"/>
      <c r="QC14" s="55"/>
      <c r="QD14" s="55"/>
      <c r="QE14" s="55"/>
      <c r="QF14" s="55"/>
      <c r="QG14" s="55"/>
      <c r="QH14" s="55"/>
      <c r="QI14" s="55"/>
      <c r="QJ14" s="55"/>
      <c r="QK14" s="55"/>
      <c r="QL14" s="55"/>
      <c r="QM14" s="55"/>
      <c r="QN14" s="55"/>
      <c r="QO14" s="55"/>
      <c r="QP14" s="55"/>
      <c r="QQ14" s="55"/>
      <c r="QR14" s="55"/>
      <c r="QS14" s="55"/>
      <c r="QT14" s="55"/>
      <c r="QU14" s="55"/>
      <c r="QV14" s="55"/>
      <c r="QW14" s="55"/>
      <c r="QX14" s="55"/>
      <c r="QY14" s="55"/>
      <c r="QZ14" s="55"/>
      <c r="RA14" s="55"/>
      <c r="RB14" s="55"/>
      <c r="RC14" s="55"/>
      <c r="RD14" s="55"/>
      <c r="RE14" s="55"/>
      <c r="RF14" s="55"/>
      <c r="RG14" s="55"/>
      <c r="RH14" s="55"/>
      <c r="RI14" s="55"/>
      <c r="RJ14" s="55"/>
      <c r="RK14" s="55"/>
      <c r="RL14" s="55"/>
      <c r="RM14" s="55"/>
      <c r="RN14" s="55"/>
      <c r="RO14" s="55"/>
      <c r="RP14" s="55"/>
      <c r="RQ14" s="55"/>
      <c r="RR14" s="55"/>
      <c r="RS14" s="55"/>
      <c r="RT14" s="55"/>
      <c r="RU14" s="55"/>
      <c r="RV14" s="55"/>
      <c r="RW14" s="55"/>
      <c r="RX14" s="55"/>
      <c r="RY14" s="55"/>
      <c r="RZ14" s="55"/>
      <c r="SA14" s="55"/>
      <c r="SB14" s="55"/>
      <c r="SC14" s="55"/>
      <c r="SD14" s="55"/>
      <c r="SE14" s="55"/>
      <c r="SF14" s="55"/>
      <c r="SG14" s="55"/>
      <c r="SH14" s="55"/>
      <c r="SI14" s="55"/>
      <c r="SJ14" s="55"/>
      <c r="SK14" s="55"/>
      <c r="SL14" s="55"/>
      <c r="SM14" s="55"/>
      <c r="SN14" s="55"/>
      <c r="SO14" s="55"/>
      <c r="SP14" s="55"/>
      <c r="SQ14" s="55"/>
      <c r="SR14" s="55"/>
      <c r="SS14" s="55"/>
      <c r="ST14" s="55"/>
      <c r="SU14" s="55"/>
      <c r="SV14" s="55"/>
      <c r="SW14" s="55"/>
      <c r="SX14" s="55"/>
      <c r="SY14" s="55"/>
      <c r="SZ14" s="55"/>
      <c r="TA14" s="55"/>
      <c r="TB14" s="55"/>
      <c r="TC14" s="55"/>
      <c r="TD14" s="55"/>
      <c r="TE14" s="55"/>
      <c r="TF14" s="55"/>
      <c r="TG14" s="55"/>
      <c r="TH14" s="55"/>
      <c r="TI14" s="55"/>
      <c r="TJ14" s="55"/>
      <c r="TK14" s="55"/>
      <c r="TL14" s="55"/>
      <c r="TM14" s="55"/>
      <c r="TN14" s="55"/>
      <c r="TO14" s="55"/>
      <c r="TP14" s="55"/>
      <c r="TQ14" s="55"/>
      <c r="TR14" s="55"/>
      <c r="TS14" s="55"/>
      <c r="TT14" s="55"/>
      <c r="TU14" s="55"/>
      <c r="TV14" s="55"/>
      <c r="TW14" s="55"/>
      <c r="TX14" s="55"/>
      <c r="TY14" s="55"/>
      <c r="TZ14" s="55"/>
      <c r="UA14" s="55"/>
      <c r="UB14" s="55"/>
      <c r="UC14" s="55"/>
      <c r="UD14" s="55"/>
      <c r="UE14" s="55"/>
      <c r="UF14" s="55"/>
      <c r="UG14" s="55"/>
      <c r="UH14" s="55"/>
      <c r="UI14" s="55"/>
      <c r="UJ14" s="55"/>
      <c r="UK14" s="55"/>
      <c r="UL14" s="55"/>
      <c r="UM14" s="55"/>
      <c r="UN14" s="55"/>
      <c r="UO14" s="55"/>
      <c r="UP14" s="55"/>
      <c r="UQ14" s="55"/>
      <c r="UR14" s="55"/>
      <c r="US14" s="55"/>
      <c r="UT14" s="55"/>
      <c r="UU14" s="55"/>
      <c r="UV14" s="55"/>
      <c r="UW14" s="55"/>
      <c r="UX14" s="55"/>
      <c r="UY14" s="55"/>
      <c r="UZ14" s="55"/>
      <c r="VA14" s="55"/>
      <c r="VB14" s="55"/>
      <c r="VC14" s="55"/>
      <c r="VD14" s="55"/>
      <c r="VE14" s="55"/>
      <c r="VF14" s="55"/>
      <c r="VG14" s="55"/>
      <c r="VH14" s="55"/>
      <c r="VI14" s="55"/>
      <c r="VJ14" s="55"/>
      <c r="VK14" s="55"/>
      <c r="VL14" s="55"/>
      <c r="VM14" s="55"/>
      <c r="VN14" s="55"/>
      <c r="VO14" s="55"/>
      <c r="VP14" s="55"/>
      <c r="VQ14" s="55"/>
      <c r="VR14" s="55"/>
      <c r="VS14" s="55"/>
      <c r="VT14" s="55"/>
      <c r="VU14" s="55"/>
      <c r="VV14" s="55"/>
      <c r="VW14" s="55"/>
      <c r="VX14" s="55"/>
      <c r="VY14" s="55"/>
      <c r="VZ14" s="55"/>
      <c r="WA14" s="55"/>
      <c r="WB14" s="55"/>
      <c r="WC14" s="55"/>
      <c r="WD14" s="55"/>
      <c r="WE14" s="55"/>
      <c r="WF14" s="55"/>
      <c r="WG14" s="55"/>
      <c r="WH14" s="55"/>
      <c r="WI14" s="55"/>
      <c r="WJ14" s="55"/>
      <c r="WK14" s="55"/>
      <c r="WL14" s="55"/>
      <c r="WM14" s="55"/>
      <c r="WN14" s="55"/>
      <c r="WO14" s="55"/>
      <c r="WP14" s="55"/>
      <c r="WQ14" s="55"/>
      <c r="WR14" s="55"/>
      <c r="WS14" s="55"/>
      <c r="WT14" s="55"/>
      <c r="WU14" s="55"/>
      <c r="WV14" s="55"/>
      <c r="WW14" s="55"/>
      <c r="WX14" s="55"/>
      <c r="WY14" s="55"/>
      <c r="WZ14" s="55"/>
      <c r="XA14" s="55"/>
      <c r="XB14" s="55"/>
      <c r="XC14" s="55"/>
      <c r="XD14" s="55"/>
      <c r="XE14" s="55"/>
      <c r="XF14" s="55"/>
      <c r="XG14" s="55"/>
      <c r="XH14" s="55"/>
      <c r="XI14" s="55"/>
      <c r="XJ14" s="55"/>
      <c r="XK14" s="55"/>
      <c r="XL14" s="55"/>
      <c r="XM14" s="55"/>
      <c r="XN14" s="55"/>
      <c r="XO14" s="55"/>
      <c r="XP14" s="55"/>
      <c r="XQ14" s="55"/>
      <c r="XR14" s="55"/>
      <c r="XS14" s="55"/>
      <c r="XT14" s="55"/>
      <c r="XU14" s="55"/>
      <c r="XV14" s="55"/>
      <c r="XW14" s="55"/>
      <c r="XX14" s="55"/>
      <c r="XY14" s="55"/>
      <c r="XZ14" s="55"/>
      <c r="YA14" s="55"/>
      <c r="YB14" s="55"/>
      <c r="YC14" s="55"/>
      <c r="YD14" s="55"/>
      <c r="YE14" s="55"/>
      <c r="YF14" s="55"/>
      <c r="YG14" s="55"/>
      <c r="YH14" s="55"/>
      <c r="YI14" s="55"/>
      <c r="YJ14" s="55"/>
      <c r="YK14" s="55"/>
      <c r="YL14" s="55"/>
      <c r="YM14" s="55"/>
      <c r="YN14" s="55"/>
      <c r="YO14" s="55"/>
      <c r="YP14" s="55"/>
      <c r="YQ14" s="55"/>
      <c r="YR14" s="55"/>
      <c r="YS14" s="55"/>
      <c r="YT14" s="55"/>
      <c r="YU14" s="55"/>
      <c r="YV14" s="55"/>
      <c r="YW14" s="55"/>
      <c r="YX14" s="55"/>
      <c r="YY14" s="55"/>
      <c r="YZ14" s="55"/>
      <c r="ZA14" s="55"/>
      <c r="ZB14" s="55"/>
      <c r="ZC14" s="55"/>
      <c r="ZD14" s="55"/>
      <c r="ZE14" s="55"/>
      <c r="ZF14" s="55"/>
      <c r="ZG14" s="55"/>
      <c r="ZH14" s="55"/>
      <c r="ZI14" s="55"/>
      <c r="ZJ14" s="55"/>
      <c r="ZK14" s="55"/>
      <c r="ZL14" s="55"/>
      <c r="ZM14" s="55"/>
      <c r="ZN14" s="55"/>
      <c r="ZO14" s="55"/>
      <c r="ZP14" s="55"/>
      <c r="ZQ14" s="55"/>
      <c r="ZR14" s="55"/>
      <c r="ZS14" s="55"/>
      <c r="ZT14" s="55"/>
      <c r="ZU14" s="55"/>
      <c r="ZV14" s="55"/>
      <c r="ZW14" s="55"/>
      <c r="ZX14" s="55"/>
      <c r="ZY14" s="55"/>
      <c r="ZZ14" s="55"/>
      <c r="AAA14" s="55"/>
      <c r="AAB14" s="55"/>
      <c r="AAC14" s="55"/>
      <c r="AAD14" s="55"/>
      <c r="AAE14" s="55"/>
      <c r="AAF14" s="55"/>
      <c r="AAG14" s="55"/>
      <c r="AAH14" s="55"/>
      <c r="AAI14" s="55"/>
      <c r="AAJ14" s="55"/>
      <c r="AAK14" s="55"/>
      <c r="AAL14" s="55"/>
      <c r="AAM14" s="55"/>
      <c r="AAN14" s="55"/>
      <c r="AAO14" s="55"/>
      <c r="AAP14" s="55"/>
      <c r="AAQ14" s="55"/>
      <c r="AAR14" s="55"/>
      <c r="AAS14" s="55"/>
      <c r="AAT14" s="55"/>
      <c r="AAU14" s="55"/>
      <c r="AAV14" s="55"/>
      <c r="AAW14" s="55"/>
      <c r="AAX14" s="55"/>
      <c r="AAY14" s="55"/>
      <c r="AAZ14" s="55"/>
      <c r="ABA14" s="55"/>
      <c r="ABB14" s="55"/>
      <c r="ABC14" s="55"/>
      <c r="ABD14" s="55"/>
      <c r="ABE14" s="55"/>
      <c r="ABF14" s="55"/>
      <c r="ABG14" s="55"/>
      <c r="ABH14" s="55"/>
      <c r="ABI14" s="55"/>
      <c r="ABJ14" s="55"/>
      <c r="ABK14" s="55"/>
      <c r="ABL14" s="55"/>
      <c r="ABM14" s="55"/>
      <c r="ABN14" s="55"/>
      <c r="ABO14" s="55"/>
      <c r="ABP14" s="55"/>
      <c r="ABQ14" s="55"/>
      <c r="ABR14" s="55"/>
      <c r="ABS14" s="55"/>
      <c r="ABT14" s="55"/>
      <c r="ABU14" s="55"/>
      <c r="ABV14" s="55"/>
      <c r="ABW14" s="55"/>
      <c r="ABX14" s="55"/>
      <c r="ABY14" s="55"/>
      <c r="ABZ14" s="55"/>
      <c r="ACA14" s="55"/>
      <c r="ACB14" s="55"/>
      <c r="ACC14" s="55"/>
      <c r="ACD14" s="55"/>
      <c r="ACE14" s="55"/>
      <c r="ACF14" s="55"/>
      <c r="ACG14" s="55"/>
      <c r="ACH14" s="55"/>
      <c r="ACI14" s="55"/>
      <c r="ACJ14" s="55"/>
      <c r="ACK14" s="55"/>
      <c r="ACL14" s="55"/>
      <c r="ACM14" s="55"/>
      <c r="ACN14" s="55"/>
      <c r="ACO14" s="55"/>
      <c r="ACP14" s="55"/>
      <c r="ACQ14" s="55"/>
      <c r="ACR14" s="55"/>
      <c r="ACS14" s="55"/>
      <c r="ACT14" s="55"/>
      <c r="ACU14" s="55"/>
      <c r="ACV14" s="55"/>
      <c r="ACW14" s="55"/>
      <c r="ACX14" s="55"/>
      <c r="ACY14" s="55"/>
      <c r="ACZ14" s="55"/>
      <c r="ADA14" s="55"/>
      <c r="ADB14" s="55"/>
      <c r="ADC14" s="55"/>
      <c r="ADD14" s="55"/>
      <c r="ADE14" s="55"/>
      <c r="ADF14" s="55"/>
      <c r="ADG14" s="55"/>
      <c r="ADH14" s="55"/>
      <c r="ADI14" s="55"/>
      <c r="ADJ14" s="55"/>
      <c r="ADK14" s="55"/>
      <c r="ADL14" s="55"/>
      <c r="ADM14" s="55"/>
      <c r="ADN14" s="55"/>
      <c r="ADO14" s="55"/>
      <c r="ADP14" s="55"/>
      <c r="ADQ14" s="55"/>
      <c r="ADR14" s="55"/>
      <c r="ADS14" s="55"/>
      <c r="ADT14" s="55"/>
      <c r="ADU14" s="55"/>
      <c r="ADV14" s="55"/>
      <c r="ADW14" s="55"/>
      <c r="ADX14" s="55"/>
      <c r="ADY14" s="55"/>
      <c r="ADZ14" s="55"/>
      <c r="AEA14" s="55"/>
      <c r="AEB14" s="55"/>
      <c r="AEC14" s="55"/>
      <c r="AED14" s="55"/>
      <c r="AEE14" s="55"/>
      <c r="AEF14" s="55"/>
      <c r="AEG14" s="55"/>
      <c r="AEH14" s="55"/>
      <c r="AEI14" s="55"/>
      <c r="AEJ14" s="55"/>
      <c r="AEK14" s="55"/>
      <c r="AEL14" s="55"/>
      <c r="AEM14" s="55"/>
      <c r="AEN14" s="55"/>
      <c r="AEO14" s="55"/>
      <c r="AEP14" s="55"/>
      <c r="AEQ14" s="55"/>
      <c r="AER14" s="55"/>
      <c r="AES14" s="55"/>
      <c r="AET14" s="55"/>
      <c r="AEU14" s="55"/>
      <c r="AEV14" s="55"/>
      <c r="AEW14" s="55"/>
      <c r="AEX14" s="55"/>
      <c r="AEY14" s="55"/>
      <c r="AEZ14" s="55"/>
      <c r="AFA14" s="55"/>
      <c r="AFB14" s="55"/>
      <c r="AFC14" s="55"/>
      <c r="AFD14" s="55"/>
      <c r="AFE14" s="55"/>
      <c r="AFF14" s="55"/>
      <c r="AFG14" s="55"/>
      <c r="AFH14" s="55"/>
      <c r="AFI14" s="55"/>
      <c r="AFJ14" s="55"/>
      <c r="AFK14" s="55"/>
      <c r="AFL14" s="55"/>
      <c r="AFM14" s="55"/>
      <c r="AFN14" s="55"/>
      <c r="AFO14" s="55"/>
      <c r="AFP14" s="55"/>
      <c r="AFQ14" s="55"/>
      <c r="AFR14" s="55"/>
      <c r="AFS14" s="55"/>
      <c r="AFT14" s="55"/>
      <c r="AFU14" s="55"/>
      <c r="AFV14" s="55"/>
      <c r="AFW14" s="55"/>
      <c r="AFX14" s="55"/>
      <c r="AFY14" s="55"/>
      <c r="AFZ14" s="55"/>
      <c r="AGA14" s="55"/>
      <c r="AGB14" s="55"/>
      <c r="AGC14" s="55"/>
      <c r="AGD14" s="55"/>
      <c r="AGE14" s="55"/>
      <c r="AGF14" s="55"/>
      <c r="AGG14" s="55"/>
      <c r="AGH14" s="55"/>
      <c r="AGI14" s="55"/>
      <c r="AGJ14" s="55"/>
      <c r="AGK14" s="55"/>
      <c r="AGL14" s="55"/>
      <c r="AGM14" s="55"/>
      <c r="AGN14" s="55"/>
      <c r="AGO14" s="55"/>
      <c r="AGP14" s="55"/>
      <c r="AGQ14" s="55"/>
      <c r="AGR14" s="55"/>
      <c r="AGS14" s="55"/>
      <c r="AGT14" s="55"/>
      <c r="AGU14" s="55"/>
      <c r="AGV14" s="55"/>
      <c r="AGW14" s="55"/>
      <c r="AGX14" s="55"/>
      <c r="AGY14" s="55"/>
      <c r="AGZ14" s="55"/>
      <c r="AHA14" s="55"/>
      <c r="AHB14" s="55"/>
      <c r="AHC14" s="55"/>
      <c r="AHD14" s="55"/>
      <c r="AHE14" s="55"/>
      <c r="AHF14" s="55"/>
      <c r="AHG14" s="55"/>
      <c r="AHH14" s="55"/>
      <c r="AHI14" s="55"/>
      <c r="AHJ14" s="55"/>
      <c r="AHK14" s="55"/>
      <c r="AHL14" s="55"/>
      <c r="AHM14" s="55"/>
      <c r="AHN14" s="55"/>
      <c r="AHO14" s="55"/>
      <c r="AHP14" s="55"/>
      <c r="AHQ14" s="55"/>
      <c r="AHR14" s="55"/>
      <c r="AHS14" s="55"/>
      <c r="AHT14" s="55"/>
      <c r="AHU14" s="55"/>
      <c r="AHV14" s="55"/>
      <c r="AHW14" s="55"/>
      <c r="AHX14" s="55"/>
      <c r="AHY14" s="55"/>
      <c r="AHZ14" s="55"/>
      <c r="AIA14" s="55"/>
      <c r="AIB14" s="55"/>
      <c r="AIC14" s="55"/>
      <c r="AID14" s="55"/>
      <c r="AIE14" s="55"/>
      <c r="AIF14" s="55"/>
      <c r="AIG14" s="55"/>
      <c r="AIH14" s="55"/>
      <c r="AII14" s="55"/>
      <c r="AIJ14" s="55"/>
      <c r="AIK14" s="55"/>
      <c r="AIL14" s="55"/>
      <c r="AIM14" s="55"/>
      <c r="AIN14" s="55"/>
      <c r="AIO14" s="55"/>
      <c r="AIP14" s="55"/>
      <c r="AIQ14" s="55"/>
      <c r="AIR14" s="55"/>
      <c r="AIS14" s="55"/>
      <c r="AIT14" s="55"/>
      <c r="AIU14" s="55"/>
      <c r="AIV14" s="55"/>
      <c r="AIW14" s="55"/>
      <c r="AIX14" s="55"/>
      <c r="AIY14" s="55"/>
      <c r="AIZ14" s="55"/>
      <c r="AJA14" s="55"/>
      <c r="AJB14" s="55"/>
      <c r="AJC14" s="55"/>
      <c r="AJD14" s="55"/>
      <c r="AJE14" s="55"/>
      <c r="AJF14" s="55"/>
      <c r="AJG14" s="55"/>
      <c r="AJH14" s="55"/>
      <c r="AJI14" s="55"/>
      <c r="AJJ14" s="55"/>
      <c r="AJK14" s="55"/>
      <c r="AJL14" s="55"/>
      <c r="AJM14" s="55"/>
      <c r="AJN14" s="55"/>
      <c r="AJO14" s="55"/>
      <c r="AJP14" s="55"/>
      <c r="AJQ14" s="55"/>
      <c r="AJR14" s="55"/>
      <c r="AJS14" s="55"/>
      <c r="AJT14" s="55"/>
      <c r="AJU14" s="55"/>
      <c r="AJV14" s="55"/>
      <c r="AJW14" s="55"/>
      <c r="AJX14" s="55"/>
      <c r="AJY14" s="55"/>
      <c r="AJZ14" s="55"/>
      <c r="AKA14" s="55"/>
      <c r="AKB14" s="55"/>
      <c r="AKC14" s="55"/>
      <c r="AKD14" s="55"/>
      <c r="AKE14" s="55"/>
      <c r="AKF14" s="55"/>
      <c r="AKG14" s="55"/>
      <c r="AKH14" s="55"/>
      <c r="AKI14" s="55"/>
      <c r="AKJ14" s="55"/>
      <c r="AKK14" s="55"/>
      <c r="AKL14" s="55"/>
      <c r="AKM14" s="55"/>
      <c r="AKN14" s="55"/>
      <c r="AKO14" s="55"/>
      <c r="AKP14" s="55"/>
      <c r="AKQ14" s="55"/>
      <c r="AKR14" s="55"/>
      <c r="AKS14" s="55"/>
      <c r="AKT14" s="55"/>
      <c r="AKU14" s="55"/>
      <c r="AKV14" s="55"/>
      <c r="AKW14" s="55"/>
      <c r="AKX14" s="55"/>
      <c r="AKY14" s="55"/>
      <c r="AKZ14" s="55"/>
      <c r="ALA14" s="55"/>
      <c r="ALB14" s="55"/>
      <c r="ALC14" s="55"/>
      <c r="ALD14" s="55"/>
      <c r="ALE14" s="55"/>
      <c r="ALF14" s="55"/>
      <c r="ALG14" s="55"/>
      <c r="ALH14" s="55"/>
      <c r="ALI14" s="55"/>
      <c r="ALJ14" s="55"/>
      <c r="ALK14" s="55"/>
      <c r="ALL14" s="55"/>
      <c r="ALM14" s="55"/>
      <c r="ALN14" s="55"/>
      <c r="ALO14" s="55"/>
      <c r="ALP14" s="55"/>
      <c r="ALQ14" s="55"/>
      <c r="ALR14" s="55"/>
      <c r="ALS14" s="55"/>
      <c r="ALT14" s="55"/>
      <c r="ALU14" s="55"/>
      <c r="ALV14" s="55"/>
      <c r="ALW14" s="55"/>
      <c r="ALX14" s="55"/>
      <c r="ALY14" s="55"/>
      <c r="ALZ14" s="55"/>
      <c r="AMA14" s="55"/>
      <c r="AMB14" s="55"/>
      <c r="AMC14" s="55"/>
      <c r="AMD14" s="55"/>
      <c r="AME14" s="55"/>
      <c r="AMF14" s="55"/>
      <c r="AMG14" s="55"/>
      <c r="AMH14" s="55"/>
      <c r="AMI14" s="55"/>
      <c r="AMJ14" s="55"/>
      <c r="AMK14" s="55"/>
      <c r="AML14" s="55"/>
      <c r="AMM14" s="55"/>
      <c r="AMN14" s="55"/>
      <c r="AMO14" s="55"/>
      <c r="AMP14" s="55"/>
      <c r="AMQ14" s="55"/>
      <c r="AMR14" s="55"/>
      <c r="AMS14" s="55"/>
      <c r="AMT14" s="55"/>
      <c r="AMU14" s="55"/>
      <c r="AMV14" s="55"/>
      <c r="AMW14" s="55"/>
      <c r="AMX14" s="55"/>
      <c r="AMY14" s="55"/>
      <c r="AMZ14" s="55"/>
      <c r="ANA14" s="55"/>
      <c r="ANB14" s="55"/>
      <c r="ANC14" s="55"/>
      <c r="AND14" s="55"/>
      <c r="ANE14" s="55"/>
      <c r="ANF14" s="55"/>
      <c r="ANG14" s="55"/>
      <c r="ANH14" s="55"/>
      <c r="ANI14" s="55"/>
      <c r="ANJ14" s="55"/>
      <c r="ANK14" s="55"/>
      <c r="ANL14" s="55"/>
      <c r="ANM14" s="55"/>
      <c r="ANN14" s="55"/>
      <c r="ANO14" s="55"/>
      <c r="ANP14" s="55"/>
      <c r="ANQ14" s="55"/>
      <c r="ANR14" s="55"/>
      <c r="ANS14" s="55"/>
      <c r="ANT14" s="55"/>
      <c r="ANU14" s="55"/>
      <c r="ANV14" s="55"/>
      <c r="ANW14" s="55"/>
      <c r="ANX14" s="55"/>
      <c r="ANY14" s="55"/>
      <c r="ANZ14" s="55"/>
      <c r="AOA14" s="55"/>
      <c r="AOB14" s="55"/>
      <c r="AOC14" s="55"/>
      <c r="AOD14" s="55"/>
      <c r="AOE14" s="55"/>
      <c r="AOF14" s="55"/>
      <c r="AOG14" s="55"/>
      <c r="AOH14" s="55"/>
      <c r="AOI14" s="55"/>
      <c r="AOJ14" s="55"/>
      <c r="AOK14" s="55"/>
      <c r="AOL14" s="55"/>
      <c r="AOM14" s="55"/>
      <c r="AON14" s="55"/>
      <c r="AOO14" s="55"/>
      <c r="AOP14" s="55"/>
      <c r="AOQ14" s="55"/>
      <c r="AOR14" s="55"/>
      <c r="AOS14" s="55"/>
      <c r="AOT14" s="55"/>
      <c r="AOU14" s="55"/>
      <c r="AOV14" s="55"/>
      <c r="AOW14" s="55"/>
      <c r="AOX14" s="55"/>
      <c r="AOY14" s="55"/>
      <c r="AOZ14" s="55"/>
      <c r="APA14" s="55"/>
      <c r="APB14" s="55"/>
      <c r="APC14" s="55"/>
      <c r="APD14" s="55"/>
      <c r="APE14" s="55"/>
      <c r="APF14" s="55"/>
      <c r="APG14" s="55"/>
      <c r="APH14" s="55"/>
      <c r="API14" s="55"/>
      <c r="APJ14" s="55"/>
      <c r="APK14" s="55"/>
      <c r="APL14" s="55"/>
      <c r="APM14" s="55"/>
      <c r="APN14" s="55"/>
      <c r="APO14" s="55"/>
      <c r="APP14" s="55"/>
      <c r="APQ14" s="55"/>
      <c r="APR14" s="55"/>
      <c r="APS14" s="55"/>
      <c r="APT14" s="55"/>
      <c r="APU14" s="55"/>
      <c r="APV14" s="55"/>
      <c r="APW14" s="55"/>
      <c r="APX14" s="55"/>
      <c r="APY14" s="55"/>
      <c r="APZ14" s="55"/>
      <c r="AQA14" s="55"/>
      <c r="AQB14" s="55"/>
      <c r="AQC14" s="55"/>
      <c r="AQD14" s="55"/>
      <c r="AQE14" s="55"/>
      <c r="AQF14" s="55"/>
      <c r="AQG14" s="55"/>
      <c r="AQH14" s="55"/>
      <c r="AQI14" s="55"/>
      <c r="AQJ14" s="55"/>
      <c r="AQK14" s="55"/>
      <c r="AQL14" s="55"/>
      <c r="AQM14" s="55"/>
      <c r="AQN14" s="55"/>
      <c r="AQO14" s="55"/>
      <c r="AQP14" s="55"/>
      <c r="AQQ14" s="55"/>
      <c r="AQR14" s="55"/>
      <c r="AQS14" s="55"/>
      <c r="AQT14" s="55"/>
      <c r="AQU14" s="55"/>
      <c r="AQV14" s="55"/>
      <c r="AQW14" s="55"/>
      <c r="AQX14" s="55"/>
      <c r="AQY14" s="55"/>
      <c r="AQZ14" s="55"/>
      <c r="ARA14" s="55"/>
      <c r="ARB14" s="55"/>
      <c r="ARC14" s="55"/>
      <c r="ARD14" s="55"/>
      <c r="ARE14" s="55"/>
      <c r="ARF14" s="55"/>
      <c r="ARG14" s="55"/>
      <c r="ARH14" s="55"/>
      <c r="ARI14" s="55"/>
      <c r="ARJ14" s="55"/>
      <c r="ARK14" s="55"/>
      <c r="ARL14" s="55"/>
      <c r="ARM14" s="55"/>
      <c r="ARN14" s="55"/>
      <c r="ARO14" s="55"/>
      <c r="ARP14" s="55"/>
      <c r="ARQ14" s="55"/>
      <c r="ARR14" s="55"/>
      <c r="ARS14" s="55"/>
      <c r="ART14" s="55"/>
      <c r="ARU14" s="55"/>
      <c r="ARV14" s="55"/>
      <c r="ARW14" s="55"/>
      <c r="ARX14" s="55"/>
      <c r="ARY14" s="55"/>
      <c r="ARZ14" s="55"/>
      <c r="ASA14" s="55"/>
      <c r="ASB14" s="55"/>
      <c r="ASC14" s="55"/>
      <c r="ASD14" s="55"/>
      <c r="ASE14" s="55"/>
      <c r="ASF14" s="55"/>
      <c r="ASG14" s="55"/>
      <c r="ASH14" s="55"/>
      <c r="ASI14" s="55"/>
      <c r="ASJ14" s="55"/>
      <c r="ASK14" s="55"/>
      <c r="ASL14" s="55"/>
      <c r="ASM14" s="55"/>
      <c r="ASN14" s="55"/>
      <c r="ASO14" s="55"/>
      <c r="ASP14" s="55"/>
      <c r="ASQ14" s="55"/>
      <c r="ASR14" s="55"/>
      <c r="ASS14" s="55"/>
      <c r="AST14" s="55"/>
      <c r="ASU14" s="55"/>
      <c r="ASV14" s="55"/>
      <c r="ASW14" s="55"/>
      <c r="ASX14" s="55"/>
      <c r="ASY14" s="55"/>
      <c r="ASZ14" s="55"/>
      <c r="ATA14" s="55"/>
      <c r="ATB14" s="55"/>
      <c r="ATC14" s="55"/>
      <c r="ATD14" s="55"/>
      <c r="ATE14" s="55"/>
      <c r="ATF14" s="55"/>
      <c r="ATG14" s="55"/>
      <c r="ATH14" s="55"/>
      <c r="ATI14" s="55"/>
      <c r="ATJ14" s="55"/>
      <c r="ATK14" s="55"/>
      <c r="ATL14" s="55"/>
      <c r="ATM14" s="55"/>
      <c r="ATN14" s="55"/>
      <c r="ATO14" s="55"/>
      <c r="ATP14" s="55"/>
      <c r="ATQ14" s="55"/>
      <c r="ATR14" s="55"/>
      <c r="ATS14" s="55"/>
      <c r="ATT14" s="55"/>
      <c r="ATU14" s="55"/>
      <c r="ATV14" s="55"/>
      <c r="ATW14" s="55"/>
      <c r="ATX14" s="55"/>
      <c r="ATY14" s="55"/>
      <c r="ATZ14" s="55"/>
      <c r="AUA14" s="55"/>
      <c r="AUB14" s="55"/>
      <c r="AUC14" s="55"/>
      <c r="AUD14" s="55"/>
      <c r="AUE14" s="55"/>
      <c r="AUF14" s="55"/>
      <c r="AUG14" s="55"/>
      <c r="AUH14" s="55"/>
      <c r="AUI14" s="55"/>
      <c r="AUJ14" s="55"/>
      <c r="AUK14" s="55"/>
      <c r="AUL14" s="55"/>
      <c r="AUM14" s="55"/>
      <c r="AUN14" s="55"/>
      <c r="AUO14" s="55"/>
      <c r="AUP14" s="55"/>
      <c r="AUQ14" s="55"/>
      <c r="AUR14" s="55"/>
      <c r="AUS14" s="55"/>
      <c r="AUT14" s="55"/>
      <c r="AUU14" s="55"/>
      <c r="AUV14" s="55"/>
      <c r="AUW14" s="55"/>
      <c r="AUX14" s="55"/>
      <c r="AUY14" s="55"/>
      <c r="AUZ14" s="55"/>
      <c r="AVA14" s="55"/>
      <c r="AVB14" s="55"/>
      <c r="AVC14" s="55"/>
      <c r="AVD14" s="55"/>
      <c r="AVE14" s="55"/>
      <c r="AVF14" s="55"/>
      <c r="AVG14" s="55"/>
      <c r="AVH14" s="55"/>
      <c r="AVI14" s="55"/>
      <c r="AVJ14" s="55"/>
      <c r="AVK14" s="55"/>
      <c r="AVL14" s="55"/>
      <c r="AVM14" s="55"/>
      <c r="AVN14" s="55"/>
      <c r="AVO14" s="55"/>
      <c r="AVP14" s="55"/>
      <c r="AVQ14" s="55"/>
      <c r="AVR14" s="55"/>
      <c r="AVS14" s="55"/>
      <c r="AVT14" s="55"/>
      <c r="AVU14" s="55"/>
      <c r="AVV14" s="55"/>
      <c r="AVW14" s="55"/>
      <c r="AVX14" s="55"/>
      <c r="AVY14" s="55"/>
      <c r="AVZ14" s="55"/>
      <c r="AWA14" s="55"/>
      <c r="AWB14" s="55"/>
      <c r="AWC14" s="55"/>
      <c r="AWD14" s="55"/>
      <c r="AWE14" s="55"/>
      <c r="AWF14" s="55"/>
      <c r="AWG14" s="55"/>
      <c r="AWH14" s="55"/>
      <c r="AWI14" s="55"/>
      <c r="AWJ14" s="55"/>
      <c r="AWK14" s="55"/>
      <c r="AWL14" s="55"/>
      <c r="AWM14" s="55"/>
      <c r="AWN14" s="55"/>
      <c r="AWO14" s="55"/>
      <c r="AWP14" s="55"/>
      <c r="AWQ14" s="55"/>
      <c r="AWR14" s="55"/>
      <c r="AWS14" s="55"/>
      <c r="AWT14" s="55"/>
      <c r="AWU14" s="55"/>
      <c r="AWV14" s="55"/>
      <c r="AWW14" s="55"/>
      <c r="AWX14" s="55"/>
      <c r="AWY14" s="55"/>
      <c r="AWZ14" s="55"/>
      <c r="AXA14" s="55"/>
      <c r="AXB14" s="55"/>
      <c r="AXC14" s="55"/>
      <c r="AXD14" s="55"/>
      <c r="AXE14" s="55"/>
      <c r="AXF14" s="55"/>
      <c r="AXG14" s="55"/>
      <c r="AXH14" s="55"/>
      <c r="AXI14" s="55"/>
      <c r="AXJ14" s="55"/>
      <c r="AXK14" s="55"/>
      <c r="AXL14" s="55"/>
      <c r="AXM14" s="55"/>
      <c r="AXN14" s="55"/>
      <c r="AXO14" s="55"/>
      <c r="AXP14" s="55"/>
      <c r="AXQ14" s="55"/>
      <c r="AXR14" s="55"/>
      <c r="AXS14" s="55"/>
      <c r="AXT14" s="55"/>
      <c r="AXU14" s="55"/>
      <c r="AXV14" s="55"/>
      <c r="AXW14" s="55"/>
      <c r="AXX14" s="55"/>
      <c r="AXY14" s="55"/>
      <c r="AXZ14" s="55"/>
      <c r="AYA14" s="55"/>
      <c r="AYB14" s="55"/>
      <c r="AYC14" s="55"/>
      <c r="AYD14" s="55"/>
      <c r="AYE14" s="55"/>
      <c r="AYF14" s="55"/>
      <c r="AYG14" s="55"/>
      <c r="AYH14" s="55"/>
      <c r="AYI14" s="55"/>
      <c r="AYJ14" s="55"/>
      <c r="AYK14" s="55"/>
      <c r="AYL14" s="55"/>
      <c r="AYM14" s="55"/>
      <c r="AYN14" s="55"/>
      <c r="AYO14" s="55"/>
      <c r="AYP14" s="55"/>
      <c r="AYQ14" s="55"/>
      <c r="AYR14" s="55"/>
      <c r="AYS14" s="55"/>
      <c r="AYT14" s="55"/>
      <c r="AYU14" s="55"/>
      <c r="AYV14" s="55"/>
      <c r="AYW14" s="55"/>
      <c r="AYX14" s="55"/>
      <c r="AYY14" s="55"/>
      <c r="AYZ14" s="55"/>
      <c r="AZA14" s="55"/>
      <c r="AZB14" s="55"/>
      <c r="AZC14" s="55"/>
      <c r="AZD14" s="55"/>
      <c r="AZE14" s="55"/>
      <c r="AZF14" s="55"/>
      <c r="AZG14" s="55"/>
      <c r="AZH14" s="55"/>
      <c r="AZI14" s="55"/>
      <c r="AZJ14" s="55"/>
      <c r="AZK14" s="55"/>
      <c r="AZL14" s="55"/>
      <c r="AZM14" s="55"/>
      <c r="AZN14" s="55"/>
      <c r="AZO14" s="55"/>
      <c r="AZP14" s="55"/>
      <c r="AZQ14" s="55"/>
      <c r="AZR14" s="55"/>
      <c r="AZS14" s="55"/>
      <c r="AZT14" s="55"/>
      <c r="AZU14" s="55"/>
      <c r="AZV14" s="55"/>
      <c r="AZW14" s="55"/>
      <c r="AZX14" s="55"/>
      <c r="AZY14" s="55"/>
      <c r="AZZ14" s="55"/>
      <c r="BAA14" s="55"/>
      <c r="BAB14" s="55"/>
      <c r="BAC14" s="55"/>
      <c r="BAD14" s="55"/>
      <c r="BAE14" s="55"/>
      <c r="BAF14" s="55"/>
      <c r="BAG14" s="55"/>
      <c r="BAH14" s="55"/>
      <c r="BAI14" s="55"/>
      <c r="BAJ14" s="55"/>
      <c r="BAK14" s="55"/>
      <c r="BAL14" s="55"/>
      <c r="BAM14" s="55"/>
      <c r="BAN14" s="55"/>
      <c r="BAO14" s="55"/>
      <c r="BAP14" s="55"/>
      <c r="BAQ14" s="55"/>
      <c r="BAR14" s="55"/>
      <c r="BAS14" s="55"/>
      <c r="BAT14" s="55"/>
      <c r="BAU14" s="55"/>
      <c r="BAV14" s="55"/>
      <c r="BAW14" s="55"/>
      <c r="BAX14" s="55"/>
      <c r="BAY14" s="55"/>
      <c r="BAZ14" s="55"/>
      <c r="BBA14" s="55"/>
      <c r="BBB14" s="55"/>
      <c r="BBC14" s="55"/>
      <c r="BBD14" s="55"/>
      <c r="BBE14" s="55"/>
      <c r="BBF14" s="55"/>
      <c r="BBG14" s="55"/>
      <c r="BBH14" s="55"/>
      <c r="BBI14" s="55"/>
      <c r="BBJ14" s="55"/>
      <c r="BBK14" s="55"/>
      <c r="BBL14" s="55"/>
      <c r="BBM14" s="55"/>
      <c r="BBN14" s="55"/>
      <c r="BBO14" s="55"/>
      <c r="BBP14" s="55"/>
      <c r="BBQ14" s="55"/>
      <c r="BBR14" s="55"/>
      <c r="BBS14" s="55"/>
      <c r="BBT14" s="55"/>
      <c r="BBU14" s="55"/>
      <c r="BBV14" s="55"/>
      <c r="BBW14" s="55"/>
      <c r="BBX14" s="55"/>
      <c r="BBY14" s="55"/>
      <c r="BBZ14" s="55"/>
      <c r="BCA14" s="55"/>
      <c r="BCB14" s="55"/>
      <c r="BCC14" s="55"/>
      <c r="BCD14" s="55"/>
      <c r="BCE14" s="55"/>
      <c r="BCF14" s="55"/>
      <c r="BCG14" s="55"/>
      <c r="BCH14" s="55"/>
      <c r="BCI14" s="55"/>
      <c r="BCJ14" s="55"/>
      <c r="BCK14" s="55"/>
      <c r="BCL14" s="55"/>
      <c r="BCM14" s="55"/>
      <c r="BCN14" s="55"/>
      <c r="BCO14" s="55"/>
      <c r="BCP14" s="55"/>
      <c r="BCQ14" s="55"/>
      <c r="BCR14" s="55"/>
      <c r="BCS14" s="55"/>
      <c r="BCT14" s="55"/>
      <c r="BCU14" s="55"/>
      <c r="BCV14" s="55"/>
      <c r="BCW14" s="55"/>
      <c r="BCX14" s="55"/>
    </row>
    <row r="15" spans="1:1454" s="54" customFormat="1" x14ac:dyDescent="0.25">
      <c r="A15" s="92">
        <v>2</v>
      </c>
      <c r="B15" s="93" t="str">
        <f>线路!B12</f>
        <v>IP8</v>
      </c>
      <c r="C15" s="94">
        <f>线路!E12</f>
        <v>451245.36609999998</v>
      </c>
      <c r="D15" s="94">
        <f>线路!F12</f>
        <v>3047485.0145999999</v>
      </c>
      <c r="E15" s="95">
        <f>线路!G12</f>
        <v>6</v>
      </c>
      <c r="F15" s="95">
        <f>线路!H12</f>
        <v>66.338999999999999</v>
      </c>
      <c r="G15" s="96">
        <f>线路!L12</f>
        <v>807.49965984923062</v>
      </c>
      <c r="H15" s="96">
        <f>线路!M12</f>
        <v>810.97316176667221</v>
      </c>
      <c r="I15" s="96">
        <f>线路!N12</f>
        <v>814.44666368411379</v>
      </c>
      <c r="J15" s="115">
        <f t="shared" si="0"/>
        <v>6.9470038348831622</v>
      </c>
      <c r="K15" s="115">
        <f t="shared" si="13"/>
        <v>154.61048814209528</v>
      </c>
      <c r="L15" s="115">
        <f>IF(A15=1,断面设计!$D$7,IF(A15=2,断面设计!$D$8,IF(A15=3,断面设计!$D$9,IF(A15=4,断面设计!$D$10,IF(A15=5,断面设计!$D$11,IF(A15=6,断面设计!$D$12,IF(A15=7,断面设计!$D$13,IF(A15=8,断面设计!$D$14,IF(A15=9,断面设计!$D$15,IF(A15=10,断面设计!$D$16))))))))))</f>
        <v>1.5</v>
      </c>
      <c r="M15" s="115">
        <f t="shared" si="14"/>
        <v>1.2</v>
      </c>
      <c r="N15" s="116">
        <f t="shared" si="1"/>
        <v>1.4999999999999999E-2</v>
      </c>
      <c r="O15" s="115">
        <f>IF(A15=1,断面设计!$J$7,IF(A15=2,断面设计!$J$8,IF(A15=3,断面设计!$J$9,IF(A15=4,断面设计!$J$10,IF(A15=5,断面设计!$J$11,IF(A15=6,断面设计!$J$12,IF(A15=7,断面设计!$J$13,IF(A15=8,断面设计!$J$14,IF(A15=9,断面设计!$J$15,IF(A15=10,断面设计!$J$16))))))))))</f>
        <v>5000</v>
      </c>
      <c r="P15" s="117">
        <f>IF(A15=1,断面设计!$K$7,IF(A15=2,断面设计!$K$8,IF(A15=3,断面设计!$K$9,IF(A15=4,断面设计!$K$10,IF(A15=5,断面设计!$K$11,IF(A15=6,断面设计!$K$12,IF(A15=7,断面设计!$K$13,IF(A15=8,断面设计!$K$14,IF(A15=9,断面设计!$K$15,IF(A15=10,断面设计!$K$16))))))))))</f>
        <v>4.4993914540329225</v>
      </c>
      <c r="Q15" s="116">
        <f>IF(A15=1,断面设计!$C$7,IF(A15=2,断面设计!$C$8,IF(A15=3,断面设计!$C$9,IF(A15=4,断面设计!$C$10,IF(A15=5,断面设计!$C$11,IF(A15=6,断面设计!$C$12,IF(A15=7,断面设计!$C$13,IF(A15=8,断面设计!$C$14,IF(A15=9,断面设计!$C$15,IF(A15=10,断面设计!$C$16))))))))))</f>
        <v>1.58308906639964</v>
      </c>
      <c r="R15" s="115">
        <f>IF(A15=1,断面设计!$F$7,IF(A15=2,断面设计!$F$8,IF(A15=3,断面设计!$F$9,IF(A15=4,断面设计!$F$10,IF(A15=5,断面设计!$F$11,IF(A15=6,断面设计!$F$12,IF(A15=7,断面设计!$F$13,IF(A15=8,断面设计!$F$14,IF(A15=9,断面设计!$F$15,IF(A15=10,断面设计!$F$16))))))))))</f>
        <v>5.3820387901843603</v>
      </c>
      <c r="S15" s="115">
        <f>IF(A15=1,断面设计!$G$7,IF(A15=2,断面设计!$G$8,IF(A15=3,断面设计!$G$9,IF(A15=4,断面设计!$G$10,IF(A15=5,断面设计!$G$11,IF(A15=6,断面设计!$G$12,IF(A15=7,断面设计!$G$13,IF(A15=8,断面设计!$G$14,IF(A15=9,断面设计!$G$15,IF(A15=10,断面设计!$G$16))))))))))</f>
        <v>6.445728347111662</v>
      </c>
      <c r="T15" s="115">
        <f t="shared" si="15"/>
        <v>0.83497760072312976</v>
      </c>
      <c r="U15" s="115">
        <f t="shared" si="16"/>
        <v>0.8360013053489711</v>
      </c>
      <c r="V15" s="125"/>
      <c r="W15" s="116"/>
      <c r="X15" s="116"/>
      <c r="Y15" s="139">
        <v>0</v>
      </c>
      <c r="Z15" s="140">
        <f t="shared" si="26"/>
        <v>0</v>
      </c>
      <c r="AA15" s="115"/>
      <c r="AB15" s="139">
        <f t="shared" si="4"/>
        <v>1.58308906639964</v>
      </c>
      <c r="AC15" s="116">
        <f t="shared" si="5"/>
        <v>0</v>
      </c>
      <c r="AD15" s="116">
        <f t="shared" si="18"/>
        <v>2392.1575889378046</v>
      </c>
      <c r="AE15" s="141">
        <f t="shared" si="19"/>
        <v>0</v>
      </c>
      <c r="AF15" s="116" t="str">
        <f t="shared" si="6"/>
        <v xml:space="preserve"> </v>
      </c>
      <c r="AG15" s="116" t="str">
        <f>IF(AE15=0," ",AF15-断面设计!$C$7)</f>
        <v xml:space="preserve"> </v>
      </c>
      <c r="AH15" s="116">
        <f t="shared" si="7"/>
        <v>2392.1582836381881</v>
      </c>
      <c r="AI15" s="116">
        <f t="shared" si="8"/>
        <v>2390.5751945717884</v>
      </c>
      <c r="AJ15" s="116">
        <f t="shared" si="9"/>
        <v>2392.1568942374211</v>
      </c>
      <c r="AK15" s="116">
        <f t="shared" si="10"/>
        <v>2390.5738051710214</v>
      </c>
      <c r="AL15" s="116">
        <f t="shared" si="11"/>
        <v>2392.1575889378046</v>
      </c>
      <c r="AM15" s="116">
        <f t="shared" si="12"/>
        <v>2390.5744998714049</v>
      </c>
      <c r="AN15" s="92"/>
      <c r="AO15" s="92">
        <v>0</v>
      </c>
      <c r="AP15" s="161"/>
      <c r="AQ15" s="42"/>
      <c r="AR15" s="42"/>
      <c r="AS15" s="42"/>
      <c r="AT15" s="42"/>
      <c r="AU15" s="64" t="str">
        <f t="shared" si="20"/>
        <v>810.973161766672,2390.5744998714</v>
      </c>
      <c r="AV15" s="64" t="str">
        <f t="shared" si="21"/>
        <v>810.973161766672,2392.1575889378</v>
      </c>
      <c r="AW15" s="169" t="str">
        <f t="shared" si="22"/>
        <v xml:space="preserve">pl 810.973161766672,0 810.973161766672,76 </v>
      </c>
      <c r="AX15" s="161" t="str">
        <f t="shared" si="23"/>
        <v>-text 810.973161766672,48 3.5 90 2390.574</v>
      </c>
      <c r="AY15" s="161" t="str">
        <f t="shared" si="24"/>
        <v>-text 810.973161766672,62.5 3.5 90 2392.158</v>
      </c>
      <c r="AZ15" s="42" t="str">
        <f t="shared" si="25"/>
        <v>-text 810.973161766672,23.5 3.5 90 马分0+810.97</v>
      </c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  <c r="FI15" s="42"/>
      <c r="FJ15" s="42"/>
      <c r="FK15" s="42"/>
      <c r="FL15" s="42"/>
      <c r="FM15" s="42"/>
      <c r="FN15" s="42"/>
      <c r="FO15" s="42"/>
      <c r="FP15" s="42"/>
      <c r="FQ15" s="42"/>
      <c r="FR15" s="42"/>
      <c r="FS15" s="42"/>
      <c r="FT15" s="42"/>
      <c r="FU15" s="42"/>
      <c r="FV15" s="42"/>
      <c r="FW15" s="42"/>
      <c r="FX15" s="42"/>
      <c r="FY15" s="42"/>
      <c r="FZ15" s="42"/>
      <c r="GA15" s="42"/>
      <c r="GB15" s="42"/>
      <c r="GC15" s="42"/>
      <c r="GD15" s="42"/>
      <c r="GE15" s="42"/>
      <c r="GF15" s="42"/>
      <c r="GG15" s="42"/>
      <c r="GH15" s="42"/>
      <c r="GI15" s="42"/>
      <c r="GJ15" s="42"/>
      <c r="GK15" s="42"/>
      <c r="GL15" s="42"/>
      <c r="GM15" s="42"/>
      <c r="GN15" s="42"/>
      <c r="GO15" s="42"/>
      <c r="GP15" s="42"/>
      <c r="GQ15" s="42"/>
      <c r="GR15" s="42"/>
      <c r="GS15" s="42"/>
      <c r="GT15" s="42"/>
      <c r="GU15" s="42"/>
      <c r="GV15" s="42"/>
      <c r="GW15" s="42"/>
      <c r="GX15" s="42"/>
      <c r="GY15" s="55"/>
      <c r="GZ15" s="55"/>
      <c r="HA15" s="55"/>
      <c r="HB15" s="55"/>
      <c r="HC15" s="55"/>
      <c r="HD15" s="55"/>
      <c r="HE15" s="55"/>
      <c r="HF15" s="55"/>
      <c r="HG15" s="55"/>
      <c r="HH15" s="55"/>
      <c r="HI15" s="55"/>
      <c r="HJ15" s="55"/>
      <c r="HK15" s="55"/>
      <c r="HL15" s="55"/>
      <c r="HM15" s="55"/>
      <c r="HN15" s="55"/>
      <c r="HO15" s="55"/>
      <c r="HP15" s="55"/>
      <c r="HQ15" s="55"/>
      <c r="HR15" s="55"/>
      <c r="HS15" s="55"/>
      <c r="HT15" s="55"/>
      <c r="HU15" s="55"/>
      <c r="HV15" s="55"/>
      <c r="HW15" s="55"/>
      <c r="HX15" s="55"/>
      <c r="HY15" s="55"/>
      <c r="HZ15" s="55"/>
      <c r="IA15" s="55"/>
      <c r="IB15" s="55"/>
      <c r="IC15" s="55"/>
      <c r="ID15" s="55"/>
      <c r="IE15" s="55"/>
      <c r="IF15" s="55"/>
      <c r="IG15" s="55"/>
      <c r="IH15" s="55"/>
      <c r="II15" s="55"/>
      <c r="IJ15" s="55"/>
      <c r="IK15" s="55"/>
      <c r="IL15" s="55"/>
      <c r="IM15" s="55"/>
      <c r="IN15" s="55"/>
      <c r="IO15" s="55"/>
      <c r="IP15" s="55"/>
      <c r="IQ15" s="55"/>
      <c r="IR15" s="55"/>
      <c r="IS15" s="55"/>
      <c r="IT15" s="55"/>
      <c r="IU15" s="55"/>
      <c r="IV15" s="55"/>
      <c r="IW15" s="55"/>
      <c r="IX15" s="55"/>
      <c r="IY15" s="55"/>
      <c r="IZ15" s="55"/>
      <c r="JA15" s="55"/>
      <c r="JB15" s="55"/>
      <c r="JC15" s="55"/>
      <c r="JD15" s="55"/>
      <c r="JE15" s="55"/>
      <c r="JF15" s="55"/>
      <c r="JG15" s="55"/>
      <c r="JH15" s="55"/>
      <c r="JI15" s="55"/>
      <c r="JJ15" s="55"/>
      <c r="JK15" s="55"/>
      <c r="JL15" s="55"/>
      <c r="JM15" s="55"/>
      <c r="JN15" s="55"/>
      <c r="JO15" s="55"/>
      <c r="JP15" s="55"/>
      <c r="JQ15" s="55"/>
      <c r="JR15" s="55"/>
      <c r="JS15" s="55"/>
      <c r="JT15" s="55"/>
      <c r="JU15" s="55"/>
      <c r="JV15" s="55"/>
      <c r="JW15" s="55"/>
      <c r="JX15" s="55"/>
      <c r="JY15" s="55"/>
      <c r="JZ15" s="55"/>
      <c r="KA15" s="55"/>
      <c r="KB15" s="55"/>
      <c r="KC15" s="55"/>
      <c r="KD15" s="55"/>
      <c r="KE15" s="55"/>
      <c r="KF15" s="55"/>
      <c r="KG15" s="55"/>
      <c r="KH15" s="55"/>
      <c r="KI15" s="55"/>
      <c r="KJ15" s="55"/>
      <c r="KK15" s="55"/>
      <c r="KL15" s="55"/>
      <c r="KM15" s="55"/>
      <c r="KN15" s="55"/>
      <c r="KO15" s="55"/>
      <c r="KP15" s="55"/>
      <c r="KQ15" s="55"/>
      <c r="KR15" s="55"/>
      <c r="KS15" s="55"/>
      <c r="KT15" s="55"/>
      <c r="KU15" s="55"/>
      <c r="KV15" s="55"/>
      <c r="KW15" s="55"/>
      <c r="KX15" s="55"/>
      <c r="KY15" s="55"/>
      <c r="KZ15" s="55"/>
      <c r="LA15" s="55"/>
      <c r="LB15" s="55"/>
      <c r="LC15" s="55"/>
      <c r="LD15" s="55"/>
      <c r="LE15" s="55"/>
      <c r="LF15" s="55"/>
      <c r="LG15" s="55"/>
      <c r="LH15" s="55"/>
      <c r="LI15" s="55"/>
      <c r="LJ15" s="55"/>
      <c r="LK15" s="55"/>
      <c r="LL15" s="55"/>
      <c r="LM15" s="55"/>
      <c r="LN15" s="55"/>
      <c r="LO15" s="55"/>
      <c r="LP15" s="55"/>
      <c r="LQ15" s="55"/>
      <c r="LR15" s="55"/>
      <c r="LS15" s="55"/>
      <c r="LT15" s="55"/>
      <c r="LU15" s="55"/>
      <c r="LV15" s="55"/>
      <c r="LW15" s="55"/>
      <c r="LX15" s="55"/>
      <c r="LY15" s="55"/>
      <c r="LZ15" s="55"/>
      <c r="MA15" s="55"/>
      <c r="MB15" s="55"/>
      <c r="MC15" s="55"/>
      <c r="MD15" s="55"/>
      <c r="ME15" s="55"/>
      <c r="MF15" s="55"/>
      <c r="MG15" s="55"/>
      <c r="MH15" s="55"/>
      <c r="MI15" s="55"/>
      <c r="MJ15" s="55"/>
      <c r="MK15" s="55"/>
      <c r="ML15" s="55"/>
      <c r="MM15" s="55"/>
      <c r="MN15" s="55"/>
      <c r="MO15" s="55"/>
      <c r="MP15" s="55"/>
      <c r="MQ15" s="55"/>
      <c r="MR15" s="55"/>
      <c r="MS15" s="55"/>
      <c r="MT15" s="55"/>
      <c r="MU15" s="55"/>
      <c r="MV15" s="55"/>
      <c r="MW15" s="55"/>
      <c r="MX15" s="55"/>
      <c r="MY15" s="55"/>
      <c r="MZ15" s="55"/>
      <c r="NA15" s="55"/>
      <c r="NB15" s="55"/>
      <c r="NC15" s="55"/>
      <c r="ND15" s="55"/>
      <c r="NE15" s="55"/>
      <c r="NF15" s="55"/>
      <c r="NG15" s="55"/>
      <c r="NH15" s="55"/>
      <c r="NI15" s="55"/>
      <c r="NJ15" s="55"/>
      <c r="NK15" s="55"/>
      <c r="NL15" s="55"/>
      <c r="NM15" s="55"/>
      <c r="NN15" s="55"/>
      <c r="NO15" s="55"/>
      <c r="NP15" s="55"/>
      <c r="NQ15" s="55"/>
      <c r="NR15" s="55"/>
      <c r="NS15" s="55"/>
      <c r="NT15" s="55"/>
      <c r="NU15" s="55"/>
      <c r="NV15" s="55"/>
      <c r="NW15" s="55"/>
      <c r="NX15" s="55"/>
      <c r="NY15" s="55"/>
      <c r="NZ15" s="55"/>
      <c r="OA15" s="55"/>
      <c r="OB15" s="55"/>
      <c r="OC15" s="55"/>
      <c r="OD15" s="55"/>
      <c r="OE15" s="55"/>
      <c r="OF15" s="55"/>
      <c r="OG15" s="55"/>
      <c r="OH15" s="55"/>
      <c r="OI15" s="55"/>
      <c r="OJ15" s="55"/>
      <c r="OK15" s="55"/>
      <c r="OL15" s="55"/>
      <c r="OM15" s="55"/>
      <c r="ON15" s="55"/>
      <c r="OO15" s="55"/>
      <c r="OP15" s="55"/>
      <c r="OQ15" s="55"/>
      <c r="OR15" s="55"/>
      <c r="OS15" s="55"/>
      <c r="OT15" s="55"/>
      <c r="OU15" s="55"/>
      <c r="OV15" s="55"/>
      <c r="OW15" s="55"/>
      <c r="OX15" s="55"/>
      <c r="OY15" s="55"/>
      <c r="OZ15" s="55"/>
      <c r="PA15" s="55"/>
      <c r="PB15" s="55"/>
      <c r="PC15" s="55"/>
      <c r="PD15" s="55"/>
      <c r="PE15" s="55"/>
      <c r="PF15" s="55"/>
      <c r="PG15" s="55"/>
      <c r="PH15" s="55"/>
      <c r="PI15" s="55"/>
      <c r="PJ15" s="55"/>
      <c r="PK15" s="55"/>
      <c r="PL15" s="55"/>
      <c r="PM15" s="55"/>
      <c r="PN15" s="55"/>
      <c r="PO15" s="55"/>
      <c r="PP15" s="55"/>
      <c r="PQ15" s="55"/>
      <c r="PR15" s="55"/>
      <c r="PS15" s="55"/>
      <c r="PT15" s="55"/>
      <c r="PU15" s="55"/>
      <c r="PV15" s="55"/>
      <c r="PW15" s="55"/>
      <c r="PX15" s="55"/>
      <c r="PY15" s="55"/>
      <c r="PZ15" s="55"/>
      <c r="QA15" s="55"/>
      <c r="QB15" s="55"/>
      <c r="QC15" s="55"/>
      <c r="QD15" s="55"/>
      <c r="QE15" s="55"/>
      <c r="QF15" s="55"/>
      <c r="QG15" s="55"/>
      <c r="QH15" s="55"/>
      <c r="QI15" s="55"/>
      <c r="QJ15" s="55"/>
      <c r="QK15" s="55"/>
      <c r="QL15" s="55"/>
      <c r="QM15" s="55"/>
      <c r="QN15" s="55"/>
      <c r="QO15" s="55"/>
      <c r="QP15" s="55"/>
      <c r="QQ15" s="55"/>
      <c r="QR15" s="55"/>
      <c r="QS15" s="55"/>
      <c r="QT15" s="55"/>
      <c r="QU15" s="55"/>
      <c r="QV15" s="55"/>
      <c r="QW15" s="55"/>
      <c r="QX15" s="55"/>
      <c r="QY15" s="55"/>
      <c r="QZ15" s="55"/>
      <c r="RA15" s="55"/>
      <c r="RB15" s="55"/>
      <c r="RC15" s="55"/>
      <c r="RD15" s="55"/>
      <c r="RE15" s="55"/>
      <c r="RF15" s="55"/>
      <c r="RG15" s="55"/>
      <c r="RH15" s="55"/>
      <c r="RI15" s="55"/>
      <c r="RJ15" s="55"/>
      <c r="RK15" s="55"/>
      <c r="RL15" s="55"/>
      <c r="RM15" s="55"/>
      <c r="RN15" s="55"/>
      <c r="RO15" s="55"/>
      <c r="RP15" s="55"/>
      <c r="RQ15" s="55"/>
      <c r="RR15" s="55"/>
      <c r="RS15" s="55"/>
      <c r="RT15" s="55"/>
      <c r="RU15" s="55"/>
      <c r="RV15" s="55"/>
      <c r="RW15" s="55"/>
      <c r="RX15" s="55"/>
      <c r="RY15" s="55"/>
      <c r="RZ15" s="55"/>
      <c r="SA15" s="55"/>
      <c r="SB15" s="55"/>
      <c r="SC15" s="55"/>
      <c r="SD15" s="55"/>
      <c r="SE15" s="55"/>
      <c r="SF15" s="55"/>
      <c r="SG15" s="55"/>
      <c r="SH15" s="55"/>
      <c r="SI15" s="55"/>
      <c r="SJ15" s="55"/>
      <c r="SK15" s="55"/>
      <c r="SL15" s="55"/>
      <c r="SM15" s="55"/>
      <c r="SN15" s="55"/>
      <c r="SO15" s="55"/>
      <c r="SP15" s="55"/>
      <c r="SQ15" s="55"/>
      <c r="SR15" s="55"/>
      <c r="SS15" s="55"/>
      <c r="ST15" s="55"/>
      <c r="SU15" s="55"/>
      <c r="SV15" s="55"/>
      <c r="SW15" s="55"/>
      <c r="SX15" s="55"/>
      <c r="SY15" s="55"/>
      <c r="SZ15" s="55"/>
      <c r="TA15" s="55"/>
      <c r="TB15" s="55"/>
      <c r="TC15" s="55"/>
      <c r="TD15" s="55"/>
      <c r="TE15" s="55"/>
      <c r="TF15" s="55"/>
      <c r="TG15" s="55"/>
      <c r="TH15" s="55"/>
      <c r="TI15" s="55"/>
      <c r="TJ15" s="55"/>
      <c r="TK15" s="55"/>
      <c r="TL15" s="55"/>
      <c r="TM15" s="55"/>
      <c r="TN15" s="55"/>
      <c r="TO15" s="55"/>
      <c r="TP15" s="55"/>
      <c r="TQ15" s="55"/>
      <c r="TR15" s="55"/>
      <c r="TS15" s="55"/>
      <c r="TT15" s="55"/>
      <c r="TU15" s="55"/>
      <c r="TV15" s="55"/>
      <c r="TW15" s="55"/>
      <c r="TX15" s="55"/>
      <c r="TY15" s="55"/>
      <c r="TZ15" s="55"/>
      <c r="UA15" s="55"/>
      <c r="UB15" s="55"/>
      <c r="UC15" s="55"/>
      <c r="UD15" s="55"/>
      <c r="UE15" s="55"/>
      <c r="UF15" s="55"/>
      <c r="UG15" s="55"/>
      <c r="UH15" s="55"/>
      <c r="UI15" s="55"/>
      <c r="UJ15" s="55"/>
      <c r="UK15" s="55"/>
      <c r="UL15" s="55"/>
      <c r="UM15" s="55"/>
      <c r="UN15" s="55"/>
      <c r="UO15" s="55"/>
      <c r="UP15" s="55"/>
      <c r="UQ15" s="55"/>
      <c r="UR15" s="55"/>
      <c r="US15" s="55"/>
      <c r="UT15" s="55"/>
      <c r="UU15" s="55"/>
      <c r="UV15" s="55"/>
      <c r="UW15" s="55"/>
      <c r="UX15" s="55"/>
      <c r="UY15" s="55"/>
      <c r="UZ15" s="55"/>
      <c r="VA15" s="55"/>
      <c r="VB15" s="55"/>
      <c r="VC15" s="55"/>
      <c r="VD15" s="55"/>
      <c r="VE15" s="55"/>
      <c r="VF15" s="55"/>
      <c r="VG15" s="55"/>
      <c r="VH15" s="55"/>
      <c r="VI15" s="55"/>
      <c r="VJ15" s="55"/>
      <c r="VK15" s="55"/>
      <c r="VL15" s="55"/>
      <c r="VM15" s="55"/>
      <c r="VN15" s="55"/>
      <c r="VO15" s="55"/>
      <c r="VP15" s="55"/>
      <c r="VQ15" s="55"/>
      <c r="VR15" s="55"/>
      <c r="VS15" s="55"/>
      <c r="VT15" s="55"/>
      <c r="VU15" s="55"/>
      <c r="VV15" s="55"/>
      <c r="VW15" s="55"/>
      <c r="VX15" s="55"/>
      <c r="VY15" s="55"/>
      <c r="VZ15" s="55"/>
      <c r="WA15" s="55"/>
      <c r="WB15" s="55"/>
      <c r="WC15" s="55"/>
      <c r="WD15" s="55"/>
      <c r="WE15" s="55"/>
      <c r="WF15" s="55"/>
      <c r="WG15" s="55"/>
      <c r="WH15" s="55"/>
      <c r="WI15" s="55"/>
      <c r="WJ15" s="55"/>
      <c r="WK15" s="55"/>
      <c r="WL15" s="55"/>
      <c r="WM15" s="55"/>
      <c r="WN15" s="55"/>
      <c r="WO15" s="55"/>
      <c r="WP15" s="55"/>
      <c r="WQ15" s="55"/>
      <c r="WR15" s="55"/>
      <c r="WS15" s="55"/>
      <c r="WT15" s="55"/>
      <c r="WU15" s="55"/>
      <c r="WV15" s="55"/>
      <c r="WW15" s="55"/>
      <c r="WX15" s="55"/>
      <c r="WY15" s="55"/>
      <c r="WZ15" s="55"/>
      <c r="XA15" s="55"/>
      <c r="XB15" s="55"/>
      <c r="XC15" s="55"/>
      <c r="XD15" s="55"/>
      <c r="XE15" s="55"/>
      <c r="XF15" s="55"/>
      <c r="XG15" s="55"/>
      <c r="XH15" s="55"/>
      <c r="XI15" s="55"/>
      <c r="XJ15" s="55"/>
      <c r="XK15" s="55"/>
      <c r="XL15" s="55"/>
      <c r="XM15" s="55"/>
      <c r="XN15" s="55"/>
      <c r="XO15" s="55"/>
      <c r="XP15" s="55"/>
      <c r="XQ15" s="55"/>
      <c r="XR15" s="55"/>
      <c r="XS15" s="55"/>
      <c r="XT15" s="55"/>
      <c r="XU15" s="55"/>
      <c r="XV15" s="55"/>
      <c r="XW15" s="55"/>
      <c r="XX15" s="55"/>
      <c r="XY15" s="55"/>
      <c r="XZ15" s="55"/>
      <c r="YA15" s="55"/>
      <c r="YB15" s="55"/>
      <c r="YC15" s="55"/>
      <c r="YD15" s="55"/>
      <c r="YE15" s="55"/>
      <c r="YF15" s="55"/>
      <c r="YG15" s="55"/>
      <c r="YH15" s="55"/>
      <c r="YI15" s="55"/>
      <c r="YJ15" s="55"/>
      <c r="YK15" s="55"/>
      <c r="YL15" s="55"/>
      <c r="YM15" s="55"/>
      <c r="YN15" s="55"/>
      <c r="YO15" s="55"/>
      <c r="YP15" s="55"/>
      <c r="YQ15" s="55"/>
      <c r="YR15" s="55"/>
      <c r="YS15" s="55"/>
      <c r="YT15" s="55"/>
      <c r="YU15" s="55"/>
      <c r="YV15" s="55"/>
      <c r="YW15" s="55"/>
      <c r="YX15" s="55"/>
      <c r="YY15" s="55"/>
      <c r="YZ15" s="55"/>
      <c r="ZA15" s="55"/>
      <c r="ZB15" s="55"/>
      <c r="ZC15" s="55"/>
      <c r="ZD15" s="55"/>
      <c r="ZE15" s="55"/>
      <c r="ZF15" s="55"/>
      <c r="ZG15" s="55"/>
      <c r="ZH15" s="55"/>
      <c r="ZI15" s="55"/>
      <c r="ZJ15" s="55"/>
      <c r="ZK15" s="55"/>
      <c r="ZL15" s="55"/>
      <c r="ZM15" s="55"/>
      <c r="ZN15" s="55"/>
      <c r="ZO15" s="55"/>
      <c r="ZP15" s="55"/>
      <c r="ZQ15" s="55"/>
      <c r="ZR15" s="55"/>
      <c r="ZS15" s="55"/>
      <c r="ZT15" s="55"/>
      <c r="ZU15" s="55"/>
      <c r="ZV15" s="55"/>
      <c r="ZW15" s="55"/>
      <c r="ZX15" s="55"/>
      <c r="ZY15" s="55"/>
      <c r="ZZ15" s="55"/>
      <c r="AAA15" s="55"/>
      <c r="AAB15" s="55"/>
      <c r="AAC15" s="55"/>
      <c r="AAD15" s="55"/>
      <c r="AAE15" s="55"/>
      <c r="AAF15" s="55"/>
      <c r="AAG15" s="55"/>
      <c r="AAH15" s="55"/>
      <c r="AAI15" s="55"/>
      <c r="AAJ15" s="55"/>
      <c r="AAK15" s="55"/>
      <c r="AAL15" s="55"/>
      <c r="AAM15" s="55"/>
      <c r="AAN15" s="55"/>
      <c r="AAO15" s="55"/>
      <c r="AAP15" s="55"/>
      <c r="AAQ15" s="55"/>
      <c r="AAR15" s="55"/>
      <c r="AAS15" s="55"/>
      <c r="AAT15" s="55"/>
      <c r="AAU15" s="55"/>
      <c r="AAV15" s="55"/>
      <c r="AAW15" s="55"/>
      <c r="AAX15" s="55"/>
      <c r="AAY15" s="55"/>
      <c r="AAZ15" s="55"/>
      <c r="ABA15" s="55"/>
      <c r="ABB15" s="55"/>
      <c r="ABC15" s="55"/>
      <c r="ABD15" s="55"/>
      <c r="ABE15" s="55"/>
      <c r="ABF15" s="55"/>
      <c r="ABG15" s="55"/>
      <c r="ABH15" s="55"/>
      <c r="ABI15" s="55"/>
      <c r="ABJ15" s="55"/>
      <c r="ABK15" s="55"/>
      <c r="ABL15" s="55"/>
      <c r="ABM15" s="55"/>
      <c r="ABN15" s="55"/>
      <c r="ABO15" s="55"/>
      <c r="ABP15" s="55"/>
      <c r="ABQ15" s="55"/>
      <c r="ABR15" s="55"/>
      <c r="ABS15" s="55"/>
      <c r="ABT15" s="55"/>
      <c r="ABU15" s="55"/>
      <c r="ABV15" s="55"/>
      <c r="ABW15" s="55"/>
      <c r="ABX15" s="55"/>
      <c r="ABY15" s="55"/>
      <c r="ABZ15" s="55"/>
      <c r="ACA15" s="55"/>
      <c r="ACB15" s="55"/>
      <c r="ACC15" s="55"/>
      <c r="ACD15" s="55"/>
      <c r="ACE15" s="55"/>
      <c r="ACF15" s="55"/>
      <c r="ACG15" s="55"/>
      <c r="ACH15" s="55"/>
      <c r="ACI15" s="55"/>
      <c r="ACJ15" s="55"/>
      <c r="ACK15" s="55"/>
      <c r="ACL15" s="55"/>
      <c r="ACM15" s="55"/>
      <c r="ACN15" s="55"/>
      <c r="ACO15" s="55"/>
      <c r="ACP15" s="55"/>
      <c r="ACQ15" s="55"/>
      <c r="ACR15" s="55"/>
      <c r="ACS15" s="55"/>
      <c r="ACT15" s="55"/>
      <c r="ACU15" s="55"/>
      <c r="ACV15" s="55"/>
      <c r="ACW15" s="55"/>
      <c r="ACX15" s="55"/>
      <c r="ACY15" s="55"/>
      <c r="ACZ15" s="55"/>
      <c r="ADA15" s="55"/>
      <c r="ADB15" s="55"/>
      <c r="ADC15" s="55"/>
      <c r="ADD15" s="55"/>
      <c r="ADE15" s="55"/>
      <c r="ADF15" s="55"/>
      <c r="ADG15" s="55"/>
      <c r="ADH15" s="55"/>
      <c r="ADI15" s="55"/>
      <c r="ADJ15" s="55"/>
      <c r="ADK15" s="55"/>
      <c r="ADL15" s="55"/>
      <c r="ADM15" s="55"/>
      <c r="ADN15" s="55"/>
      <c r="ADO15" s="55"/>
      <c r="ADP15" s="55"/>
      <c r="ADQ15" s="55"/>
      <c r="ADR15" s="55"/>
      <c r="ADS15" s="55"/>
      <c r="ADT15" s="55"/>
      <c r="ADU15" s="55"/>
      <c r="ADV15" s="55"/>
      <c r="ADW15" s="55"/>
      <c r="ADX15" s="55"/>
      <c r="ADY15" s="55"/>
      <c r="ADZ15" s="55"/>
      <c r="AEA15" s="55"/>
      <c r="AEB15" s="55"/>
      <c r="AEC15" s="55"/>
      <c r="AED15" s="55"/>
      <c r="AEE15" s="55"/>
      <c r="AEF15" s="55"/>
      <c r="AEG15" s="55"/>
      <c r="AEH15" s="55"/>
      <c r="AEI15" s="55"/>
      <c r="AEJ15" s="55"/>
      <c r="AEK15" s="55"/>
      <c r="AEL15" s="55"/>
      <c r="AEM15" s="55"/>
      <c r="AEN15" s="55"/>
      <c r="AEO15" s="55"/>
      <c r="AEP15" s="55"/>
      <c r="AEQ15" s="55"/>
      <c r="AER15" s="55"/>
      <c r="AES15" s="55"/>
      <c r="AET15" s="55"/>
      <c r="AEU15" s="55"/>
      <c r="AEV15" s="55"/>
      <c r="AEW15" s="55"/>
      <c r="AEX15" s="55"/>
      <c r="AEY15" s="55"/>
      <c r="AEZ15" s="55"/>
      <c r="AFA15" s="55"/>
      <c r="AFB15" s="55"/>
      <c r="AFC15" s="55"/>
      <c r="AFD15" s="55"/>
      <c r="AFE15" s="55"/>
      <c r="AFF15" s="55"/>
      <c r="AFG15" s="55"/>
      <c r="AFH15" s="55"/>
      <c r="AFI15" s="55"/>
      <c r="AFJ15" s="55"/>
      <c r="AFK15" s="55"/>
      <c r="AFL15" s="55"/>
      <c r="AFM15" s="55"/>
      <c r="AFN15" s="55"/>
      <c r="AFO15" s="55"/>
      <c r="AFP15" s="55"/>
      <c r="AFQ15" s="55"/>
      <c r="AFR15" s="55"/>
      <c r="AFS15" s="55"/>
      <c r="AFT15" s="55"/>
      <c r="AFU15" s="55"/>
      <c r="AFV15" s="55"/>
      <c r="AFW15" s="55"/>
      <c r="AFX15" s="55"/>
      <c r="AFY15" s="55"/>
      <c r="AFZ15" s="55"/>
      <c r="AGA15" s="55"/>
      <c r="AGB15" s="55"/>
      <c r="AGC15" s="55"/>
      <c r="AGD15" s="55"/>
      <c r="AGE15" s="55"/>
      <c r="AGF15" s="55"/>
      <c r="AGG15" s="55"/>
      <c r="AGH15" s="55"/>
      <c r="AGI15" s="55"/>
      <c r="AGJ15" s="55"/>
      <c r="AGK15" s="55"/>
      <c r="AGL15" s="55"/>
      <c r="AGM15" s="55"/>
      <c r="AGN15" s="55"/>
      <c r="AGO15" s="55"/>
      <c r="AGP15" s="55"/>
      <c r="AGQ15" s="55"/>
      <c r="AGR15" s="55"/>
      <c r="AGS15" s="55"/>
      <c r="AGT15" s="55"/>
      <c r="AGU15" s="55"/>
      <c r="AGV15" s="55"/>
      <c r="AGW15" s="55"/>
      <c r="AGX15" s="55"/>
      <c r="AGY15" s="55"/>
      <c r="AGZ15" s="55"/>
      <c r="AHA15" s="55"/>
      <c r="AHB15" s="55"/>
      <c r="AHC15" s="55"/>
      <c r="AHD15" s="55"/>
      <c r="AHE15" s="55"/>
      <c r="AHF15" s="55"/>
      <c r="AHG15" s="55"/>
      <c r="AHH15" s="55"/>
      <c r="AHI15" s="55"/>
      <c r="AHJ15" s="55"/>
      <c r="AHK15" s="55"/>
      <c r="AHL15" s="55"/>
      <c r="AHM15" s="55"/>
      <c r="AHN15" s="55"/>
      <c r="AHO15" s="55"/>
      <c r="AHP15" s="55"/>
      <c r="AHQ15" s="55"/>
      <c r="AHR15" s="55"/>
      <c r="AHS15" s="55"/>
      <c r="AHT15" s="55"/>
      <c r="AHU15" s="55"/>
      <c r="AHV15" s="55"/>
      <c r="AHW15" s="55"/>
      <c r="AHX15" s="55"/>
      <c r="AHY15" s="55"/>
      <c r="AHZ15" s="55"/>
      <c r="AIA15" s="55"/>
      <c r="AIB15" s="55"/>
      <c r="AIC15" s="55"/>
      <c r="AID15" s="55"/>
      <c r="AIE15" s="55"/>
      <c r="AIF15" s="55"/>
      <c r="AIG15" s="55"/>
      <c r="AIH15" s="55"/>
      <c r="AII15" s="55"/>
      <c r="AIJ15" s="55"/>
      <c r="AIK15" s="55"/>
      <c r="AIL15" s="55"/>
      <c r="AIM15" s="55"/>
      <c r="AIN15" s="55"/>
      <c r="AIO15" s="55"/>
      <c r="AIP15" s="55"/>
      <c r="AIQ15" s="55"/>
      <c r="AIR15" s="55"/>
      <c r="AIS15" s="55"/>
      <c r="AIT15" s="55"/>
      <c r="AIU15" s="55"/>
      <c r="AIV15" s="55"/>
      <c r="AIW15" s="55"/>
      <c r="AIX15" s="55"/>
      <c r="AIY15" s="55"/>
      <c r="AIZ15" s="55"/>
      <c r="AJA15" s="55"/>
      <c r="AJB15" s="55"/>
      <c r="AJC15" s="55"/>
      <c r="AJD15" s="55"/>
      <c r="AJE15" s="55"/>
      <c r="AJF15" s="55"/>
      <c r="AJG15" s="55"/>
      <c r="AJH15" s="55"/>
      <c r="AJI15" s="55"/>
      <c r="AJJ15" s="55"/>
      <c r="AJK15" s="55"/>
      <c r="AJL15" s="55"/>
      <c r="AJM15" s="55"/>
      <c r="AJN15" s="55"/>
      <c r="AJO15" s="55"/>
      <c r="AJP15" s="55"/>
      <c r="AJQ15" s="55"/>
      <c r="AJR15" s="55"/>
      <c r="AJS15" s="55"/>
      <c r="AJT15" s="55"/>
      <c r="AJU15" s="55"/>
      <c r="AJV15" s="55"/>
      <c r="AJW15" s="55"/>
      <c r="AJX15" s="55"/>
      <c r="AJY15" s="55"/>
      <c r="AJZ15" s="55"/>
      <c r="AKA15" s="55"/>
      <c r="AKB15" s="55"/>
      <c r="AKC15" s="55"/>
      <c r="AKD15" s="55"/>
      <c r="AKE15" s="55"/>
      <c r="AKF15" s="55"/>
      <c r="AKG15" s="55"/>
      <c r="AKH15" s="55"/>
      <c r="AKI15" s="55"/>
      <c r="AKJ15" s="55"/>
      <c r="AKK15" s="55"/>
      <c r="AKL15" s="55"/>
      <c r="AKM15" s="55"/>
      <c r="AKN15" s="55"/>
      <c r="AKO15" s="55"/>
      <c r="AKP15" s="55"/>
      <c r="AKQ15" s="55"/>
      <c r="AKR15" s="55"/>
      <c r="AKS15" s="55"/>
      <c r="AKT15" s="55"/>
      <c r="AKU15" s="55"/>
      <c r="AKV15" s="55"/>
      <c r="AKW15" s="55"/>
      <c r="AKX15" s="55"/>
      <c r="AKY15" s="55"/>
      <c r="AKZ15" s="55"/>
      <c r="ALA15" s="55"/>
      <c r="ALB15" s="55"/>
      <c r="ALC15" s="55"/>
      <c r="ALD15" s="55"/>
      <c r="ALE15" s="55"/>
      <c r="ALF15" s="55"/>
      <c r="ALG15" s="55"/>
      <c r="ALH15" s="55"/>
      <c r="ALI15" s="55"/>
      <c r="ALJ15" s="55"/>
      <c r="ALK15" s="55"/>
      <c r="ALL15" s="55"/>
      <c r="ALM15" s="55"/>
      <c r="ALN15" s="55"/>
      <c r="ALO15" s="55"/>
      <c r="ALP15" s="55"/>
      <c r="ALQ15" s="55"/>
      <c r="ALR15" s="55"/>
      <c r="ALS15" s="55"/>
      <c r="ALT15" s="55"/>
      <c r="ALU15" s="55"/>
      <c r="ALV15" s="55"/>
      <c r="ALW15" s="55"/>
      <c r="ALX15" s="55"/>
      <c r="ALY15" s="55"/>
      <c r="ALZ15" s="55"/>
      <c r="AMA15" s="55"/>
      <c r="AMB15" s="55"/>
      <c r="AMC15" s="55"/>
      <c r="AMD15" s="55"/>
      <c r="AME15" s="55"/>
      <c r="AMF15" s="55"/>
      <c r="AMG15" s="55"/>
      <c r="AMH15" s="55"/>
      <c r="AMI15" s="55"/>
      <c r="AMJ15" s="55"/>
      <c r="AMK15" s="55"/>
      <c r="AML15" s="55"/>
      <c r="AMM15" s="55"/>
      <c r="AMN15" s="55"/>
      <c r="AMO15" s="55"/>
      <c r="AMP15" s="55"/>
      <c r="AMQ15" s="55"/>
      <c r="AMR15" s="55"/>
      <c r="AMS15" s="55"/>
      <c r="AMT15" s="55"/>
      <c r="AMU15" s="55"/>
      <c r="AMV15" s="55"/>
      <c r="AMW15" s="55"/>
      <c r="AMX15" s="55"/>
      <c r="AMY15" s="55"/>
      <c r="AMZ15" s="55"/>
      <c r="ANA15" s="55"/>
      <c r="ANB15" s="55"/>
      <c r="ANC15" s="55"/>
      <c r="AND15" s="55"/>
      <c r="ANE15" s="55"/>
      <c r="ANF15" s="55"/>
      <c r="ANG15" s="55"/>
      <c r="ANH15" s="55"/>
      <c r="ANI15" s="55"/>
      <c r="ANJ15" s="55"/>
      <c r="ANK15" s="55"/>
      <c r="ANL15" s="55"/>
      <c r="ANM15" s="55"/>
      <c r="ANN15" s="55"/>
      <c r="ANO15" s="55"/>
      <c r="ANP15" s="55"/>
      <c r="ANQ15" s="55"/>
      <c r="ANR15" s="55"/>
      <c r="ANS15" s="55"/>
      <c r="ANT15" s="55"/>
      <c r="ANU15" s="55"/>
      <c r="ANV15" s="55"/>
      <c r="ANW15" s="55"/>
      <c r="ANX15" s="55"/>
      <c r="ANY15" s="55"/>
      <c r="ANZ15" s="55"/>
      <c r="AOA15" s="55"/>
      <c r="AOB15" s="55"/>
      <c r="AOC15" s="55"/>
      <c r="AOD15" s="55"/>
      <c r="AOE15" s="55"/>
      <c r="AOF15" s="55"/>
      <c r="AOG15" s="55"/>
      <c r="AOH15" s="55"/>
      <c r="AOI15" s="55"/>
      <c r="AOJ15" s="55"/>
      <c r="AOK15" s="55"/>
      <c r="AOL15" s="55"/>
      <c r="AOM15" s="55"/>
      <c r="AON15" s="55"/>
      <c r="AOO15" s="55"/>
      <c r="AOP15" s="55"/>
      <c r="AOQ15" s="55"/>
      <c r="AOR15" s="55"/>
      <c r="AOS15" s="55"/>
      <c r="AOT15" s="55"/>
      <c r="AOU15" s="55"/>
      <c r="AOV15" s="55"/>
      <c r="AOW15" s="55"/>
      <c r="AOX15" s="55"/>
      <c r="AOY15" s="55"/>
      <c r="AOZ15" s="55"/>
      <c r="APA15" s="55"/>
      <c r="APB15" s="55"/>
      <c r="APC15" s="55"/>
      <c r="APD15" s="55"/>
      <c r="APE15" s="55"/>
      <c r="APF15" s="55"/>
      <c r="APG15" s="55"/>
      <c r="APH15" s="55"/>
      <c r="API15" s="55"/>
      <c r="APJ15" s="55"/>
      <c r="APK15" s="55"/>
      <c r="APL15" s="55"/>
      <c r="APM15" s="55"/>
      <c r="APN15" s="55"/>
      <c r="APO15" s="55"/>
      <c r="APP15" s="55"/>
      <c r="APQ15" s="55"/>
      <c r="APR15" s="55"/>
      <c r="APS15" s="55"/>
      <c r="APT15" s="55"/>
      <c r="APU15" s="55"/>
      <c r="APV15" s="55"/>
      <c r="APW15" s="55"/>
      <c r="APX15" s="55"/>
      <c r="APY15" s="55"/>
      <c r="APZ15" s="55"/>
      <c r="AQA15" s="55"/>
      <c r="AQB15" s="55"/>
      <c r="AQC15" s="55"/>
      <c r="AQD15" s="55"/>
      <c r="AQE15" s="55"/>
      <c r="AQF15" s="55"/>
      <c r="AQG15" s="55"/>
      <c r="AQH15" s="55"/>
      <c r="AQI15" s="55"/>
      <c r="AQJ15" s="55"/>
      <c r="AQK15" s="55"/>
      <c r="AQL15" s="55"/>
      <c r="AQM15" s="55"/>
      <c r="AQN15" s="55"/>
      <c r="AQO15" s="55"/>
      <c r="AQP15" s="55"/>
      <c r="AQQ15" s="55"/>
      <c r="AQR15" s="55"/>
      <c r="AQS15" s="55"/>
      <c r="AQT15" s="55"/>
      <c r="AQU15" s="55"/>
      <c r="AQV15" s="55"/>
      <c r="AQW15" s="55"/>
      <c r="AQX15" s="55"/>
      <c r="AQY15" s="55"/>
      <c r="AQZ15" s="55"/>
      <c r="ARA15" s="55"/>
      <c r="ARB15" s="55"/>
      <c r="ARC15" s="55"/>
      <c r="ARD15" s="55"/>
      <c r="ARE15" s="55"/>
      <c r="ARF15" s="55"/>
      <c r="ARG15" s="55"/>
      <c r="ARH15" s="55"/>
      <c r="ARI15" s="55"/>
      <c r="ARJ15" s="55"/>
      <c r="ARK15" s="55"/>
      <c r="ARL15" s="55"/>
      <c r="ARM15" s="55"/>
      <c r="ARN15" s="55"/>
      <c r="ARO15" s="55"/>
      <c r="ARP15" s="55"/>
      <c r="ARQ15" s="55"/>
      <c r="ARR15" s="55"/>
      <c r="ARS15" s="55"/>
      <c r="ART15" s="55"/>
      <c r="ARU15" s="55"/>
      <c r="ARV15" s="55"/>
      <c r="ARW15" s="55"/>
      <c r="ARX15" s="55"/>
      <c r="ARY15" s="55"/>
      <c r="ARZ15" s="55"/>
      <c r="ASA15" s="55"/>
      <c r="ASB15" s="55"/>
      <c r="ASC15" s="55"/>
      <c r="ASD15" s="55"/>
      <c r="ASE15" s="55"/>
      <c r="ASF15" s="55"/>
      <c r="ASG15" s="55"/>
      <c r="ASH15" s="55"/>
      <c r="ASI15" s="55"/>
      <c r="ASJ15" s="55"/>
      <c r="ASK15" s="55"/>
      <c r="ASL15" s="55"/>
      <c r="ASM15" s="55"/>
      <c r="ASN15" s="55"/>
      <c r="ASO15" s="55"/>
      <c r="ASP15" s="55"/>
      <c r="ASQ15" s="55"/>
      <c r="ASR15" s="55"/>
      <c r="ASS15" s="55"/>
      <c r="AST15" s="55"/>
      <c r="ASU15" s="55"/>
      <c r="ASV15" s="55"/>
      <c r="ASW15" s="55"/>
      <c r="ASX15" s="55"/>
      <c r="ASY15" s="55"/>
      <c r="ASZ15" s="55"/>
      <c r="ATA15" s="55"/>
      <c r="ATB15" s="55"/>
      <c r="ATC15" s="55"/>
      <c r="ATD15" s="55"/>
      <c r="ATE15" s="55"/>
      <c r="ATF15" s="55"/>
      <c r="ATG15" s="55"/>
      <c r="ATH15" s="55"/>
      <c r="ATI15" s="55"/>
      <c r="ATJ15" s="55"/>
      <c r="ATK15" s="55"/>
      <c r="ATL15" s="55"/>
      <c r="ATM15" s="55"/>
      <c r="ATN15" s="55"/>
      <c r="ATO15" s="55"/>
      <c r="ATP15" s="55"/>
      <c r="ATQ15" s="55"/>
      <c r="ATR15" s="55"/>
      <c r="ATS15" s="55"/>
      <c r="ATT15" s="55"/>
      <c r="ATU15" s="55"/>
      <c r="ATV15" s="55"/>
      <c r="ATW15" s="55"/>
      <c r="ATX15" s="55"/>
      <c r="ATY15" s="55"/>
      <c r="ATZ15" s="55"/>
      <c r="AUA15" s="55"/>
      <c r="AUB15" s="55"/>
      <c r="AUC15" s="55"/>
      <c r="AUD15" s="55"/>
      <c r="AUE15" s="55"/>
      <c r="AUF15" s="55"/>
      <c r="AUG15" s="55"/>
      <c r="AUH15" s="55"/>
      <c r="AUI15" s="55"/>
      <c r="AUJ15" s="55"/>
      <c r="AUK15" s="55"/>
      <c r="AUL15" s="55"/>
      <c r="AUM15" s="55"/>
      <c r="AUN15" s="55"/>
      <c r="AUO15" s="55"/>
      <c r="AUP15" s="55"/>
      <c r="AUQ15" s="55"/>
      <c r="AUR15" s="55"/>
      <c r="AUS15" s="55"/>
      <c r="AUT15" s="55"/>
      <c r="AUU15" s="55"/>
      <c r="AUV15" s="55"/>
      <c r="AUW15" s="55"/>
      <c r="AUX15" s="55"/>
      <c r="AUY15" s="55"/>
      <c r="AUZ15" s="55"/>
      <c r="AVA15" s="55"/>
      <c r="AVB15" s="55"/>
      <c r="AVC15" s="55"/>
      <c r="AVD15" s="55"/>
      <c r="AVE15" s="55"/>
      <c r="AVF15" s="55"/>
      <c r="AVG15" s="55"/>
      <c r="AVH15" s="55"/>
      <c r="AVI15" s="55"/>
      <c r="AVJ15" s="55"/>
      <c r="AVK15" s="55"/>
      <c r="AVL15" s="55"/>
      <c r="AVM15" s="55"/>
      <c r="AVN15" s="55"/>
      <c r="AVO15" s="55"/>
      <c r="AVP15" s="55"/>
      <c r="AVQ15" s="55"/>
      <c r="AVR15" s="55"/>
      <c r="AVS15" s="55"/>
      <c r="AVT15" s="55"/>
      <c r="AVU15" s="55"/>
      <c r="AVV15" s="55"/>
      <c r="AVW15" s="55"/>
      <c r="AVX15" s="55"/>
      <c r="AVY15" s="55"/>
      <c r="AVZ15" s="55"/>
      <c r="AWA15" s="55"/>
      <c r="AWB15" s="55"/>
      <c r="AWC15" s="55"/>
      <c r="AWD15" s="55"/>
      <c r="AWE15" s="55"/>
      <c r="AWF15" s="55"/>
      <c r="AWG15" s="55"/>
      <c r="AWH15" s="55"/>
      <c r="AWI15" s="55"/>
      <c r="AWJ15" s="55"/>
      <c r="AWK15" s="55"/>
      <c r="AWL15" s="55"/>
      <c r="AWM15" s="55"/>
      <c r="AWN15" s="55"/>
      <c r="AWO15" s="55"/>
      <c r="AWP15" s="55"/>
      <c r="AWQ15" s="55"/>
      <c r="AWR15" s="55"/>
      <c r="AWS15" s="55"/>
      <c r="AWT15" s="55"/>
      <c r="AWU15" s="55"/>
      <c r="AWV15" s="55"/>
      <c r="AWW15" s="55"/>
      <c r="AWX15" s="55"/>
      <c r="AWY15" s="55"/>
      <c r="AWZ15" s="55"/>
      <c r="AXA15" s="55"/>
      <c r="AXB15" s="55"/>
      <c r="AXC15" s="55"/>
      <c r="AXD15" s="55"/>
      <c r="AXE15" s="55"/>
      <c r="AXF15" s="55"/>
      <c r="AXG15" s="55"/>
      <c r="AXH15" s="55"/>
      <c r="AXI15" s="55"/>
      <c r="AXJ15" s="55"/>
      <c r="AXK15" s="55"/>
      <c r="AXL15" s="55"/>
      <c r="AXM15" s="55"/>
      <c r="AXN15" s="55"/>
      <c r="AXO15" s="55"/>
      <c r="AXP15" s="55"/>
      <c r="AXQ15" s="55"/>
      <c r="AXR15" s="55"/>
      <c r="AXS15" s="55"/>
      <c r="AXT15" s="55"/>
      <c r="AXU15" s="55"/>
      <c r="AXV15" s="55"/>
      <c r="AXW15" s="55"/>
      <c r="AXX15" s="55"/>
      <c r="AXY15" s="55"/>
      <c r="AXZ15" s="55"/>
      <c r="AYA15" s="55"/>
      <c r="AYB15" s="55"/>
      <c r="AYC15" s="55"/>
      <c r="AYD15" s="55"/>
      <c r="AYE15" s="55"/>
      <c r="AYF15" s="55"/>
      <c r="AYG15" s="55"/>
      <c r="AYH15" s="55"/>
      <c r="AYI15" s="55"/>
      <c r="AYJ15" s="55"/>
      <c r="AYK15" s="55"/>
      <c r="AYL15" s="55"/>
      <c r="AYM15" s="55"/>
      <c r="AYN15" s="55"/>
      <c r="AYO15" s="55"/>
      <c r="AYP15" s="55"/>
      <c r="AYQ15" s="55"/>
      <c r="AYR15" s="55"/>
      <c r="AYS15" s="55"/>
      <c r="AYT15" s="55"/>
      <c r="AYU15" s="55"/>
      <c r="AYV15" s="55"/>
      <c r="AYW15" s="55"/>
      <c r="AYX15" s="55"/>
      <c r="AYY15" s="55"/>
      <c r="AYZ15" s="55"/>
      <c r="AZA15" s="55"/>
      <c r="AZB15" s="55"/>
      <c r="AZC15" s="55"/>
      <c r="AZD15" s="55"/>
      <c r="AZE15" s="55"/>
      <c r="AZF15" s="55"/>
      <c r="AZG15" s="55"/>
      <c r="AZH15" s="55"/>
      <c r="AZI15" s="55"/>
      <c r="AZJ15" s="55"/>
      <c r="AZK15" s="55"/>
      <c r="AZL15" s="55"/>
      <c r="AZM15" s="55"/>
      <c r="AZN15" s="55"/>
      <c r="AZO15" s="55"/>
      <c r="AZP15" s="55"/>
      <c r="AZQ15" s="55"/>
      <c r="AZR15" s="55"/>
      <c r="AZS15" s="55"/>
      <c r="AZT15" s="55"/>
      <c r="AZU15" s="55"/>
      <c r="AZV15" s="55"/>
      <c r="AZW15" s="55"/>
      <c r="AZX15" s="55"/>
      <c r="AZY15" s="55"/>
      <c r="AZZ15" s="55"/>
      <c r="BAA15" s="55"/>
      <c r="BAB15" s="55"/>
      <c r="BAC15" s="55"/>
      <c r="BAD15" s="55"/>
      <c r="BAE15" s="55"/>
      <c r="BAF15" s="55"/>
      <c r="BAG15" s="55"/>
      <c r="BAH15" s="55"/>
      <c r="BAI15" s="55"/>
      <c r="BAJ15" s="55"/>
      <c r="BAK15" s="55"/>
      <c r="BAL15" s="55"/>
      <c r="BAM15" s="55"/>
      <c r="BAN15" s="55"/>
      <c r="BAO15" s="55"/>
      <c r="BAP15" s="55"/>
      <c r="BAQ15" s="55"/>
      <c r="BAR15" s="55"/>
      <c r="BAS15" s="55"/>
      <c r="BAT15" s="55"/>
      <c r="BAU15" s="55"/>
      <c r="BAV15" s="55"/>
      <c r="BAW15" s="55"/>
      <c r="BAX15" s="55"/>
      <c r="BAY15" s="55"/>
      <c r="BAZ15" s="55"/>
      <c r="BBA15" s="55"/>
      <c r="BBB15" s="55"/>
      <c r="BBC15" s="55"/>
      <c r="BBD15" s="55"/>
      <c r="BBE15" s="55"/>
      <c r="BBF15" s="55"/>
      <c r="BBG15" s="55"/>
      <c r="BBH15" s="55"/>
      <c r="BBI15" s="55"/>
      <c r="BBJ15" s="55"/>
      <c r="BBK15" s="55"/>
      <c r="BBL15" s="55"/>
      <c r="BBM15" s="55"/>
      <c r="BBN15" s="55"/>
      <c r="BBO15" s="55"/>
      <c r="BBP15" s="55"/>
      <c r="BBQ15" s="55"/>
      <c r="BBR15" s="55"/>
      <c r="BBS15" s="55"/>
      <c r="BBT15" s="55"/>
      <c r="BBU15" s="55"/>
      <c r="BBV15" s="55"/>
      <c r="BBW15" s="55"/>
      <c r="BBX15" s="55"/>
      <c r="BBY15" s="55"/>
      <c r="BBZ15" s="55"/>
      <c r="BCA15" s="55"/>
      <c r="BCB15" s="55"/>
      <c r="BCC15" s="55"/>
      <c r="BCD15" s="55"/>
      <c r="BCE15" s="55"/>
      <c r="BCF15" s="55"/>
      <c r="BCG15" s="55"/>
      <c r="BCH15" s="55"/>
      <c r="BCI15" s="55"/>
      <c r="BCJ15" s="55"/>
      <c r="BCK15" s="55"/>
      <c r="BCL15" s="55"/>
      <c r="BCM15" s="55"/>
      <c r="BCN15" s="55"/>
      <c r="BCO15" s="55"/>
      <c r="BCP15" s="55"/>
      <c r="BCQ15" s="55"/>
      <c r="BCR15" s="55"/>
      <c r="BCS15" s="55"/>
      <c r="BCT15" s="55"/>
      <c r="BCU15" s="55"/>
      <c r="BCV15" s="55"/>
      <c r="BCW15" s="55"/>
      <c r="BCX15" s="55"/>
    </row>
    <row r="16" spans="1:1454" s="54" customFormat="1" x14ac:dyDescent="0.25">
      <c r="A16" s="92">
        <v>2</v>
      </c>
      <c r="B16" s="93" t="str">
        <f>线路!B13</f>
        <v>1#倒虹吸出</v>
      </c>
      <c r="C16" s="94">
        <f>线路!E13</f>
        <v>451279.00719999999</v>
      </c>
      <c r="D16" s="94">
        <f>线路!F13</f>
        <v>3047478.1165</v>
      </c>
      <c r="E16" s="95">
        <f>线路!G13</f>
        <v>0</v>
      </c>
      <c r="F16" s="95">
        <f>线路!H13</f>
        <v>0</v>
      </c>
      <c r="G16" s="96">
        <f>线路!L13</f>
        <v>844.86597907407281</v>
      </c>
      <c r="H16" s="96">
        <f>线路!M13</f>
        <v>844.86597907407281</v>
      </c>
      <c r="I16" s="96">
        <f>线路!N13</f>
        <v>844.86597907407281</v>
      </c>
      <c r="J16" s="115">
        <f t="shared" si="0"/>
        <v>0</v>
      </c>
      <c r="K16" s="115">
        <f t="shared" si="13"/>
        <v>33.892817307400605</v>
      </c>
      <c r="L16" s="115">
        <f>IF(A16=1,断面设计!$D$7,IF(A16=2,断面设计!$D$8,IF(A16=3,断面设计!$D$9,IF(A16=4,断面设计!$D$10,IF(A16=5,断面设计!$D$11,IF(A16=6,断面设计!$D$12,IF(A16=7,断面设计!$D$13,IF(A16=8,断面设计!$D$14,IF(A16=9,断面设计!$D$15,IF(A16=10,断面设计!$D$16))))))))))</f>
        <v>1.5</v>
      </c>
      <c r="M16" s="115">
        <f t="shared" si="14"/>
        <v>1.2</v>
      </c>
      <c r="N16" s="116">
        <f t="shared" si="1"/>
        <v>1.4999999999999999E-2</v>
      </c>
      <c r="O16" s="115">
        <f>IF(A16=1,断面设计!$J$7,IF(A16=2,断面设计!$J$8,IF(A16=3,断面设计!$J$9,IF(A16=4,断面设计!$J$10,IF(A16=5,断面设计!$J$11,IF(A16=6,断面设计!$J$12,IF(A16=7,断面设计!$J$13,IF(A16=8,断面设计!$J$14,IF(A16=9,断面设计!$J$15,IF(A16=10,断面设计!$J$16))))))))))</f>
        <v>5000</v>
      </c>
      <c r="P16" s="117">
        <f>IF(A16=1,断面设计!$K$7,IF(A16=2,断面设计!$K$8,IF(A16=3,断面设计!$K$9,IF(A16=4,断面设计!$K$10,IF(A16=5,断面设计!$K$11,IF(A16=6,断面设计!$K$12,IF(A16=7,断面设计!$K$13,IF(A16=8,断面设计!$K$14,IF(A16=9,断面设计!$K$15,IF(A16=10,断面设计!$K$16))))))))))</f>
        <v>4.4993914540329225</v>
      </c>
      <c r="Q16" s="116">
        <f>IF(A16=1,断面设计!$C$7,IF(A16=2,断面设计!$C$8,IF(A16=3,断面设计!$C$9,IF(A16=4,断面设计!$C$10,IF(A16=5,断面设计!$C$11,IF(A16=6,断面设计!$C$12,IF(A16=7,断面设计!$C$13,IF(A16=8,断面设计!$C$14,IF(A16=9,断面设计!$C$15,IF(A16=10,断面设计!$C$16))))))))))</f>
        <v>1.58308906639964</v>
      </c>
      <c r="R16" s="115">
        <f>IF(A16=1,断面设计!$F$7,IF(A16=2,断面设计!$F$8,IF(A16=3,断面设计!$F$9,IF(A16=4,断面设计!$F$10,IF(A16=5,断面设计!$F$11,IF(A16=6,断面设计!$F$12,IF(A16=7,断面设计!$F$13,IF(A16=8,断面设计!$F$14,IF(A16=9,断面设计!$F$15,IF(A16=10,断面设计!$F$16))))))))))</f>
        <v>5.3820387901843603</v>
      </c>
      <c r="S16" s="115">
        <f>IF(A16=1,断面设计!$G$7,IF(A16=2,断面设计!$G$8,IF(A16=3,断面设计!$G$9,IF(A16=4,断面设计!$G$10,IF(A16=5,断面设计!$G$11,IF(A16=6,断面设计!$G$12,IF(A16=7,断面设计!$G$13,IF(A16=8,断面设计!$G$14,IF(A16=9,断面设计!$G$15,IF(A16=10,断面设计!$G$16))))))))))</f>
        <v>6.445728347111662</v>
      </c>
      <c r="T16" s="115">
        <f t="shared" si="15"/>
        <v>0.83497760072312976</v>
      </c>
      <c r="U16" s="115">
        <f t="shared" si="16"/>
        <v>0.8360013053489711</v>
      </c>
      <c r="V16" s="125"/>
      <c r="W16" s="116"/>
      <c r="X16" s="116">
        <f ca="1">倒虹管水头损失计算!D62</f>
        <v>0.49407221994887363</v>
      </c>
      <c r="Y16" s="139">
        <v>0</v>
      </c>
      <c r="Z16" s="140">
        <f t="shared" si="26"/>
        <v>0</v>
      </c>
      <c r="AA16" s="115"/>
      <c r="AB16" s="139">
        <f t="shared" si="4"/>
        <v>1.58308906639964</v>
      </c>
      <c r="AC16" s="116">
        <f t="shared" ca="1" si="5"/>
        <v>0.49407221994887363</v>
      </c>
      <c r="AD16" s="116">
        <f t="shared" ca="1" si="18"/>
        <v>2391.6635167178556</v>
      </c>
      <c r="AE16" s="141">
        <f t="shared" si="19"/>
        <v>0</v>
      </c>
      <c r="AF16" s="116" t="str">
        <f t="shared" si="6"/>
        <v xml:space="preserve"> </v>
      </c>
      <c r="AG16" s="116" t="str">
        <f>IF(AE16=0," ",AF16-断面设计!$C$7)</f>
        <v xml:space="preserve"> </v>
      </c>
      <c r="AH16" s="116" t="str">
        <f t="shared" si="7"/>
        <v xml:space="preserve"> </v>
      </c>
      <c r="AI16" s="116" t="str">
        <f t="shared" si="8"/>
        <v xml:space="preserve"> </v>
      </c>
      <c r="AJ16" s="116" t="str">
        <f t="shared" si="9"/>
        <v xml:space="preserve"> </v>
      </c>
      <c r="AK16" s="116" t="str">
        <f t="shared" si="10"/>
        <v xml:space="preserve"> </v>
      </c>
      <c r="AL16" s="116">
        <f t="shared" ca="1" si="11"/>
        <v>2391.6635167178556</v>
      </c>
      <c r="AM16" s="116">
        <f t="shared" ca="1" si="12"/>
        <v>2390.0804276514559</v>
      </c>
      <c r="AN16" s="92"/>
      <c r="AO16" s="92">
        <v>0</v>
      </c>
      <c r="AP16" s="161"/>
      <c r="AQ16" s="42"/>
      <c r="AR16" s="42"/>
      <c r="AS16" s="42"/>
      <c r="AT16" s="42"/>
      <c r="AU16" s="64" t="str">
        <f t="shared" ca="1" si="20"/>
        <v>844.865979074073,2390.08042765146</v>
      </c>
      <c r="AV16" s="64" t="str">
        <f t="shared" ca="1" si="21"/>
        <v>844.865979074073,2391.66351671786</v>
      </c>
      <c r="AW16" s="169" t="str">
        <f t="shared" si="22"/>
        <v xml:space="preserve">pl 844.865979074073,0 844.865979074073,76 </v>
      </c>
      <c r="AX16" s="161" t="str">
        <f t="shared" ca="1" si="23"/>
        <v>-text 844.865979074073,48 3.5 90 2390.080</v>
      </c>
      <c r="AY16" s="161" t="str">
        <f t="shared" ca="1" si="24"/>
        <v>-text 844.865979074073,62.5 3.5 90 2391.664</v>
      </c>
      <c r="AZ16" s="42" t="str">
        <f t="shared" si="25"/>
        <v>-text 844.865979074073,23.5 3.5 90 马分0+844.87</v>
      </c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  <c r="FI16" s="42"/>
      <c r="FJ16" s="42"/>
      <c r="FK16" s="42"/>
      <c r="FL16" s="42"/>
      <c r="FM16" s="42"/>
      <c r="FN16" s="42"/>
      <c r="FO16" s="42"/>
      <c r="FP16" s="42"/>
      <c r="FQ16" s="42"/>
      <c r="FR16" s="42"/>
      <c r="FS16" s="42"/>
      <c r="FT16" s="42"/>
      <c r="FU16" s="42"/>
      <c r="FV16" s="42"/>
      <c r="FW16" s="42"/>
      <c r="FX16" s="42"/>
      <c r="FY16" s="42"/>
      <c r="FZ16" s="42"/>
      <c r="GA16" s="42"/>
      <c r="GB16" s="42"/>
      <c r="GC16" s="42"/>
      <c r="GD16" s="42"/>
      <c r="GE16" s="42"/>
      <c r="GF16" s="42"/>
      <c r="GG16" s="42"/>
      <c r="GH16" s="42"/>
      <c r="GI16" s="42"/>
      <c r="GJ16" s="42"/>
      <c r="GK16" s="42"/>
      <c r="GL16" s="42"/>
      <c r="GM16" s="42"/>
      <c r="GN16" s="42"/>
      <c r="GO16" s="42"/>
      <c r="GP16" s="42"/>
      <c r="GQ16" s="42"/>
      <c r="GR16" s="42"/>
      <c r="GS16" s="42"/>
      <c r="GT16" s="42"/>
      <c r="GU16" s="42"/>
      <c r="GV16" s="42"/>
      <c r="GW16" s="42"/>
      <c r="GX16" s="42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55"/>
      <c r="NK16" s="55"/>
      <c r="NL16" s="55"/>
      <c r="NM16" s="55"/>
      <c r="NN16" s="55"/>
      <c r="NO16" s="55"/>
      <c r="NP16" s="55"/>
      <c r="NQ16" s="55"/>
      <c r="NR16" s="55"/>
      <c r="NS16" s="55"/>
      <c r="NT16" s="55"/>
      <c r="NU16" s="55"/>
      <c r="NV16" s="55"/>
      <c r="NW16" s="55"/>
      <c r="NX16" s="55"/>
      <c r="NY16" s="55"/>
      <c r="NZ16" s="55"/>
      <c r="OA16" s="55"/>
      <c r="OB16" s="55"/>
      <c r="OC16" s="55"/>
      <c r="OD16" s="55"/>
      <c r="OE16" s="55"/>
      <c r="OF16" s="55"/>
      <c r="OG16" s="55"/>
      <c r="OH16" s="55"/>
      <c r="OI16" s="55"/>
      <c r="OJ16" s="55"/>
      <c r="OK16" s="55"/>
      <c r="OL16" s="55"/>
      <c r="OM16" s="55"/>
      <c r="ON16" s="55"/>
      <c r="OO16" s="55"/>
      <c r="OP16" s="55"/>
      <c r="OQ16" s="55"/>
      <c r="OR16" s="55"/>
      <c r="OS16" s="55"/>
      <c r="OT16" s="55"/>
      <c r="OU16" s="55"/>
      <c r="OV16" s="55"/>
      <c r="OW16" s="55"/>
      <c r="OX16" s="55"/>
      <c r="OY16" s="55"/>
      <c r="OZ16" s="55"/>
      <c r="PA16" s="55"/>
      <c r="PB16" s="55"/>
      <c r="PC16" s="55"/>
      <c r="PD16" s="55"/>
      <c r="PE16" s="55"/>
      <c r="PF16" s="55"/>
      <c r="PG16" s="55"/>
      <c r="PH16" s="55"/>
      <c r="PI16" s="55"/>
      <c r="PJ16" s="55"/>
      <c r="PK16" s="55"/>
      <c r="PL16" s="55"/>
      <c r="PM16" s="55"/>
      <c r="PN16" s="55"/>
      <c r="PO16" s="55"/>
      <c r="PP16" s="55"/>
      <c r="PQ16" s="55"/>
      <c r="PR16" s="55"/>
      <c r="PS16" s="55"/>
      <c r="PT16" s="55"/>
      <c r="PU16" s="55"/>
      <c r="PV16" s="55"/>
      <c r="PW16" s="55"/>
      <c r="PX16" s="55"/>
      <c r="PY16" s="55"/>
      <c r="PZ16" s="55"/>
      <c r="QA16" s="55"/>
      <c r="QB16" s="55"/>
      <c r="QC16" s="55"/>
      <c r="QD16" s="55"/>
      <c r="QE16" s="55"/>
      <c r="QF16" s="55"/>
      <c r="QG16" s="55"/>
      <c r="QH16" s="55"/>
      <c r="QI16" s="55"/>
      <c r="QJ16" s="55"/>
      <c r="QK16" s="55"/>
      <c r="QL16" s="55"/>
      <c r="QM16" s="55"/>
      <c r="QN16" s="55"/>
      <c r="QO16" s="55"/>
      <c r="QP16" s="55"/>
      <c r="QQ16" s="55"/>
      <c r="QR16" s="55"/>
      <c r="QS16" s="55"/>
      <c r="QT16" s="55"/>
      <c r="QU16" s="55"/>
      <c r="QV16" s="55"/>
      <c r="QW16" s="55"/>
      <c r="QX16" s="55"/>
      <c r="QY16" s="55"/>
      <c r="QZ16" s="55"/>
      <c r="RA16" s="55"/>
      <c r="RB16" s="55"/>
      <c r="RC16" s="55"/>
      <c r="RD16" s="55"/>
      <c r="RE16" s="55"/>
      <c r="RF16" s="55"/>
      <c r="RG16" s="55"/>
      <c r="RH16" s="55"/>
      <c r="RI16" s="55"/>
      <c r="RJ16" s="55"/>
      <c r="RK16" s="55"/>
      <c r="RL16" s="55"/>
      <c r="RM16" s="55"/>
      <c r="RN16" s="55"/>
      <c r="RO16" s="55"/>
      <c r="RP16" s="55"/>
      <c r="RQ16" s="55"/>
      <c r="RR16" s="55"/>
      <c r="RS16" s="55"/>
      <c r="RT16" s="55"/>
      <c r="RU16" s="55"/>
      <c r="RV16" s="55"/>
      <c r="RW16" s="55"/>
      <c r="RX16" s="55"/>
      <c r="RY16" s="55"/>
      <c r="RZ16" s="55"/>
      <c r="SA16" s="55"/>
      <c r="SB16" s="55"/>
      <c r="SC16" s="55"/>
      <c r="SD16" s="55"/>
      <c r="SE16" s="55"/>
      <c r="SF16" s="55"/>
      <c r="SG16" s="55"/>
      <c r="SH16" s="55"/>
      <c r="SI16" s="55"/>
      <c r="SJ16" s="55"/>
      <c r="SK16" s="55"/>
      <c r="SL16" s="55"/>
      <c r="SM16" s="55"/>
      <c r="SN16" s="55"/>
      <c r="SO16" s="55"/>
      <c r="SP16" s="55"/>
      <c r="SQ16" s="55"/>
      <c r="SR16" s="55"/>
      <c r="SS16" s="55"/>
      <c r="ST16" s="55"/>
      <c r="SU16" s="55"/>
      <c r="SV16" s="55"/>
      <c r="SW16" s="55"/>
      <c r="SX16" s="55"/>
      <c r="SY16" s="55"/>
      <c r="SZ16" s="55"/>
      <c r="TA16" s="55"/>
      <c r="TB16" s="55"/>
      <c r="TC16" s="55"/>
      <c r="TD16" s="55"/>
      <c r="TE16" s="55"/>
      <c r="TF16" s="55"/>
      <c r="TG16" s="55"/>
      <c r="TH16" s="55"/>
      <c r="TI16" s="55"/>
      <c r="TJ16" s="55"/>
      <c r="TK16" s="55"/>
      <c r="TL16" s="55"/>
      <c r="TM16" s="55"/>
      <c r="TN16" s="55"/>
      <c r="TO16" s="55"/>
      <c r="TP16" s="55"/>
      <c r="TQ16" s="55"/>
      <c r="TR16" s="55"/>
      <c r="TS16" s="55"/>
      <c r="TT16" s="55"/>
      <c r="TU16" s="55"/>
      <c r="TV16" s="55"/>
      <c r="TW16" s="55"/>
      <c r="TX16" s="55"/>
      <c r="TY16" s="55"/>
      <c r="TZ16" s="55"/>
      <c r="UA16" s="55"/>
      <c r="UB16" s="55"/>
      <c r="UC16" s="55"/>
      <c r="UD16" s="55"/>
      <c r="UE16" s="55"/>
      <c r="UF16" s="55"/>
      <c r="UG16" s="55"/>
      <c r="UH16" s="55"/>
      <c r="UI16" s="55"/>
      <c r="UJ16" s="55"/>
      <c r="UK16" s="55"/>
      <c r="UL16" s="55"/>
      <c r="UM16" s="55"/>
      <c r="UN16" s="55"/>
      <c r="UO16" s="55"/>
      <c r="UP16" s="55"/>
      <c r="UQ16" s="55"/>
      <c r="UR16" s="55"/>
      <c r="US16" s="55"/>
      <c r="UT16" s="55"/>
      <c r="UU16" s="55"/>
      <c r="UV16" s="55"/>
      <c r="UW16" s="55"/>
      <c r="UX16" s="55"/>
      <c r="UY16" s="55"/>
      <c r="UZ16" s="55"/>
      <c r="VA16" s="55"/>
      <c r="VB16" s="55"/>
      <c r="VC16" s="55"/>
      <c r="VD16" s="55"/>
      <c r="VE16" s="55"/>
      <c r="VF16" s="55"/>
      <c r="VG16" s="55"/>
      <c r="VH16" s="55"/>
      <c r="VI16" s="55"/>
      <c r="VJ16" s="55"/>
      <c r="VK16" s="55"/>
      <c r="VL16" s="55"/>
      <c r="VM16" s="55"/>
      <c r="VN16" s="55"/>
      <c r="VO16" s="55"/>
      <c r="VP16" s="55"/>
      <c r="VQ16" s="55"/>
      <c r="VR16" s="55"/>
      <c r="VS16" s="55"/>
      <c r="VT16" s="55"/>
      <c r="VU16" s="55"/>
      <c r="VV16" s="55"/>
      <c r="VW16" s="55"/>
      <c r="VX16" s="55"/>
      <c r="VY16" s="55"/>
      <c r="VZ16" s="55"/>
      <c r="WA16" s="55"/>
      <c r="WB16" s="55"/>
      <c r="WC16" s="55"/>
      <c r="WD16" s="55"/>
      <c r="WE16" s="55"/>
      <c r="WF16" s="55"/>
      <c r="WG16" s="55"/>
      <c r="WH16" s="55"/>
      <c r="WI16" s="55"/>
      <c r="WJ16" s="55"/>
      <c r="WK16" s="55"/>
      <c r="WL16" s="55"/>
      <c r="WM16" s="55"/>
      <c r="WN16" s="55"/>
      <c r="WO16" s="55"/>
      <c r="WP16" s="55"/>
      <c r="WQ16" s="55"/>
      <c r="WR16" s="55"/>
      <c r="WS16" s="55"/>
      <c r="WT16" s="55"/>
      <c r="WU16" s="55"/>
      <c r="WV16" s="55"/>
      <c r="WW16" s="55"/>
      <c r="WX16" s="55"/>
      <c r="WY16" s="55"/>
      <c r="WZ16" s="55"/>
      <c r="XA16" s="55"/>
      <c r="XB16" s="55"/>
      <c r="XC16" s="55"/>
      <c r="XD16" s="55"/>
      <c r="XE16" s="55"/>
      <c r="XF16" s="55"/>
      <c r="XG16" s="55"/>
      <c r="XH16" s="55"/>
      <c r="XI16" s="55"/>
      <c r="XJ16" s="55"/>
      <c r="XK16" s="55"/>
      <c r="XL16" s="55"/>
      <c r="XM16" s="55"/>
      <c r="XN16" s="55"/>
      <c r="XO16" s="55"/>
      <c r="XP16" s="55"/>
      <c r="XQ16" s="55"/>
      <c r="XR16" s="55"/>
      <c r="XS16" s="55"/>
      <c r="XT16" s="55"/>
      <c r="XU16" s="55"/>
      <c r="XV16" s="55"/>
      <c r="XW16" s="55"/>
      <c r="XX16" s="55"/>
      <c r="XY16" s="55"/>
      <c r="XZ16" s="55"/>
      <c r="YA16" s="55"/>
      <c r="YB16" s="55"/>
      <c r="YC16" s="55"/>
      <c r="YD16" s="55"/>
      <c r="YE16" s="55"/>
      <c r="YF16" s="55"/>
      <c r="YG16" s="55"/>
      <c r="YH16" s="55"/>
      <c r="YI16" s="55"/>
      <c r="YJ16" s="55"/>
      <c r="YK16" s="55"/>
      <c r="YL16" s="55"/>
      <c r="YM16" s="55"/>
      <c r="YN16" s="55"/>
      <c r="YO16" s="55"/>
      <c r="YP16" s="55"/>
      <c r="YQ16" s="55"/>
      <c r="YR16" s="55"/>
      <c r="YS16" s="55"/>
      <c r="YT16" s="55"/>
      <c r="YU16" s="55"/>
      <c r="YV16" s="55"/>
      <c r="YW16" s="55"/>
      <c r="YX16" s="55"/>
      <c r="YY16" s="55"/>
      <c r="YZ16" s="55"/>
      <c r="ZA16" s="55"/>
      <c r="ZB16" s="55"/>
      <c r="ZC16" s="55"/>
      <c r="ZD16" s="55"/>
      <c r="ZE16" s="55"/>
      <c r="ZF16" s="55"/>
      <c r="ZG16" s="55"/>
      <c r="ZH16" s="55"/>
      <c r="ZI16" s="55"/>
      <c r="ZJ16" s="55"/>
      <c r="ZK16" s="55"/>
      <c r="ZL16" s="55"/>
      <c r="ZM16" s="55"/>
      <c r="ZN16" s="55"/>
      <c r="ZO16" s="55"/>
      <c r="ZP16" s="55"/>
      <c r="ZQ16" s="55"/>
      <c r="ZR16" s="55"/>
      <c r="ZS16" s="55"/>
      <c r="ZT16" s="55"/>
      <c r="ZU16" s="55"/>
      <c r="ZV16" s="55"/>
      <c r="ZW16" s="55"/>
      <c r="ZX16" s="55"/>
      <c r="ZY16" s="55"/>
      <c r="ZZ16" s="55"/>
      <c r="AAA16" s="55"/>
      <c r="AAB16" s="55"/>
      <c r="AAC16" s="55"/>
      <c r="AAD16" s="55"/>
      <c r="AAE16" s="55"/>
      <c r="AAF16" s="55"/>
      <c r="AAG16" s="55"/>
      <c r="AAH16" s="55"/>
      <c r="AAI16" s="55"/>
      <c r="AAJ16" s="55"/>
      <c r="AAK16" s="55"/>
      <c r="AAL16" s="55"/>
      <c r="AAM16" s="55"/>
      <c r="AAN16" s="55"/>
      <c r="AAO16" s="55"/>
      <c r="AAP16" s="55"/>
      <c r="AAQ16" s="55"/>
      <c r="AAR16" s="55"/>
      <c r="AAS16" s="55"/>
      <c r="AAT16" s="55"/>
      <c r="AAU16" s="55"/>
      <c r="AAV16" s="55"/>
      <c r="AAW16" s="55"/>
      <c r="AAX16" s="55"/>
      <c r="AAY16" s="55"/>
      <c r="AAZ16" s="55"/>
      <c r="ABA16" s="55"/>
      <c r="ABB16" s="55"/>
      <c r="ABC16" s="55"/>
      <c r="ABD16" s="55"/>
      <c r="ABE16" s="55"/>
      <c r="ABF16" s="55"/>
      <c r="ABG16" s="55"/>
      <c r="ABH16" s="55"/>
      <c r="ABI16" s="55"/>
      <c r="ABJ16" s="55"/>
      <c r="ABK16" s="55"/>
      <c r="ABL16" s="55"/>
      <c r="ABM16" s="55"/>
      <c r="ABN16" s="55"/>
      <c r="ABO16" s="55"/>
      <c r="ABP16" s="55"/>
      <c r="ABQ16" s="55"/>
      <c r="ABR16" s="55"/>
      <c r="ABS16" s="55"/>
      <c r="ABT16" s="55"/>
      <c r="ABU16" s="55"/>
      <c r="ABV16" s="55"/>
      <c r="ABW16" s="55"/>
      <c r="ABX16" s="55"/>
      <c r="ABY16" s="55"/>
      <c r="ABZ16" s="55"/>
      <c r="ACA16" s="55"/>
      <c r="ACB16" s="55"/>
      <c r="ACC16" s="55"/>
      <c r="ACD16" s="55"/>
      <c r="ACE16" s="55"/>
      <c r="ACF16" s="55"/>
      <c r="ACG16" s="55"/>
      <c r="ACH16" s="55"/>
      <c r="ACI16" s="55"/>
      <c r="ACJ16" s="55"/>
      <c r="ACK16" s="55"/>
      <c r="ACL16" s="55"/>
      <c r="ACM16" s="55"/>
      <c r="ACN16" s="55"/>
      <c r="ACO16" s="55"/>
      <c r="ACP16" s="55"/>
      <c r="ACQ16" s="55"/>
      <c r="ACR16" s="55"/>
      <c r="ACS16" s="55"/>
      <c r="ACT16" s="55"/>
      <c r="ACU16" s="55"/>
      <c r="ACV16" s="55"/>
      <c r="ACW16" s="55"/>
      <c r="ACX16" s="55"/>
      <c r="ACY16" s="55"/>
      <c r="ACZ16" s="55"/>
      <c r="ADA16" s="55"/>
      <c r="ADB16" s="55"/>
      <c r="ADC16" s="55"/>
      <c r="ADD16" s="55"/>
      <c r="ADE16" s="55"/>
      <c r="ADF16" s="55"/>
      <c r="ADG16" s="55"/>
      <c r="ADH16" s="55"/>
      <c r="ADI16" s="55"/>
      <c r="ADJ16" s="55"/>
      <c r="ADK16" s="55"/>
      <c r="ADL16" s="55"/>
      <c r="ADM16" s="55"/>
      <c r="ADN16" s="55"/>
      <c r="ADO16" s="55"/>
      <c r="ADP16" s="55"/>
      <c r="ADQ16" s="55"/>
      <c r="ADR16" s="55"/>
      <c r="ADS16" s="55"/>
      <c r="ADT16" s="55"/>
      <c r="ADU16" s="55"/>
      <c r="ADV16" s="55"/>
      <c r="ADW16" s="55"/>
      <c r="ADX16" s="55"/>
      <c r="ADY16" s="55"/>
      <c r="ADZ16" s="55"/>
      <c r="AEA16" s="55"/>
      <c r="AEB16" s="55"/>
      <c r="AEC16" s="55"/>
      <c r="AED16" s="55"/>
      <c r="AEE16" s="55"/>
      <c r="AEF16" s="55"/>
      <c r="AEG16" s="55"/>
      <c r="AEH16" s="55"/>
      <c r="AEI16" s="55"/>
      <c r="AEJ16" s="55"/>
      <c r="AEK16" s="55"/>
      <c r="AEL16" s="55"/>
      <c r="AEM16" s="55"/>
      <c r="AEN16" s="55"/>
      <c r="AEO16" s="55"/>
      <c r="AEP16" s="55"/>
      <c r="AEQ16" s="55"/>
      <c r="AER16" s="55"/>
      <c r="AES16" s="55"/>
      <c r="AET16" s="55"/>
      <c r="AEU16" s="55"/>
      <c r="AEV16" s="55"/>
      <c r="AEW16" s="55"/>
      <c r="AEX16" s="55"/>
      <c r="AEY16" s="55"/>
      <c r="AEZ16" s="55"/>
      <c r="AFA16" s="55"/>
      <c r="AFB16" s="55"/>
      <c r="AFC16" s="55"/>
      <c r="AFD16" s="55"/>
      <c r="AFE16" s="55"/>
      <c r="AFF16" s="55"/>
      <c r="AFG16" s="55"/>
      <c r="AFH16" s="55"/>
      <c r="AFI16" s="55"/>
      <c r="AFJ16" s="55"/>
      <c r="AFK16" s="55"/>
      <c r="AFL16" s="55"/>
      <c r="AFM16" s="55"/>
      <c r="AFN16" s="55"/>
      <c r="AFO16" s="55"/>
      <c r="AFP16" s="55"/>
      <c r="AFQ16" s="55"/>
      <c r="AFR16" s="55"/>
      <c r="AFS16" s="55"/>
      <c r="AFT16" s="55"/>
      <c r="AFU16" s="55"/>
      <c r="AFV16" s="55"/>
      <c r="AFW16" s="55"/>
      <c r="AFX16" s="55"/>
      <c r="AFY16" s="55"/>
      <c r="AFZ16" s="55"/>
      <c r="AGA16" s="55"/>
      <c r="AGB16" s="55"/>
      <c r="AGC16" s="55"/>
      <c r="AGD16" s="55"/>
      <c r="AGE16" s="55"/>
      <c r="AGF16" s="55"/>
      <c r="AGG16" s="55"/>
      <c r="AGH16" s="55"/>
      <c r="AGI16" s="55"/>
      <c r="AGJ16" s="55"/>
      <c r="AGK16" s="55"/>
      <c r="AGL16" s="55"/>
      <c r="AGM16" s="55"/>
      <c r="AGN16" s="55"/>
      <c r="AGO16" s="55"/>
      <c r="AGP16" s="55"/>
      <c r="AGQ16" s="55"/>
      <c r="AGR16" s="55"/>
      <c r="AGS16" s="55"/>
      <c r="AGT16" s="55"/>
      <c r="AGU16" s="55"/>
      <c r="AGV16" s="55"/>
      <c r="AGW16" s="55"/>
      <c r="AGX16" s="55"/>
      <c r="AGY16" s="55"/>
      <c r="AGZ16" s="55"/>
      <c r="AHA16" s="55"/>
      <c r="AHB16" s="55"/>
      <c r="AHC16" s="55"/>
      <c r="AHD16" s="55"/>
      <c r="AHE16" s="55"/>
      <c r="AHF16" s="55"/>
      <c r="AHG16" s="55"/>
      <c r="AHH16" s="55"/>
      <c r="AHI16" s="55"/>
      <c r="AHJ16" s="55"/>
      <c r="AHK16" s="55"/>
      <c r="AHL16" s="55"/>
      <c r="AHM16" s="55"/>
      <c r="AHN16" s="55"/>
      <c r="AHO16" s="55"/>
      <c r="AHP16" s="55"/>
      <c r="AHQ16" s="55"/>
      <c r="AHR16" s="55"/>
      <c r="AHS16" s="55"/>
      <c r="AHT16" s="55"/>
      <c r="AHU16" s="55"/>
      <c r="AHV16" s="55"/>
      <c r="AHW16" s="55"/>
      <c r="AHX16" s="55"/>
      <c r="AHY16" s="55"/>
      <c r="AHZ16" s="55"/>
      <c r="AIA16" s="55"/>
      <c r="AIB16" s="55"/>
      <c r="AIC16" s="55"/>
      <c r="AID16" s="55"/>
      <c r="AIE16" s="55"/>
      <c r="AIF16" s="55"/>
      <c r="AIG16" s="55"/>
      <c r="AIH16" s="55"/>
      <c r="AII16" s="55"/>
      <c r="AIJ16" s="55"/>
      <c r="AIK16" s="55"/>
      <c r="AIL16" s="55"/>
      <c r="AIM16" s="55"/>
      <c r="AIN16" s="55"/>
      <c r="AIO16" s="55"/>
      <c r="AIP16" s="55"/>
      <c r="AIQ16" s="55"/>
      <c r="AIR16" s="55"/>
      <c r="AIS16" s="55"/>
      <c r="AIT16" s="55"/>
      <c r="AIU16" s="55"/>
      <c r="AIV16" s="55"/>
      <c r="AIW16" s="55"/>
      <c r="AIX16" s="55"/>
      <c r="AIY16" s="55"/>
      <c r="AIZ16" s="55"/>
      <c r="AJA16" s="55"/>
      <c r="AJB16" s="55"/>
      <c r="AJC16" s="55"/>
      <c r="AJD16" s="55"/>
      <c r="AJE16" s="55"/>
      <c r="AJF16" s="55"/>
      <c r="AJG16" s="55"/>
      <c r="AJH16" s="55"/>
      <c r="AJI16" s="55"/>
      <c r="AJJ16" s="55"/>
      <c r="AJK16" s="55"/>
      <c r="AJL16" s="55"/>
      <c r="AJM16" s="55"/>
      <c r="AJN16" s="55"/>
      <c r="AJO16" s="55"/>
      <c r="AJP16" s="55"/>
      <c r="AJQ16" s="55"/>
      <c r="AJR16" s="55"/>
      <c r="AJS16" s="55"/>
      <c r="AJT16" s="55"/>
      <c r="AJU16" s="55"/>
      <c r="AJV16" s="55"/>
      <c r="AJW16" s="55"/>
      <c r="AJX16" s="55"/>
      <c r="AJY16" s="55"/>
      <c r="AJZ16" s="55"/>
      <c r="AKA16" s="55"/>
      <c r="AKB16" s="55"/>
      <c r="AKC16" s="55"/>
      <c r="AKD16" s="55"/>
      <c r="AKE16" s="55"/>
      <c r="AKF16" s="55"/>
      <c r="AKG16" s="55"/>
      <c r="AKH16" s="55"/>
      <c r="AKI16" s="55"/>
      <c r="AKJ16" s="55"/>
      <c r="AKK16" s="55"/>
      <c r="AKL16" s="55"/>
      <c r="AKM16" s="55"/>
      <c r="AKN16" s="55"/>
      <c r="AKO16" s="55"/>
      <c r="AKP16" s="55"/>
      <c r="AKQ16" s="55"/>
      <c r="AKR16" s="55"/>
      <c r="AKS16" s="55"/>
      <c r="AKT16" s="55"/>
      <c r="AKU16" s="55"/>
      <c r="AKV16" s="55"/>
      <c r="AKW16" s="55"/>
      <c r="AKX16" s="55"/>
      <c r="AKY16" s="55"/>
      <c r="AKZ16" s="55"/>
      <c r="ALA16" s="55"/>
      <c r="ALB16" s="55"/>
      <c r="ALC16" s="55"/>
      <c r="ALD16" s="55"/>
      <c r="ALE16" s="55"/>
      <c r="ALF16" s="55"/>
      <c r="ALG16" s="55"/>
      <c r="ALH16" s="55"/>
      <c r="ALI16" s="55"/>
      <c r="ALJ16" s="55"/>
      <c r="ALK16" s="55"/>
      <c r="ALL16" s="55"/>
      <c r="ALM16" s="55"/>
      <c r="ALN16" s="55"/>
      <c r="ALO16" s="55"/>
      <c r="ALP16" s="55"/>
      <c r="ALQ16" s="55"/>
      <c r="ALR16" s="55"/>
      <c r="ALS16" s="55"/>
      <c r="ALT16" s="55"/>
      <c r="ALU16" s="55"/>
      <c r="ALV16" s="55"/>
      <c r="ALW16" s="55"/>
      <c r="ALX16" s="55"/>
      <c r="ALY16" s="55"/>
      <c r="ALZ16" s="55"/>
      <c r="AMA16" s="55"/>
      <c r="AMB16" s="55"/>
      <c r="AMC16" s="55"/>
      <c r="AMD16" s="55"/>
      <c r="AME16" s="55"/>
      <c r="AMF16" s="55"/>
      <c r="AMG16" s="55"/>
      <c r="AMH16" s="55"/>
      <c r="AMI16" s="55"/>
      <c r="AMJ16" s="55"/>
      <c r="AMK16" s="55"/>
      <c r="AML16" s="55"/>
      <c r="AMM16" s="55"/>
      <c r="AMN16" s="55"/>
      <c r="AMO16" s="55"/>
      <c r="AMP16" s="55"/>
      <c r="AMQ16" s="55"/>
      <c r="AMR16" s="55"/>
      <c r="AMS16" s="55"/>
      <c r="AMT16" s="55"/>
      <c r="AMU16" s="55"/>
      <c r="AMV16" s="55"/>
      <c r="AMW16" s="55"/>
      <c r="AMX16" s="55"/>
      <c r="AMY16" s="55"/>
      <c r="AMZ16" s="55"/>
      <c r="ANA16" s="55"/>
      <c r="ANB16" s="55"/>
      <c r="ANC16" s="55"/>
      <c r="AND16" s="55"/>
      <c r="ANE16" s="55"/>
      <c r="ANF16" s="55"/>
      <c r="ANG16" s="55"/>
      <c r="ANH16" s="55"/>
      <c r="ANI16" s="55"/>
      <c r="ANJ16" s="55"/>
      <c r="ANK16" s="55"/>
      <c r="ANL16" s="55"/>
      <c r="ANM16" s="55"/>
      <c r="ANN16" s="55"/>
      <c r="ANO16" s="55"/>
      <c r="ANP16" s="55"/>
      <c r="ANQ16" s="55"/>
      <c r="ANR16" s="55"/>
      <c r="ANS16" s="55"/>
      <c r="ANT16" s="55"/>
      <c r="ANU16" s="55"/>
      <c r="ANV16" s="55"/>
      <c r="ANW16" s="55"/>
      <c r="ANX16" s="55"/>
      <c r="ANY16" s="55"/>
      <c r="ANZ16" s="55"/>
      <c r="AOA16" s="55"/>
      <c r="AOB16" s="55"/>
      <c r="AOC16" s="55"/>
      <c r="AOD16" s="55"/>
      <c r="AOE16" s="55"/>
      <c r="AOF16" s="55"/>
      <c r="AOG16" s="55"/>
      <c r="AOH16" s="55"/>
      <c r="AOI16" s="55"/>
      <c r="AOJ16" s="55"/>
      <c r="AOK16" s="55"/>
      <c r="AOL16" s="55"/>
      <c r="AOM16" s="55"/>
      <c r="AON16" s="55"/>
      <c r="AOO16" s="55"/>
      <c r="AOP16" s="55"/>
      <c r="AOQ16" s="55"/>
      <c r="AOR16" s="55"/>
      <c r="AOS16" s="55"/>
      <c r="AOT16" s="55"/>
      <c r="AOU16" s="55"/>
      <c r="AOV16" s="55"/>
      <c r="AOW16" s="55"/>
      <c r="AOX16" s="55"/>
      <c r="AOY16" s="55"/>
      <c r="AOZ16" s="55"/>
      <c r="APA16" s="55"/>
      <c r="APB16" s="55"/>
      <c r="APC16" s="55"/>
      <c r="APD16" s="55"/>
      <c r="APE16" s="55"/>
      <c r="APF16" s="55"/>
      <c r="APG16" s="55"/>
      <c r="APH16" s="55"/>
      <c r="API16" s="55"/>
      <c r="APJ16" s="55"/>
      <c r="APK16" s="55"/>
      <c r="APL16" s="55"/>
      <c r="APM16" s="55"/>
      <c r="APN16" s="55"/>
      <c r="APO16" s="55"/>
      <c r="APP16" s="55"/>
      <c r="APQ16" s="55"/>
      <c r="APR16" s="55"/>
      <c r="APS16" s="55"/>
      <c r="APT16" s="55"/>
      <c r="APU16" s="55"/>
      <c r="APV16" s="55"/>
      <c r="APW16" s="55"/>
      <c r="APX16" s="55"/>
      <c r="APY16" s="55"/>
      <c r="APZ16" s="55"/>
      <c r="AQA16" s="55"/>
      <c r="AQB16" s="55"/>
      <c r="AQC16" s="55"/>
      <c r="AQD16" s="55"/>
      <c r="AQE16" s="55"/>
      <c r="AQF16" s="55"/>
      <c r="AQG16" s="55"/>
      <c r="AQH16" s="55"/>
      <c r="AQI16" s="55"/>
      <c r="AQJ16" s="55"/>
      <c r="AQK16" s="55"/>
      <c r="AQL16" s="55"/>
      <c r="AQM16" s="55"/>
      <c r="AQN16" s="55"/>
      <c r="AQO16" s="55"/>
      <c r="AQP16" s="55"/>
      <c r="AQQ16" s="55"/>
      <c r="AQR16" s="55"/>
      <c r="AQS16" s="55"/>
      <c r="AQT16" s="55"/>
      <c r="AQU16" s="55"/>
      <c r="AQV16" s="55"/>
      <c r="AQW16" s="55"/>
      <c r="AQX16" s="55"/>
      <c r="AQY16" s="55"/>
      <c r="AQZ16" s="55"/>
      <c r="ARA16" s="55"/>
      <c r="ARB16" s="55"/>
      <c r="ARC16" s="55"/>
      <c r="ARD16" s="55"/>
      <c r="ARE16" s="55"/>
      <c r="ARF16" s="55"/>
      <c r="ARG16" s="55"/>
      <c r="ARH16" s="55"/>
      <c r="ARI16" s="55"/>
      <c r="ARJ16" s="55"/>
      <c r="ARK16" s="55"/>
      <c r="ARL16" s="55"/>
      <c r="ARM16" s="55"/>
      <c r="ARN16" s="55"/>
      <c r="ARO16" s="55"/>
      <c r="ARP16" s="55"/>
      <c r="ARQ16" s="55"/>
      <c r="ARR16" s="55"/>
      <c r="ARS16" s="55"/>
      <c r="ART16" s="55"/>
      <c r="ARU16" s="55"/>
      <c r="ARV16" s="55"/>
      <c r="ARW16" s="55"/>
      <c r="ARX16" s="55"/>
      <c r="ARY16" s="55"/>
      <c r="ARZ16" s="55"/>
      <c r="ASA16" s="55"/>
      <c r="ASB16" s="55"/>
      <c r="ASC16" s="55"/>
      <c r="ASD16" s="55"/>
      <c r="ASE16" s="55"/>
      <c r="ASF16" s="55"/>
      <c r="ASG16" s="55"/>
      <c r="ASH16" s="55"/>
      <c r="ASI16" s="55"/>
      <c r="ASJ16" s="55"/>
      <c r="ASK16" s="55"/>
      <c r="ASL16" s="55"/>
      <c r="ASM16" s="55"/>
      <c r="ASN16" s="55"/>
      <c r="ASO16" s="55"/>
      <c r="ASP16" s="55"/>
      <c r="ASQ16" s="55"/>
      <c r="ASR16" s="55"/>
      <c r="ASS16" s="55"/>
      <c r="AST16" s="55"/>
      <c r="ASU16" s="55"/>
      <c r="ASV16" s="55"/>
      <c r="ASW16" s="55"/>
      <c r="ASX16" s="55"/>
      <c r="ASY16" s="55"/>
      <c r="ASZ16" s="55"/>
      <c r="ATA16" s="55"/>
      <c r="ATB16" s="55"/>
      <c r="ATC16" s="55"/>
      <c r="ATD16" s="55"/>
      <c r="ATE16" s="55"/>
      <c r="ATF16" s="55"/>
      <c r="ATG16" s="55"/>
      <c r="ATH16" s="55"/>
      <c r="ATI16" s="55"/>
      <c r="ATJ16" s="55"/>
      <c r="ATK16" s="55"/>
      <c r="ATL16" s="55"/>
      <c r="ATM16" s="55"/>
      <c r="ATN16" s="55"/>
      <c r="ATO16" s="55"/>
      <c r="ATP16" s="55"/>
      <c r="ATQ16" s="55"/>
      <c r="ATR16" s="55"/>
      <c r="ATS16" s="55"/>
      <c r="ATT16" s="55"/>
      <c r="ATU16" s="55"/>
      <c r="ATV16" s="55"/>
      <c r="ATW16" s="55"/>
      <c r="ATX16" s="55"/>
      <c r="ATY16" s="55"/>
      <c r="ATZ16" s="55"/>
      <c r="AUA16" s="55"/>
      <c r="AUB16" s="55"/>
      <c r="AUC16" s="55"/>
      <c r="AUD16" s="55"/>
      <c r="AUE16" s="55"/>
      <c r="AUF16" s="55"/>
      <c r="AUG16" s="55"/>
      <c r="AUH16" s="55"/>
      <c r="AUI16" s="55"/>
      <c r="AUJ16" s="55"/>
      <c r="AUK16" s="55"/>
      <c r="AUL16" s="55"/>
      <c r="AUM16" s="55"/>
      <c r="AUN16" s="55"/>
      <c r="AUO16" s="55"/>
      <c r="AUP16" s="55"/>
      <c r="AUQ16" s="55"/>
      <c r="AUR16" s="55"/>
      <c r="AUS16" s="55"/>
      <c r="AUT16" s="55"/>
      <c r="AUU16" s="55"/>
      <c r="AUV16" s="55"/>
      <c r="AUW16" s="55"/>
      <c r="AUX16" s="55"/>
      <c r="AUY16" s="55"/>
      <c r="AUZ16" s="55"/>
      <c r="AVA16" s="55"/>
      <c r="AVB16" s="55"/>
      <c r="AVC16" s="55"/>
      <c r="AVD16" s="55"/>
      <c r="AVE16" s="55"/>
      <c r="AVF16" s="55"/>
      <c r="AVG16" s="55"/>
      <c r="AVH16" s="55"/>
      <c r="AVI16" s="55"/>
      <c r="AVJ16" s="55"/>
      <c r="AVK16" s="55"/>
      <c r="AVL16" s="55"/>
      <c r="AVM16" s="55"/>
      <c r="AVN16" s="55"/>
      <c r="AVO16" s="55"/>
      <c r="AVP16" s="55"/>
      <c r="AVQ16" s="55"/>
      <c r="AVR16" s="55"/>
      <c r="AVS16" s="55"/>
      <c r="AVT16" s="55"/>
      <c r="AVU16" s="55"/>
      <c r="AVV16" s="55"/>
      <c r="AVW16" s="55"/>
      <c r="AVX16" s="55"/>
      <c r="AVY16" s="55"/>
      <c r="AVZ16" s="55"/>
      <c r="AWA16" s="55"/>
      <c r="AWB16" s="55"/>
      <c r="AWC16" s="55"/>
      <c r="AWD16" s="55"/>
      <c r="AWE16" s="55"/>
      <c r="AWF16" s="55"/>
      <c r="AWG16" s="55"/>
      <c r="AWH16" s="55"/>
      <c r="AWI16" s="55"/>
      <c r="AWJ16" s="55"/>
      <c r="AWK16" s="55"/>
      <c r="AWL16" s="55"/>
      <c r="AWM16" s="55"/>
      <c r="AWN16" s="55"/>
      <c r="AWO16" s="55"/>
      <c r="AWP16" s="55"/>
      <c r="AWQ16" s="55"/>
      <c r="AWR16" s="55"/>
      <c r="AWS16" s="55"/>
      <c r="AWT16" s="55"/>
      <c r="AWU16" s="55"/>
      <c r="AWV16" s="55"/>
      <c r="AWW16" s="55"/>
      <c r="AWX16" s="55"/>
      <c r="AWY16" s="55"/>
      <c r="AWZ16" s="55"/>
      <c r="AXA16" s="55"/>
      <c r="AXB16" s="55"/>
      <c r="AXC16" s="55"/>
      <c r="AXD16" s="55"/>
      <c r="AXE16" s="55"/>
      <c r="AXF16" s="55"/>
      <c r="AXG16" s="55"/>
      <c r="AXH16" s="55"/>
      <c r="AXI16" s="55"/>
      <c r="AXJ16" s="55"/>
      <c r="AXK16" s="55"/>
      <c r="AXL16" s="55"/>
      <c r="AXM16" s="55"/>
      <c r="AXN16" s="55"/>
      <c r="AXO16" s="55"/>
      <c r="AXP16" s="55"/>
      <c r="AXQ16" s="55"/>
      <c r="AXR16" s="55"/>
      <c r="AXS16" s="55"/>
      <c r="AXT16" s="55"/>
      <c r="AXU16" s="55"/>
      <c r="AXV16" s="55"/>
      <c r="AXW16" s="55"/>
      <c r="AXX16" s="55"/>
      <c r="AXY16" s="55"/>
      <c r="AXZ16" s="55"/>
      <c r="AYA16" s="55"/>
      <c r="AYB16" s="55"/>
      <c r="AYC16" s="55"/>
      <c r="AYD16" s="55"/>
      <c r="AYE16" s="55"/>
      <c r="AYF16" s="55"/>
      <c r="AYG16" s="55"/>
      <c r="AYH16" s="55"/>
      <c r="AYI16" s="55"/>
      <c r="AYJ16" s="55"/>
      <c r="AYK16" s="55"/>
      <c r="AYL16" s="55"/>
      <c r="AYM16" s="55"/>
      <c r="AYN16" s="55"/>
      <c r="AYO16" s="55"/>
      <c r="AYP16" s="55"/>
      <c r="AYQ16" s="55"/>
      <c r="AYR16" s="55"/>
      <c r="AYS16" s="55"/>
      <c r="AYT16" s="55"/>
      <c r="AYU16" s="55"/>
      <c r="AYV16" s="55"/>
      <c r="AYW16" s="55"/>
      <c r="AYX16" s="55"/>
      <c r="AYY16" s="55"/>
      <c r="AYZ16" s="55"/>
      <c r="AZA16" s="55"/>
      <c r="AZB16" s="55"/>
      <c r="AZC16" s="55"/>
      <c r="AZD16" s="55"/>
      <c r="AZE16" s="55"/>
      <c r="AZF16" s="55"/>
      <c r="AZG16" s="55"/>
      <c r="AZH16" s="55"/>
      <c r="AZI16" s="55"/>
      <c r="AZJ16" s="55"/>
      <c r="AZK16" s="55"/>
      <c r="AZL16" s="55"/>
      <c r="AZM16" s="55"/>
      <c r="AZN16" s="55"/>
      <c r="AZO16" s="55"/>
      <c r="AZP16" s="55"/>
      <c r="AZQ16" s="55"/>
      <c r="AZR16" s="55"/>
      <c r="AZS16" s="55"/>
      <c r="AZT16" s="55"/>
      <c r="AZU16" s="55"/>
      <c r="AZV16" s="55"/>
      <c r="AZW16" s="55"/>
      <c r="AZX16" s="55"/>
      <c r="AZY16" s="55"/>
      <c r="AZZ16" s="55"/>
      <c r="BAA16" s="55"/>
      <c r="BAB16" s="55"/>
      <c r="BAC16" s="55"/>
      <c r="BAD16" s="55"/>
      <c r="BAE16" s="55"/>
      <c r="BAF16" s="55"/>
      <c r="BAG16" s="55"/>
      <c r="BAH16" s="55"/>
      <c r="BAI16" s="55"/>
      <c r="BAJ16" s="55"/>
      <c r="BAK16" s="55"/>
      <c r="BAL16" s="55"/>
      <c r="BAM16" s="55"/>
      <c r="BAN16" s="55"/>
      <c r="BAO16" s="55"/>
      <c r="BAP16" s="55"/>
      <c r="BAQ16" s="55"/>
      <c r="BAR16" s="55"/>
      <c r="BAS16" s="55"/>
      <c r="BAT16" s="55"/>
      <c r="BAU16" s="55"/>
      <c r="BAV16" s="55"/>
      <c r="BAW16" s="55"/>
      <c r="BAX16" s="55"/>
      <c r="BAY16" s="55"/>
      <c r="BAZ16" s="55"/>
      <c r="BBA16" s="55"/>
      <c r="BBB16" s="55"/>
      <c r="BBC16" s="55"/>
      <c r="BBD16" s="55"/>
      <c r="BBE16" s="55"/>
      <c r="BBF16" s="55"/>
      <c r="BBG16" s="55"/>
      <c r="BBH16" s="55"/>
      <c r="BBI16" s="55"/>
      <c r="BBJ16" s="55"/>
      <c r="BBK16" s="55"/>
      <c r="BBL16" s="55"/>
      <c r="BBM16" s="55"/>
      <c r="BBN16" s="55"/>
      <c r="BBO16" s="55"/>
      <c r="BBP16" s="55"/>
      <c r="BBQ16" s="55"/>
      <c r="BBR16" s="55"/>
      <c r="BBS16" s="55"/>
      <c r="BBT16" s="55"/>
      <c r="BBU16" s="55"/>
      <c r="BBV16" s="55"/>
      <c r="BBW16" s="55"/>
      <c r="BBX16" s="55"/>
      <c r="BBY16" s="55"/>
      <c r="BBZ16" s="55"/>
      <c r="BCA16" s="55"/>
      <c r="BCB16" s="55"/>
      <c r="BCC16" s="55"/>
      <c r="BCD16" s="55"/>
      <c r="BCE16" s="55"/>
      <c r="BCF16" s="55"/>
      <c r="BCG16" s="55"/>
      <c r="BCH16" s="55"/>
      <c r="BCI16" s="55"/>
      <c r="BCJ16" s="55"/>
      <c r="BCK16" s="55"/>
      <c r="BCL16" s="55"/>
      <c r="BCM16" s="55"/>
      <c r="BCN16" s="55"/>
      <c r="BCO16" s="55"/>
      <c r="BCP16" s="55"/>
      <c r="BCQ16" s="55"/>
      <c r="BCR16" s="55"/>
      <c r="BCS16" s="55"/>
      <c r="BCT16" s="55"/>
      <c r="BCU16" s="55"/>
      <c r="BCV16" s="55"/>
      <c r="BCW16" s="55"/>
      <c r="BCX16" s="55"/>
    </row>
    <row r="17" spans="1:1454" s="49" customFormat="1" x14ac:dyDescent="0.25">
      <c r="A17" s="80">
        <v>2</v>
      </c>
      <c r="B17" s="76" t="str">
        <f>线路!B14</f>
        <v>IP9</v>
      </c>
      <c r="C17" s="81">
        <f>线路!E14</f>
        <v>451315.81439999997</v>
      </c>
      <c r="D17" s="81">
        <f>线路!F14</f>
        <v>3047470.5693000001</v>
      </c>
      <c r="E17" s="85">
        <f>线路!G14</f>
        <v>13</v>
      </c>
      <c r="F17" s="85">
        <f>线路!H14</f>
        <v>60.901000000000003</v>
      </c>
      <c r="G17" s="86">
        <f>线路!L14</f>
        <v>874.79651257495482</v>
      </c>
      <c r="H17" s="86">
        <f>线路!M14</f>
        <v>881.7055118653758</v>
      </c>
      <c r="I17" s="86">
        <f>线路!N14</f>
        <v>888.61451115579666</v>
      </c>
      <c r="J17" s="83">
        <f t="shared" si="0"/>
        <v>13.817998580841845</v>
      </c>
      <c r="K17" s="83">
        <f t="shared" si="13"/>
        <v>36.839532791302986</v>
      </c>
      <c r="L17" s="83">
        <f>IF(A17=1,断面设计!$D$7,IF(A17=2,断面设计!$D$8,IF(A17=3,断面设计!$D$9,IF(A17=4,断面设计!$D$10,IF(A17=5,断面设计!$D$11,IF(A17=6,断面设计!$D$12,IF(A17=7,断面设计!$D$13,IF(A17=8,断面设计!$D$14,IF(A17=9,断面设计!$D$15,IF(A17=10,断面设计!$D$16))))))))))</f>
        <v>1.5</v>
      </c>
      <c r="M17" s="83">
        <f t="shared" si="14"/>
        <v>1.2</v>
      </c>
      <c r="N17" s="110">
        <f t="shared" si="1"/>
        <v>1.4999999999999999E-2</v>
      </c>
      <c r="O17" s="83">
        <f>IF(A17=1,断面设计!$J$7,IF(A17=2,断面设计!$J$8,IF(A17=3,断面设计!$J$9,IF(A17=4,断面设计!$J$10,IF(A17=5,断面设计!$J$11,IF(A17=6,断面设计!$J$12,IF(A17=7,断面设计!$J$13,IF(A17=8,断面设计!$J$14,IF(A17=9,断面设计!$J$15,IF(A17=10,断面设计!$J$16))))))))))</f>
        <v>5000</v>
      </c>
      <c r="P17" s="111">
        <f>IF(A17=1,断面设计!$K$7,IF(A17=2,断面设计!$K$8,IF(A17=3,断面设计!$K$9,IF(A17=4,断面设计!$K$10,IF(A17=5,断面设计!$K$11,IF(A17=6,断面设计!$K$12,IF(A17=7,断面设计!$K$13,IF(A17=8,断面设计!$K$14,IF(A17=9,断面设计!$K$15,IF(A17=10,断面设计!$K$16))))))))))</f>
        <v>4.4993914540329225</v>
      </c>
      <c r="Q17" s="110">
        <f>IF(A17=1,断面设计!$C$7,IF(A17=2,断面设计!$C$8,IF(A17=3,断面设计!$C$9,IF(A17=4,断面设计!$C$10,IF(A17=5,断面设计!$C$11,IF(A17=6,断面设计!$C$12,IF(A17=7,断面设计!$C$13,IF(A17=8,断面设计!$C$14,IF(A17=9,断面设计!$C$15,IF(A17=10,断面设计!$C$16))))))))))</f>
        <v>1.58308906639964</v>
      </c>
      <c r="R17" s="83">
        <f>IF(A17=1,断面设计!$F$7,IF(A17=2,断面设计!$F$8,IF(A17=3,断面设计!$F$9,IF(A17=4,断面设计!$F$10,IF(A17=5,断面设计!$F$11,IF(A17=6,断面设计!$F$12,IF(A17=7,断面设计!$F$13,IF(A17=8,断面设计!$F$14,IF(A17=9,断面设计!$F$15,IF(A17=10,断面设计!$F$16))))))))))</f>
        <v>5.3820387901843603</v>
      </c>
      <c r="S17" s="83">
        <f>IF(A17=1,断面设计!$G$7,IF(A17=2,断面设计!$G$8,IF(A17=3,断面设计!$G$9,IF(A17=4,断面设计!$G$10,IF(A17=5,断面设计!$G$11,IF(A17=6,断面设计!$G$12,IF(A17=7,断面设计!$G$13,IF(A17=8,断面设计!$G$14,IF(A17=9,断面设计!$G$15,IF(A17=10,断面设计!$G$16))))))))))</f>
        <v>6.445728347111662</v>
      </c>
      <c r="T17" s="83">
        <f t="shared" si="15"/>
        <v>0.83497760072312976</v>
      </c>
      <c r="U17" s="83">
        <f t="shared" si="16"/>
        <v>0.8360013053489711</v>
      </c>
      <c r="V17" s="123">
        <f t="shared" si="17"/>
        <v>1.4587536693931615E-3</v>
      </c>
      <c r="W17" s="110"/>
      <c r="X17" s="110">
        <f>IF(AN17=0,IF(AN16=2,(H17-H16-AE16)/O17,(H17-H16)/O17),IF(AN17=1,IF(AN16=2,IF(AE17&lt;9,(H17-H16-AE17-AE16)/断面设计!$J$7,(H17-H16-AE17-AE16)/断面设计!$J$7),(H17-H16-AE17)/O16),(H17-H16)/O17))</f>
        <v>7.3679065582605971E-3</v>
      </c>
      <c r="Y17" s="133">
        <v>0</v>
      </c>
      <c r="Z17" s="134">
        <f t="shared" si="26"/>
        <v>0</v>
      </c>
      <c r="AA17" s="83"/>
      <c r="AB17" s="133">
        <f t="shared" si="4"/>
        <v>1.58308906639964</v>
      </c>
      <c r="AC17" s="110">
        <f t="shared" si="5"/>
        <v>8.8266602276537588E-3</v>
      </c>
      <c r="AD17" s="110">
        <f t="shared" ca="1" si="18"/>
        <v>2391.6546900576282</v>
      </c>
      <c r="AE17" s="82">
        <f t="shared" si="19"/>
        <v>0</v>
      </c>
      <c r="AF17" s="110" t="str">
        <f t="shared" si="6"/>
        <v xml:space="preserve"> </v>
      </c>
      <c r="AG17" s="110" t="str">
        <f>IF(AE17=0," ",AF17-断面设计!$C$7)</f>
        <v xml:space="preserve"> </v>
      </c>
      <c r="AH17" s="110">
        <f t="shared" ca="1" si="7"/>
        <v>2391.6575306111554</v>
      </c>
      <c r="AI17" s="110">
        <f t="shared" ca="1" si="8"/>
        <v>2390.0744415447557</v>
      </c>
      <c r="AJ17" s="110">
        <f t="shared" ca="1" si="9"/>
        <v>2391.6533082577703</v>
      </c>
      <c r="AK17" s="110">
        <f t="shared" ca="1" si="10"/>
        <v>2390.0702191913706</v>
      </c>
      <c r="AL17" s="110">
        <f t="shared" ca="1" si="11"/>
        <v>2391.6554194344631</v>
      </c>
      <c r="AM17" s="110">
        <f t="shared" ca="1" si="12"/>
        <v>2390.0723303680634</v>
      </c>
      <c r="AN17" s="80"/>
      <c r="AO17" s="80">
        <v>0</v>
      </c>
      <c r="AP17" s="161"/>
      <c r="AQ17" s="42"/>
      <c r="AR17" s="42"/>
      <c r="AS17" s="42"/>
      <c r="AT17" s="42"/>
      <c r="AU17" s="64" t="str">
        <f t="shared" ca="1" si="20"/>
        <v>881.705511865376,2390.07233036806</v>
      </c>
      <c r="AV17" s="64" t="str">
        <f t="shared" ca="1" si="21"/>
        <v>881.705511865376,2391.65541943446</v>
      </c>
      <c r="AW17" s="169" t="str">
        <f t="shared" si="22"/>
        <v xml:space="preserve">pl 881.705511865376,0 881.705511865376,76 </v>
      </c>
      <c r="AX17" s="161" t="str">
        <f t="shared" ca="1" si="23"/>
        <v>-text 881.705511865376,48 3.5 90 2390.072</v>
      </c>
      <c r="AY17" s="161" t="str">
        <f t="shared" ca="1" si="24"/>
        <v>-text 881.705511865376,62.5 3.5 90 2391.655</v>
      </c>
      <c r="AZ17" s="42" t="str">
        <f t="shared" si="25"/>
        <v>-text 881.705511865376,23.5 3.5 90 马分0+881.71</v>
      </c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  <c r="HI17" s="42"/>
      <c r="HJ17" s="42"/>
      <c r="HK17" s="42"/>
      <c r="HL17" s="42"/>
      <c r="HM17" s="42"/>
      <c r="HN17" s="42"/>
      <c r="HO17" s="42"/>
      <c r="HP17" s="42"/>
      <c r="HQ17" s="42"/>
      <c r="HR17" s="42"/>
      <c r="HS17" s="42"/>
      <c r="HT17" s="42"/>
      <c r="HU17" s="42"/>
      <c r="HV17" s="42"/>
      <c r="HW17" s="42"/>
      <c r="HX17" s="42"/>
      <c r="HY17" s="42"/>
      <c r="HZ17" s="42"/>
      <c r="IA17" s="42"/>
      <c r="IB17" s="42"/>
      <c r="IC17" s="42"/>
      <c r="ID17" s="42"/>
      <c r="IE17" s="42"/>
      <c r="IF17" s="42"/>
      <c r="IG17" s="42"/>
      <c r="IH17" s="42"/>
      <c r="II17" s="42"/>
      <c r="IJ17" s="42"/>
      <c r="IK17" s="42"/>
      <c r="IL17" s="42"/>
      <c r="IM17" s="42"/>
      <c r="IN17" s="42"/>
      <c r="IO17" s="42"/>
      <c r="IP17" s="42"/>
      <c r="IQ17" s="42"/>
      <c r="IR17" s="42"/>
      <c r="IS17" s="42"/>
      <c r="IT17" s="42"/>
      <c r="IU17" s="42"/>
      <c r="IV17" s="42"/>
      <c r="IW17" s="42"/>
      <c r="IX17" s="42"/>
      <c r="IY17" s="42"/>
      <c r="IZ17" s="42"/>
      <c r="JA17" s="42"/>
      <c r="JB17" s="42"/>
      <c r="JC17" s="42"/>
      <c r="JD17" s="42"/>
      <c r="JE17" s="42"/>
      <c r="JF17" s="42"/>
      <c r="JG17" s="42"/>
      <c r="JH17" s="42"/>
      <c r="JI17" s="42"/>
      <c r="JJ17" s="42"/>
      <c r="JK17" s="42"/>
      <c r="JL17" s="42"/>
      <c r="JM17" s="42"/>
      <c r="JN17" s="42"/>
      <c r="JO17" s="42"/>
      <c r="JP17" s="42"/>
      <c r="JQ17" s="42"/>
      <c r="JR17" s="42"/>
      <c r="JS17" s="42"/>
      <c r="JT17" s="42"/>
      <c r="JU17" s="42"/>
      <c r="JV17" s="42"/>
      <c r="JW17" s="42"/>
      <c r="JX17" s="42"/>
      <c r="JY17" s="42"/>
      <c r="JZ17" s="42"/>
      <c r="KA17" s="42"/>
      <c r="KB17" s="42"/>
      <c r="KC17" s="42"/>
      <c r="KD17" s="42"/>
      <c r="KE17" s="42"/>
      <c r="KF17" s="42"/>
      <c r="KG17" s="42"/>
      <c r="KH17" s="42"/>
      <c r="KI17" s="42"/>
      <c r="KJ17" s="42"/>
      <c r="KK17" s="42"/>
      <c r="KL17" s="42"/>
      <c r="KM17" s="42"/>
      <c r="KN17" s="42"/>
      <c r="KO17" s="42"/>
      <c r="KP17" s="42"/>
      <c r="KQ17" s="42"/>
      <c r="KR17" s="42"/>
      <c r="KS17" s="42"/>
      <c r="KT17" s="42"/>
      <c r="KU17" s="42"/>
      <c r="KV17" s="42"/>
      <c r="KW17" s="42"/>
      <c r="KX17" s="42"/>
      <c r="KY17" s="42"/>
      <c r="KZ17" s="42"/>
      <c r="LA17" s="42"/>
      <c r="LB17" s="42"/>
      <c r="LC17" s="42"/>
      <c r="LD17" s="42"/>
      <c r="LE17" s="42"/>
      <c r="LF17" s="42"/>
      <c r="LG17" s="42"/>
      <c r="LH17" s="42"/>
      <c r="LI17" s="42"/>
      <c r="LJ17" s="42"/>
      <c r="LK17" s="42"/>
      <c r="LL17" s="42"/>
      <c r="LM17" s="42"/>
      <c r="LN17" s="42"/>
      <c r="LO17" s="42"/>
      <c r="LP17" s="42"/>
      <c r="LQ17" s="42"/>
      <c r="LR17" s="42"/>
      <c r="LS17" s="42"/>
      <c r="LT17" s="42"/>
      <c r="LU17" s="42"/>
      <c r="LV17" s="42"/>
      <c r="LW17" s="42"/>
      <c r="LX17" s="42"/>
      <c r="LY17" s="42"/>
      <c r="LZ17" s="42"/>
      <c r="MA17" s="42"/>
      <c r="MB17" s="42"/>
      <c r="MC17" s="42"/>
      <c r="MD17" s="42"/>
      <c r="ME17" s="42"/>
      <c r="MF17" s="42"/>
      <c r="MG17" s="42"/>
      <c r="MH17" s="42"/>
      <c r="MI17" s="42"/>
      <c r="MJ17" s="42"/>
      <c r="MK17" s="42"/>
      <c r="ML17" s="42"/>
      <c r="MM17" s="42"/>
      <c r="MN17" s="42"/>
      <c r="MO17" s="42"/>
      <c r="MP17" s="42"/>
      <c r="MQ17" s="42"/>
      <c r="MR17" s="42"/>
      <c r="MS17" s="42"/>
      <c r="MT17" s="42"/>
      <c r="MU17" s="42"/>
      <c r="MV17" s="42"/>
      <c r="MW17" s="42"/>
      <c r="MX17" s="42"/>
      <c r="MY17" s="42"/>
      <c r="MZ17" s="42"/>
      <c r="NA17" s="42"/>
      <c r="NB17" s="42"/>
      <c r="NC17" s="42"/>
      <c r="ND17" s="42"/>
      <c r="NE17" s="42"/>
      <c r="NF17" s="42"/>
      <c r="NG17" s="42"/>
      <c r="NH17" s="42"/>
      <c r="NI17" s="42"/>
      <c r="NJ17" s="42"/>
      <c r="NK17" s="42"/>
      <c r="NL17" s="42"/>
      <c r="NM17" s="42"/>
      <c r="NN17" s="42"/>
      <c r="NO17" s="42"/>
      <c r="NP17" s="42"/>
      <c r="NQ17" s="42"/>
      <c r="NR17" s="42"/>
      <c r="NS17" s="42"/>
      <c r="NT17" s="42"/>
      <c r="NU17" s="42"/>
      <c r="NV17" s="42"/>
      <c r="NW17" s="42"/>
      <c r="NX17" s="42"/>
      <c r="NY17" s="42"/>
      <c r="NZ17" s="42"/>
      <c r="OA17" s="42"/>
      <c r="OB17" s="42"/>
      <c r="OC17" s="42"/>
      <c r="OD17" s="42"/>
      <c r="OE17" s="42"/>
      <c r="OF17" s="42"/>
      <c r="OG17" s="42"/>
      <c r="OH17" s="42"/>
      <c r="OI17" s="42"/>
      <c r="OJ17" s="42"/>
      <c r="OK17" s="42"/>
      <c r="OL17" s="42"/>
      <c r="OM17" s="42"/>
      <c r="ON17" s="42"/>
      <c r="OO17" s="42"/>
      <c r="OP17" s="42"/>
      <c r="OQ17" s="42"/>
      <c r="OR17" s="42"/>
      <c r="OS17" s="42"/>
      <c r="OT17" s="42"/>
      <c r="OU17" s="42"/>
      <c r="OV17" s="42"/>
      <c r="OW17" s="42"/>
      <c r="OX17" s="42"/>
      <c r="OY17" s="42"/>
      <c r="OZ17" s="42"/>
      <c r="PA17" s="42"/>
      <c r="PB17" s="42"/>
      <c r="PC17" s="42"/>
      <c r="PD17" s="42"/>
      <c r="PE17" s="42"/>
      <c r="PF17" s="42"/>
      <c r="PG17" s="42"/>
      <c r="PH17" s="42"/>
      <c r="PI17" s="42"/>
      <c r="PJ17" s="42"/>
      <c r="PK17" s="42"/>
      <c r="PL17" s="42"/>
      <c r="PM17" s="42"/>
      <c r="PN17" s="42"/>
      <c r="PO17" s="42"/>
      <c r="PP17" s="42"/>
      <c r="PQ17" s="42"/>
      <c r="PR17" s="42"/>
      <c r="PS17" s="42"/>
      <c r="PT17" s="42"/>
      <c r="PU17" s="42"/>
      <c r="PV17" s="42"/>
      <c r="PW17" s="42"/>
      <c r="PX17" s="42"/>
      <c r="PY17" s="42"/>
      <c r="PZ17" s="42"/>
      <c r="QA17" s="42"/>
      <c r="QB17" s="42"/>
      <c r="QC17" s="42"/>
      <c r="QD17" s="42"/>
      <c r="QE17" s="42"/>
      <c r="QF17" s="42"/>
      <c r="QG17" s="42"/>
      <c r="QH17" s="42"/>
      <c r="QI17" s="42"/>
      <c r="QJ17" s="42"/>
      <c r="QK17" s="42"/>
      <c r="QL17" s="42"/>
      <c r="QM17" s="42"/>
      <c r="QN17" s="42"/>
      <c r="QO17" s="42"/>
      <c r="QP17" s="42"/>
      <c r="QQ17" s="42"/>
      <c r="QR17" s="42"/>
      <c r="QS17" s="42"/>
      <c r="QT17" s="42"/>
      <c r="QU17" s="42"/>
      <c r="QV17" s="42"/>
      <c r="QW17" s="42"/>
      <c r="QX17" s="42"/>
      <c r="QY17" s="42"/>
      <c r="QZ17" s="42"/>
      <c r="RA17" s="42"/>
      <c r="RB17" s="42"/>
      <c r="RC17" s="42"/>
      <c r="RD17" s="42"/>
      <c r="RE17" s="42"/>
      <c r="RF17" s="42"/>
      <c r="RG17" s="42"/>
      <c r="RH17" s="42"/>
      <c r="RI17" s="42"/>
      <c r="RJ17" s="42"/>
      <c r="RK17" s="42"/>
      <c r="RL17" s="42"/>
      <c r="RM17" s="42"/>
      <c r="RN17" s="42"/>
      <c r="RO17" s="42"/>
      <c r="RP17" s="42"/>
      <c r="RQ17" s="42"/>
      <c r="RR17" s="42"/>
      <c r="RS17" s="42"/>
      <c r="RT17" s="42"/>
      <c r="RU17" s="42"/>
      <c r="RV17" s="42"/>
      <c r="RW17" s="42"/>
      <c r="RX17" s="42"/>
      <c r="RY17" s="42"/>
      <c r="RZ17" s="42"/>
      <c r="SA17" s="42"/>
      <c r="SB17" s="42"/>
      <c r="SC17" s="42"/>
      <c r="SD17" s="42"/>
      <c r="SE17" s="42"/>
      <c r="SF17" s="42"/>
      <c r="SG17" s="42"/>
      <c r="SH17" s="42"/>
      <c r="SI17" s="42"/>
      <c r="SJ17" s="42"/>
      <c r="SK17" s="42"/>
      <c r="SL17" s="42"/>
      <c r="SM17" s="42"/>
      <c r="SN17" s="42"/>
      <c r="SO17" s="42"/>
      <c r="SP17" s="42"/>
      <c r="SQ17" s="42"/>
      <c r="SR17" s="42"/>
      <c r="SS17" s="42"/>
      <c r="ST17" s="42"/>
      <c r="SU17" s="42"/>
      <c r="SV17" s="42"/>
      <c r="SW17" s="42"/>
      <c r="SX17" s="42"/>
      <c r="SY17" s="42"/>
      <c r="SZ17" s="42"/>
      <c r="TA17" s="42"/>
      <c r="TB17" s="42"/>
      <c r="TC17" s="42"/>
      <c r="TD17" s="42"/>
      <c r="TE17" s="42"/>
      <c r="TF17" s="42"/>
      <c r="TG17" s="42"/>
      <c r="TH17" s="42"/>
      <c r="TI17" s="42"/>
      <c r="TJ17" s="42"/>
      <c r="TK17" s="42"/>
      <c r="TL17" s="42"/>
      <c r="TM17" s="42"/>
      <c r="TN17" s="42"/>
      <c r="TO17" s="42"/>
      <c r="TP17" s="42"/>
      <c r="TQ17" s="42"/>
      <c r="TR17" s="42"/>
      <c r="TS17" s="42"/>
      <c r="TT17" s="42"/>
      <c r="TU17" s="42"/>
      <c r="TV17" s="42"/>
      <c r="TW17" s="42"/>
      <c r="TX17" s="42"/>
      <c r="TY17" s="42"/>
      <c r="TZ17" s="42"/>
      <c r="UA17" s="42"/>
      <c r="UB17" s="42"/>
      <c r="UC17" s="42"/>
      <c r="UD17" s="42"/>
      <c r="UE17" s="42"/>
      <c r="UF17" s="42"/>
      <c r="UG17" s="42"/>
      <c r="UH17" s="42"/>
      <c r="UI17" s="42"/>
      <c r="UJ17" s="42"/>
      <c r="UK17" s="42"/>
      <c r="UL17" s="42"/>
      <c r="UM17" s="42"/>
      <c r="UN17" s="42"/>
      <c r="UO17" s="42"/>
      <c r="UP17" s="42"/>
      <c r="UQ17" s="42"/>
      <c r="UR17" s="42"/>
      <c r="US17" s="42"/>
      <c r="UT17" s="42"/>
      <c r="UU17" s="42"/>
      <c r="UV17" s="42"/>
      <c r="UW17" s="42"/>
      <c r="UX17" s="42"/>
      <c r="UY17" s="42"/>
      <c r="UZ17" s="42"/>
      <c r="VA17" s="42"/>
      <c r="VB17" s="42"/>
      <c r="VC17" s="42"/>
      <c r="VD17" s="42"/>
      <c r="VE17" s="42"/>
      <c r="VF17" s="42"/>
      <c r="VG17" s="42"/>
      <c r="VH17" s="42"/>
      <c r="VI17" s="42"/>
      <c r="VJ17" s="42"/>
      <c r="VK17" s="42"/>
      <c r="VL17" s="42"/>
      <c r="VM17" s="42"/>
      <c r="VN17" s="42"/>
      <c r="VO17" s="42"/>
      <c r="VP17" s="42"/>
      <c r="VQ17" s="42"/>
      <c r="VR17" s="42"/>
      <c r="VS17" s="42"/>
      <c r="VT17" s="42"/>
      <c r="VU17" s="42"/>
      <c r="VV17" s="42"/>
      <c r="VW17" s="42"/>
      <c r="VX17" s="42"/>
      <c r="VY17" s="42"/>
      <c r="VZ17" s="42"/>
      <c r="WA17" s="42"/>
      <c r="WB17" s="42"/>
      <c r="WC17" s="42"/>
      <c r="WD17" s="42"/>
      <c r="WE17" s="42"/>
      <c r="WF17" s="42"/>
      <c r="WG17" s="42"/>
      <c r="WH17" s="42"/>
      <c r="WI17" s="42"/>
      <c r="WJ17" s="42"/>
      <c r="WK17" s="42"/>
      <c r="WL17" s="42"/>
      <c r="WM17" s="42"/>
      <c r="WN17" s="42"/>
      <c r="WO17" s="42"/>
      <c r="WP17" s="42"/>
      <c r="WQ17" s="42"/>
      <c r="WR17" s="42"/>
      <c r="WS17" s="42"/>
      <c r="WT17" s="42"/>
      <c r="WU17" s="42"/>
      <c r="WV17" s="42"/>
      <c r="WW17" s="42"/>
      <c r="WX17" s="42"/>
      <c r="WY17" s="42"/>
      <c r="WZ17" s="42"/>
      <c r="XA17" s="42"/>
      <c r="XB17" s="42"/>
      <c r="XC17" s="42"/>
      <c r="XD17" s="42"/>
      <c r="XE17" s="42"/>
      <c r="XF17" s="42"/>
      <c r="XG17" s="42"/>
      <c r="XH17" s="42"/>
      <c r="XI17" s="42"/>
      <c r="XJ17" s="42"/>
      <c r="XK17" s="42"/>
      <c r="XL17" s="42"/>
      <c r="XM17" s="42"/>
      <c r="XN17" s="42"/>
      <c r="XO17" s="42"/>
      <c r="XP17" s="42"/>
      <c r="XQ17" s="42"/>
      <c r="XR17" s="42"/>
      <c r="XS17" s="42"/>
      <c r="XT17" s="42"/>
      <c r="XU17" s="42"/>
      <c r="XV17" s="42"/>
      <c r="XW17" s="42"/>
      <c r="XX17" s="42"/>
      <c r="XY17" s="42"/>
      <c r="XZ17" s="42"/>
      <c r="YA17" s="42"/>
      <c r="YB17" s="42"/>
      <c r="YC17" s="42"/>
      <c r="YD17" s="42"/>
      <c r="YE17" s="42"/>
      <c r="YF17" s="42"/>
      <c r="YG17" s="42"/>
      <c r="YH17" s="42"/>
      <c r="YI17" s="42"/>
      <c r="YJ17" s="42"/>
      <c r="YK17" s="42"/>
      <c r="YL17" s="42"/>
      <c r="YM17" s="42"/>
      <c r="YN17" s="42"/>
      <c r="YO17" s="42"/>
      <c r="YP17" s="42"/>
      <c r="YQ17" s="42"/>
      <c r="YR17" s="42"/>
      <c r="YS17" s="42"/>
      <c r="YT17" s="42"/>
      <c r="YU17" s="42"/>
      <c r="YV17" s="42"/>
      <c r="YW17" s="42"/>
      <c r="YX17" s="42"/>
      <c r="YY17" s="42"/>
      <c r="YZ17" s="42"/>
      <c r="ZA17" s="42"/>
      <c r="ZB17" s="42"/>
      <c r="ZC17" s="42"/>
      <c r="ZD17" s="42"/>
      <c r="ZE17" s="42"/>
      <c r="ZF17" s="42"/>
      <c r="ZG17" s="42"/>
      <c r="ZH17" s="42"/>
      <c r="ZI17" s="42"/>
      <c r="ZJ17" s="42"/>
      <c r="ZK17" s="42"/>
      <c r="ZL17" s="42"/>
      <c r="ZM17" s="42"/>
      <c r="ZN17" s="42"/>
      <c r="ZO17" s="42"/>
      <c r="ZP17" s="42"/>
      <c r="ZQ17" s="42"/>
      <c r="ZR17" s="42"/>
      <c r="ZS17" s="42"/>
      <c r="ZT17" s="42"/>
      <c r="ZU17" s="42"/>
      <c r="ZV17" s="42"/>
      <c r="ZW17" s="42"/>
      <c r="ZX17" s="42"/>
      <c r="ZY17" s="42"/>
      <c r="ZZ17" s="42"/>
      <c r="AAA17" s="42"/>
      <c r="AAB17" s="42"/>
      <c r="AAC17" s="42"/>
      <c r="AAD17" s="42"/>
      <c r="AAE17" s="42"/>
      <c r="AAF17" s="42"/>
      <c r="AAG17" s="42"/>
      <c r="AAH17" s="42"/>
      <c r="AAI17" s="42"/>
      <c r="AAJ17" s="42"/>
      <c r="AAK17" s="42"/>
      <c r="AAL17" s="42"/>
      <c r="AAM17" s="42"/>
      <c r="AAN17" s="42"/>
      <c r="AAO17" s="42"/>
      <c r="AAP17" s="42"/>
      <c r="AAQ17" s="42"/>
      <c r="AAR17" s="42"/>
      <c r="AAS17" s="42"/>
      <c r="AAT17" s="42"/>
      <c r="AAU17" s="42"/>
      <c r="AAV17" s="42"/>
      <c r="AAW17" s="42"/>
      <c r="AAX17" s="42"/>
      <c r="AAY17" s="42"/>
      <c r="AAZ17" s="42"/>
      <c r="ABA17" s="42"/>
      <c r="ABB17" s="42"/>
      <c r="ABC17" s="42"/>
      <c r="ABD17" s="42"/>
      <c r="ABE17" s="42"/>
      <c r="ABF17" s="42"/>
      <c r="ABG17" s="42"/>
      <c r="ABH17" s="42"/>
      <c r="ABI17" s="42"/>
      <c r="ABJ17" s="42"/>
      <c r="ABK17" s="42"/>
      <c r="ABL17" s="42"/>
      <c r="ABM17" s="42"/>
      <c r="ABN17" s="42"/>
      <c r="ABO17" s="42"/>
      <c r="ABP17" s="42"/>
      <c r="ABQ17" s="42"/>
      <c r="ABR17" s="42"/>
      <c r="ABS17" s="42"/>
      <c r="ABT17" s="42"/>
      <c r="ABU17" s="42"/>
      <c r="ABV17" s="42"/>
      <c r="ABW17" s="42"/>
      <c r="ABX17" s="42"/>
      <c r="ABY17" s="42"/>
      <c r="ABZ17" s="42"/>
      <c r="ACA17" s="42"/>
      <c r="ACB17" s="42"/>
      <c r="ACC17" s="42"/>
      <c r="ACD17" s="42"/>
      <c r="ACE17" s="42"/>
      <c r="ACF17" s="42"/>
      <c r="ACG17" s="42"/>
      <c r="ACH17" s="42"/>
      <c r="ACI17" s="42"/>
      <c r="ACJ17" s="42"/>
      <c r="ACK17" s="42"/>
      <c r="ACL17" s="42"/>
      <c r="ACM17" s="42"/>
      <c r="ACN17" s="42"/>
      <c r="ACO17" s="42"/>
      <c r="ACP17" s="42"/>
      <c r="ACQ17" s="42"/>
      <c r="ACR17" s="42"/>
      <c r="ACS17" s="42"/>
      <c r="ACT17" s="42"/>
      <c r="ACU17" s="42"/>
      <c r="ACV17" s="42"/>
      <c r="ACW17" s="42"/>
      <c r="ACX17" s="42"/>
      <c r="ACY17" s="42"/>
      <c r="ACZ17" s="42"/>
      <c r="ADA17" s="42"/>
      <c r="ADB17" s="42"/>
      <c r="ADC17" s="42"/>
      <c r="ADD17" s="42"/>
      <c r="ADE17" s="42"/>
      <c r="ADF17" s="42"/>
      <c r="ADG17" s="42"/>
      <c r="ADH17" s="42"/>
      <c r="ADI17" s="42"/>
      <c r="ADJ17" s="42"/>
      <c r="ADK17" s="42"/>
      <c r="ADL17" s="42"/>
      <c r="ADM17" s="42"/>
      <c r="ADN17" s="42"/>
      <c r="ADO17" s="42"/>
      <c r="ADP17" s="42"/>
      <c r="ADQ17" s="42"/>
      <c r="ADR17" s="42"/>
      <c r="ADS17" s="42"/>
      <c r="ADT17" s="42"/>
      <c r="ADU17" s="42"/>
      <c r="ADV17" s="42"/>
      <c r="ADW17" s="42"/>
      <c r="ADX17" s="42"/>
      <c r="ADY17" s="42"/>
      <c r="ADZ17" s="42"/>
      <c r="AEA17" s="42"/>
      <c r="AEB17" s="42"/>
      <c r="AEC17" s="42"/>
      <c r="AED17" s="42"/>
      <c r="AEE17" s="42"/>
      <c r="AEF17" s="42"/>
      <c r="AEG17" s="42"/>
      <c r="AEH17" s="42"/>
      <c r="AEI17" s="42"/>
      <c r="AEJ17" s="42"/>
      <c r="AEK17" s="42"/>
      <c r="AEL17" s="42"/>
      <c r="AEM17" s="42"/>
      <c r="AEN17" s="42"/>
      <c r="AEO17" s="42"/>
      <c r="AEP17" s="42"/>
      <c r="AEQ17" s="42"/>
      <c r="AER17" s="42"/>
      <c r="AES17" s="42"/>
      <c r="AET17" s="42"/>
      <c r="AEU17" s="42"/>
      <c r="AEV17" s="42"/>
      <c r="AEW17" s="42"/>
      <c r="AEX17" s="42"/>
      <c r="AEY17" s="42"/>
      <c r="AEZ17" s="42"/>
      <c r="AFA17" s="42"/>
      <c r="AFB17" s="42"/>
      <c r="AFC17" s="42"/>
      <c r="AFD17" s="42"/>
      <c r="AFE17" s="42"/>
      <c r="AFF17" s="42"/>
      <c r="AFG17" s="42"/>
      <c r="AFH17" s="42"/>
      <c r="AFI17" s="42"/>
      <c r="AFJ17" s="42"/>
      <c r="AFK17" s="42"/>
      <c r="AFL17" s="42"/>
      <c r="AFM17" s="42"/>
      <c r="AFN17" s="42"/>
      <c r="AFO17" s="42"/>
      <c r="AFP17" s="42"/>
      <c r="AFQ17" s="42"/>
      <c r="AFR17" s="42"/>
      <c r="AFS17" s="42"/>
      <c r="AFT17" s="42"/>
      <c r="AFU17" s="42"/>
      <c r="AFV17" s="42"/>
      <c r="AFW17" s="42"/>
      <c r="AFX17" s="42"/>
      <c r="AFY17" s="42"/>
      <c r="AFZ17" s="42"/>
      <c r="AGA17" s="42"/>
      <c r="AGB17" s="42"/>
      <c r="AGC17" s="42"/>
      <c r="AGD17" s="42"/>
      <c r="AGE17" s="42"/>
      <c r="AGF17" s="42"/>
      <c r="AGG17" s="42"/>
      <c r="AGH17" s="42"/>
      <c r="AGI17" s="42"/>
      <c r="AGJ17" s="42"/>
      <c r="AGK17" s="42"/>
      <c r="AGL17" s="42"/>
      <c r="AGM17" s="42"/>
      <c r="AGN17" s="42"/>
      <c r="AGO17" s="42"/>
      <c r="AGP17" s="42"/>
      <c r="AGQ17" s="42"/>
      <c r="AGR17" s="42"/>
      <c r="AGS17" s="42"/>
      <c r="AGT17" s="42"/>
      <c r="AGU17" s="42"/>
      <c r="AGV17" s="42"/>
      <c r="AGW17" s="42"/>
      <c r="AGX17" s="42"/>
      <c r="AGY17" s="42"/>
      <c r="AGZ17" s="42"/>
      <c r="AHA17" s="42"/>
      <c r="AHB17" s="42"/>
      <c r="AHC17" s="42"/>
      <c r="AHD17" s="42"/>
      <c r="AHE17" s="42"/>
      <c r="AHF17" s="42"/>
      <c r="AHG17" s="42"/>
      <c r="AHH17" s="42"/>
      <c r="AHI17" s="42"/>
      <c r="AHJ17" s="42"/>
      <c r="AHK17" s="42"/>
      <c r="AHL17" s="42"/>
      <c r="AHM17" s="42"/>
      <c r="AHN17" s="42"/>
      <c r="AHO17" s="42"/>
      <c r="AHP17" s="42"/>
      <c r="AHQ17" s="42"/>
      <c r="AHR17" s="42"/>
      <c r="AHS17" s="42"/>
      <c r="AHT17" s="42"/>
      <c r="AHU17" s="42"/>
      <c r="AHV17" s="42"/>
      <c r="AHW17" s="42"/>
      <c r="AHX17" s="42"/>
      <c r="AHY17" s="42"/>
      <c r="AHZ17" s="42"/>
      <c r="AIA17" s="42"/>
      <c r="AIB17" s="42"/>
      <c r="AIC17" s="42"/>
      <c r="AID17" s="42"/>
      <c r="AIE17" s="42"/>
      <c r="AIF17" s="42"/>
      <c r="AIG17" s="42"/>
      <c r="AIH17" s="42"/>
      <c r="AII17" s="42"/>
      <c r="AIJ17" s="42"/>
      <c r="AIK17" s="42"/>
      <c r="AIL17" s="42"/>
      <c r="AIM17" s="42"/>
      <c r="AIN17" s="42"/>
      <c r="AIO17" s="42"/>
      <c r="AIP17" s="42"/>
      <c r="AIQ17" s="42"/>
      <c r="AIR17" s="42"/>
      <c r="AIS17" s="42"/>
      <c r="AIT17" s="42"/>
      <c r="AIU17" s="42"/>
      <c r="AIV17" s="42"/>
      <c r="AIW17" s="42"/>
      <c r="AIX17" s="42"/>
      <c r="AIY17" s="42"/>
      <c r="AIZ17" s="42"/>
      <c r="AJA17" s="42"/>
      <c r="AJB17" s="42"/>
      <c r="AJC17" s="42"/>
      <c r="AJD17" s="42"/>
      <c r="AJE17" s="42"/>
      <c r="AJF17" s="42"/>
      <c r="AJG17" s="42"/>
      <c r="AJH17" s="42"/>
      <c r="AJI17" s="42"/>
      <c r="AJJ17" s="42"/>
      <c r="AJK17" s="42"/>
      <c r="AJL17" s="42"/>
      <c r="AJM17" s="42"/>
      <c r="AJN17" s="42"/>
      <c r="AJO17" s="42"/>
      <c r="AJP17" s="42"/>
      <c r="AJQ17" s="42"/>
      <c r="AJR17" s="42"/>
      <c r="AJS17" s="42"/>
      <c r="AJT17" s="42"/>
      <c r="AJU17" s="42"/>
      <c r="AJV17" s="42"/>
      <c r="AJW17" s="42"/>
      <c r="AJX17" s="42"/>
      <c r="AJY17" s="42"/>
      <c r="AJZ17" s="42"/>
      <c r="AKA17" s="42"/>
      <c r="AKB17" s="42"/>
      <c r="AKC17" s="42"/>
      <c r="AKD17" s="42"/>
      <c r="AKE17" s="42"/>
      <c r="AKF17" s="42"/>
      <c r="AKG17" s="42"/>
      <c r="AKH17" s="42"/>
      <c r="AKI17" s="42"/>
      <c r="AKJ17" s="42"/>
      <c r="AKK17" s="42"/>
      <c r="AKL17" s="42"/>
      <c r="AKM17" s="42"/>
      <c r="AKN17" s="42"/>
      <c r="AKO17" s="42"/>
      <c r="AKP17" s="42"/>
      <c r="AKQ17" s="42"/>
      <c r="AKR17" s="42"/>
      <c r="AKS17" s="42"/>
      <c r="AKT17" s="42"/>
      <c r="AKU17" s="42"/>
      <c r="AKV17" s="42"/>
      <c r="AKW17" s="42"/>
      <c r="AKX17" s="42"/>
      <c r="AKY17" s="42"/>
      <c r="AKZ17" s="42"/>
      <c r="ALA17" s="42"/>
      <c r="ALB17" s="42"/>
      <c r="ALC17" s="42"/>
      <c r="ALD17" s="42"/>
      <c r="ALE17" s="42"/>
      <c r="ALF17" s="42"/>
      <c r="ALG17" s="42"/>
      <c r="ALH17" s="42"/>
      <c r="ALI17" s="42"/>
      <c r="ALJ17" s="42"/>
      <c r="ALK17" s="42"/>
      <c r="ALL17" s="42"/>
      <c r="ALM17" s="42"/>
      <c r="ALN17" s="42"/>
      <c r="ALO17" s="42"/>
      <c r="ALP17" s="42"/>
      <c r="ALQ17" s="42"/>
      <c r="ALR17" s="42"/>
      <c r="ALS17" s="42"/>
      <c r="ALT17" s="42"/>
      <c r="ALU17" s="42"/>
      <c r="ALV17" s="42"/>
      <c r="ALW17" s="42"/>
      <c r="ALX17" s="42"/>
      <c r="ALY17" s="42"/>
      <c r="ALZ17" s="42"/>
      <c r="AMA17" s="42"/>
      <c r="AMB17" s="42"/>
      <c r="AMC17" s="42"/>
      <c r="AMD17" s="42"/>
      <c r="AME17" s="42"/>
      <c r="AMF17" s="42"/>
      <c r="AMG17" s="42"/>
      <c r="AMH17" s="42"/>
      <c r="AMI17" s="42"/>
      <c r="AMJ17" s="42"/>
      <c r="AMK17" s="42"/>
      <c r="AML17" s="42"/>
      <c r="AMM17" s="42"/>
      <c r="AMN17" s="42"/>
      <c r="AMO17" s="42"/>
      <c r="AMP17" s="42"/>
      <c r="AMQ17" s="42"/>
      <c r="AMR17" s="42"/>
      <c r="AMS17" s="42"/>
      <c r="AMT17" s="42"/>
      <c r="AMU17" s="42"/>
      <c r="AMV17" s="42"/>
      <c r="AMW17" s="42"/>
      <c r="AMX17" s="42"/>
      <c r="AMY17" s="42"/>
      <c r="AMZ17" s="42"/>
      <c r="ANA17" s="42"/>
      <c r="ANB17" s="42"/>
      <c r="ANC17" s="42"/>
      <c r="AND17" s="42"/>
      <c r="ANE17" s="42"/>
      <c r="ANF17" s="42"/>
      <c r="ANG17" s="42"/>
      <c r="ANH17" s="42"/>
      <c r="ANI17" s="42"/>
      <c r="ANJ17" s="42"/>
      <c r="ANK17" s="42"/>
      <c r="ANL17" s="42"/>
      <c r="ANM17" s="42"/>
      <c r="ANN17" s="42"/>
      <c r="ANO17" s="42"/>
      <c r="ANP17" s="42"/>
      <c r="ANQ17" s="42"/>
      <c r="ANR17" s="42"/>
      <c r="ANS17" s="42"/>
      <c r="ANT17" s="42"/>
      <c r="ANU17" s="42"/>
      <c r="ANV17" s="42"/>
      <c r="ANW17" s="42"/>
      <c r="ANX17" s="42"/>
      <c r="ANY17" s="42"/>
      <c r="ANZ17" s="42"/>
      <c r="AOA17" s="42"/>
      <c r="AOB17" s="42"/>
      <c r="AOC17" s="42"/>
      <c r="AOD17" s="42"/>
      <c r="AOE17" s="42"/>
      <c r="AOF17" s="42"/>
      <c r="AOG17" s="42"/>
      <c r="AOH17" s="42"/>
      <c r="AOI17" s="42"/>
      <c r="AOJ17" s="42"/>
      <c r="AOK17" s="42"/>
      <c r="AOL17" s="42"/>
      <c r="AOM17" s="42"/>
      <c r="AON17" s="42"/>
      <c r="AOO17" s="42"/>
      <c r="AOP17" s="42"/>
      <c r="AOQ17" s="42"/>
      <c r="AOR17" s="42"/>
      <c r="AOS17" s="42"/>
      <c r="AOT17" s="42"/>
      <c r="AOU17" s="42"/>
      <c r="AOV17" s="42"/>
      <c r="AOW17" s="42"/>
      <c r="AOX17" s="42"/>
      <c r="AOY17" s="42"/>
      <c r="AOZ17" s="42"/>
      <c r="APA17" s="42"/>
      <c r="APB17" s="42"/>
      <c r="APC17" s="42"/>
      <c r="APD17" s="42"/>
      <c r="APE17" s="42"/>
      <c r="APF17" s="42"/>
      <c r="APG17" s="42"/>
      <c r="APH17" s="42"/>
      <c r="API17" s="42"/>
      <c r="APJ17" s="42"/>
      <c r="APK17" s="42"/>
      <c r="APL17" s="42"/>
      <c r="APM17" s="42"/>
      <c r="APN17" s="42"/>
      <c r="APO17" s="42"/>
      <c r="APP17" s="42"/>
      <c r="APQ17" s="42"/>
      <c r="APR17" s="42"/>
      <c r="APS17" s="42"/>
      <c r="APT17" s="42"/>
      <c r="APU17" s="42"/>
      <c r="APV17" s="42"/>
      <c r="APW17" s="42"/>
      <c r="APX17" s="42"/>
      <c r="APY17" s="42"/>
      <c r="APZ17" s="42"/>
      <c r="AQA17" s="42"/>
      <c r="AQB17" s="42"/>
      <c r="AQC17" s="42"/>
      <c r="AQD17" s="42"/>
      <c r="AQE17" s="42"/>
      <c r="AQF17" s="42"/>
      <c r="AQG17" s="42"/>
      <c r="AQH17" s="42"/>
      <c r="AQI17" s="42"/>
      <c r="AQJ17" s="42"/>
      <c r="AQK17" s="42"/>
      <c r="AQL17" s="42"/>
      <c r="AQM17" s="42"/>
      <c r="AQN17" s="42"/>
      <c r="AQO17" s="42"/>
      <c r="AQP17" s="42"/>
      <c r="AQQ17" s="42"/>
      <c r="AQR17" s="42"/>
      <c r="AQS17" s="42"/>
      <c r="AQT17" s="42"/>
      <c r="AQU17" s="42"/>
      <c r="AQV17" s="42"/>
      <c r="AQW17" s="42"/>
      <c r="AQX17" s="42"/>
      <c r="AQY17" s="42"/>
      <c r="AQZ17" s="42"/>
      <c r="ARA17" s="42"/>
      <c r="ARB17" s="42"/>
      <c r="ARC17" s="42"/>
      <c r="ARD17" s="42"/>
      <c r="ARE17" s="42"/>
      <c r="ARF17" s="42"/>
      <c r="ARG17" s="42"/>
      <c r="ARH17" s="42"/>
      <c r="ARI17" s="42"/>
      <c r="ARJ17" s="42"/>
      <c r="ARK17" s="42"/>
      <c r="ARL17" s="42"/>
      <c r="ARM17" s="42"/>
      <c r="ARN17" s="42"/>
      <c r="ARO17" s="42"/>
      <c r="ARP17" s="42"/>
      <c r="ARQ17" s="42"/>
      <c r="ARR17" s="42"/>
      <c r="ARS17" s="42"/>
      <c r="ART17" s="42"/>
      <c r="ARU17" s="42"/>
      <c r="ARV17" s="42"/>
      <c r="ARW17" s="42"/>
      <c r="ARX17" s="42"/>
      <c r="ARY17" s="42"/>
      <c r="ARZ17" s="42"/>
      <c r="ASA17" s="42"/>
      <c r="ASB17" s="42"/>
      <c r="ASC17" s="42"/>
      <c r="ASD17" s="42"/>
      <c r="ASE17" s="42"/>
      <c r="ASF17" s="42"/>
      <c r="ASG17" s="42"/>
      <c r="ASH17" s="42"/>
      <c r="ASI17" s="42"/>
      <c r="ASJ17" s="42"/>
      <c r="ASK17" s="42"/>
      <c r="ASL17" s="42"/>
      <c r="ASM17" s="42"/>
      <c r="ASN17" s="42"/>
      <c r="ASO17" s="42"/>
      <c r="ASP17" s="42"/>
      <c r="ASQ17" s="42"/>
      <c r="ASR17" s="42"/>
      <c r="ASS17" s="42"/>
      <c r="AST17" s="42"/>
      <c r="ASU17" s="42"/>
      <c r="ASV17" s="42"/>
      <c r="ASW17" s="42"/>
      <c r="ASX17" s="42"/>
      <c r="ASY17" s="42"/>
      <c r="ASZ17" s="42"/>
      <c r="ATA17" s="42"/>
      <c r="ATB17" s="42"/>
      <c r="ATC17" s="42"/>
      <c r="ATD17" s="42"/>
      <c r="ATE17" s="42"/>
      <c r="ATF17" s="42"/>
      <c r="ATG17" s="42"/>
      <c r="ATH17" s="42"/>
      <c r="ATI17" s="42"/>
      <c r="ATJ17" s="42"/>
      <c r="ATK17" s="42"/>
      <c r="ATL17" s="42"/>
      <c r="ATM17" s="42"/>
      <c r="ATN17" s="42"/>
      <c r="ATO17" s="42"/>
      <c r="ATP17" s="42"/>
      <c r="ATQ17" s="42"/>
      <c r="ATR17" s="42"/>
      <c r="ATS17" s="42"/>
      <c r="ATT17" s="42"/>
      <c r="ATU17" s="42"/>
      <c r="ATV17" s="42"/>
      <c r="ATW17" s="42"/>
      <c r="ATX17" s="42"/>
      <c r="ATY17" s="42"/>
      <c r="ATZ17" s="42"/>
      <c r="AUA17" s="42"/>
      <c r="AUB17" s="42"/>
      <c r="AUC17" s="42"/>
      <c r="AUD17" s="42"/>
      <c r="AUE17" s="42"/>
      <c r="AUF17" s="42"/>
      <c r="AUG17" s="42"/>
      <c r="AUH17" s="42"/>
      <c r="AUI17" s="42"/>
      <c r="AUJ17" s="42"/>
      <c r="AUK17" s="42"/>
      <c r="AUL17" s="42"/>
      <c r="AUM17" s="42"/>
      <c r="AUN17" s="42"/>
      <c r="AUO17" s="42"/>
      <c r="AUP17" s="42"/>
      <c r="AUQ17" s="42"/>
      <c r="AUR17" s="42"/>
      <c r="AUS17" s="42"/>
      <c r="AUT17" s="42"/>
      <c r="AUU17" s="42"/>
      <c r="AUV17" s="42"/>
      <c r="AUW17" s="42"/>
      <c r="AUX17" s="42"/>
      <c r="AUY17" s="42"/>
      <c r="AUZ17" s="42"/>
      <c r="AVA17" s="42"/>
      <c r="AVB17" s="42"/>
      <c r="AVC17" s="42"/>
      <c r="AVD17" s="42"/>
      <c r="AVE17" s="42"/>
      <c r="AVF17" s="42"/>
      <c r="AVG17" s="42"/>
      <c r="AVH17" s="42"/>
      <c r="AVI17" s="42"/>
      <c r="AVJ17" s="42"/>
      <c r="AVK17" s="42"/>
      <c r="AVL17" s="42"/>
      <c r="AVM17" s="42"/>
      <c r="AVN17" s="42"/>
      <c r="AVO17" s="42"/>
      <c r="AVP17" s="42"/>
      <c r="AVQ17" s="42"/>
      <c r="AVR17" s="42"/>
      <c r="AVS17" s="42"/>
      <c r="AVT17" s="42"/>
      <c r="AVU17" s="42"/>
      <c r="AVV17" s="42"/>
      <c r="AVW17" s="42"/>
      <c r="AVX17" s="42"/>
      <c r="AVY17" s="42"/>
      <c r="AVZ17" s="42"/>
      <c r="AWA17" s="42"/>
      <c r="AWB17" s="42"/>
      <c r="AWC17" s="42"/>
      <c r="AWD17" s="42"/>
      <c r="AWE17" s="42"/>
      <c r="AWF17" s="42"/>
      <c r="AWG17" s="42"/>
      <c r="AWH17" s="42"/>
      <c r="AWI17" s="42"/>
      <c r="AWJ17" s="42"/>
      <c r="AWK17" s="42"/>
      <c r="AWL17" s="42"/>
      <c r="AWM17" s="42"/>
      <c r="AWN17" s="42"/>
      <c r="AWO17" s="42"/>
      <c r="AWP17" s="42"/>
      <c r="AWQ17" s="42"/>
      <c r="AWR17" s="42"/>
      <c r="AWS17" s="42"/>
      <c r="AWT17" s="42"/>
      <c r="AWU17" s="42"/>
      <c r="AWV17" s="42"/>
      <c r="AWW17" s="42"/>
      <c r="AWX17" s="42"/>
      <c r="AWY17" s="42"/>
      <c r="AWZ17" s="42"/>
      <c r="AXA17" s="42"/>
      <c r="AXB17" s="42"/>
      <c r="AXC17" s="42"/>
      <c r="AXD17" s="42"/>
      <c r="AXE17" s="42"/>
      <c r="AXF17" s="42"/>
      <c r="AXG17" s="42"/>
      <c r="AXH17" s="42"/>
      <c r="AXI17" s="42"/>
      <c r="AXJ17" s="42"/>
      <c r="AXK17" s="42"/>
      <c r="AXL17" s="42"/>
      <c r="AXM17" s="42"/>
      <c r="AXN17" s="42"/>
      <c r="AXO17" s="42"/>
      <c r="AXP17" s="42"/>
      <c r="AXQ17" s="42"/>
      <c r="AXR17" s="42"/>
      <c r="AXS17" s="42"/>
      <c r="AXT17" s="42"/>
      <c r="AXU17" s="42"/>
      <c r="AXV17" s="42"/>
      <c r="AXW17" s="42"/>
      <c r="AXX17" s="42"/>
      <c r="AXY17" s="42"/>
      <c r="AXZ17" s="42"/>
      <c r="AYA17" s="42"/>
      <c r="AYB17" s="42"/>
      <c r="AYC17" s="42"/>
      <c r="AYD17" s="42"/>
      <c r="AYE17" s="42"/>
      <c r="AYF17" s="42"/>
      <c r="AYG17" s="42"/>
      <c r="AYH17" s="42"/>
      <c r="AYI17" s="42"/>
      <c r="AYJ17" s="42"/>
      <c r="AYK17" s="42"/>
      <c r="AYL17" s="42"/>
      <c r="AYM17" s="42"/>
      <c r="AYN17" s="42"/>
      <c r="AYO17" s="42"/>
      <c r="AYP17" s="42"/>
      <c r="AYQ17" s="42"/>
      <c r="AYR17" s="42"/>
      <c r="AYS17" s="42"/>
      <c r="AYT17" s="42"/>
      <c r="AYU17" s="42"/>
      <c r="AYV17" s="42"/>
      <c r="AYW17" s="42"/>
      <c r="AYX17" s="42"/>
      <c r="AYY17" s="42"/>
      <c r="AYZ17" s="42"/>
      <c r="AZA17" s="42"/>
      <c r="AZB17" s="42"/>
      <c r="AZC17" s="42"/>
      <c r="AZD17" s="42"/>
      <c r="AZE17" s="42"/>
      <c r="AZF17" s="42"/>
      <c r="AZG17" s="42"/>
      <c r="AZH17" s="42"/>
      <c r="AZI17" s="42"/>
      <c r="AZJ17" s="42"/>
      <c r="AZK17" s="42"/>
      <c r="AZL17" s="42"/>
      <c r="AZM17" s="42"/>
      <c r="AZN17" s="42"/>
      <c r="AZO17" s="42"/>
      <c r="AZP17" s="42"/>
      <c r="AZQ17" s="42"/>
      <c r="AZR17" s="42"/>
      <c r="AZS17" s="42"/>
      <c r="AZT17" s="42"/>
      <c r="AZU17" s="42"/>
      <c r="AZV17" s="42"/>
      <c r="AZW17" s="42"/>
      <c r="AZX17" s="42"/>
      <c r="AZY17" s="42"/>
      <c r="AZZ17" s="42"/>
      <c r="BAA17" s="42"/>
      <c r="BAB17" s="42"/>
      <c r="BAC17" s="42"/>
      <c r="BAD17" s="42"/>
      <c r="BAE17" s="42"/>
      <c r="BAF17" s="42"/>
      <c r="BAG17" s="42"/>
      <c r="BAH17" s="42"/>
      <c r="BAI17" s="42"/>
      <c r="BAJ17" s="42"/>
      <c r="BAK17" s="42"/>
      <c r="BAL17" s="42"/>
      <c r="BAM17" s="42"/>
      <c r="BAN17" s="42"/>
      <c r="BAO17" s="42"/>
      <c r="BAP17" s="42"/>
      <c r="BAQ17" s="42"/>
      <c r="BAR17" s="42"/>
      <c r="BAS17" s="42"/>
      <c r="BAT17" s="42"/>
      <c r="BAU17" s="42"/>
      <c r="BAV17" s="42"/>
      <c r="BAW17" s="42"/>
      <c r="BAX17" s="42"/>
      <c r="BAY17" s="42"/>
      <c r="BAZ17" s="42"/>
      <c r="BBA17" s="42"/>
      <c r="BBB17" s="42"/>
      <c r="BBC17" s="42"/>
      <c r="BBD17" s="42"/>
      <c r="BBE17" s="42"/>
      <c r="BBF17" s="42"/>
      <c r="BBG17" s="42"/>
      <c r="BBH17" s="42"/>
      <c r="BBI17" s="42"/>
      <c r="BBJ17" s="42"/>
      <c r="BBK17" s="42"/>
      <c r="BBL17" s="42"/>
      <c r="BBM17" s="42"/>
      <c r="BBN17" s="42"/>
      <c r="BBO17" s="42"/>
      <c r="BBP17" s="42"/>
      <c r="BBQ17" s="42"/>
      <c r="BBR17" s="42"/>
      <c r="BBS17" s="42"/>
      <c r="BBT17" s="42"/>
      <c r="BBU17" s="42"/>
      <c r="BBV17" s="42"/>
      <c r="BBW17" s="42"/>
      <c r="BBX17" s="42"/>
      <c r="BBY17" s="42"/>
      <c r="BBZ17" s="42"/>
      <c r="BCA17" s="42"/>
      <c r="BCB17" s="42"/>
      <c r="BCC17" s="42"/>
      <c r="BCD17" s="42"/>
      <c r="BCE17" s="42"/>
      <c r="BCF17" s="42"/>
      <c r="BCG17" s="42"/>
      <c r="BCH17" s="42"/>
      <c r="BCI17" s="42"/>
      <c r="BCJ17" s="42"/>
      <c r="BCK17" s="42"/>
      <c r="BCL17" s="42"/>
      <c r="BCM17" s="42"/>
      <c r="BCN17" s="42"/>
      <c r="BCO17" s="42"/>
      <c r="BCP17" s="42"/>
      <c r="BCQ17" s="42"/>
      <c r="BCR17" s="42"/>
      <c r="BCS17" s="42"/>
      <c r="BCT17" s="42"/>
      <c r="BCU17" s="42"/>
      <c r="BCV17" s="42"/>
      <c r="BCW17" s="42"/>
      <c r="BCX17" s="42"/>
    </row>
    <row r="18" spans="1:1454" s="49" customFormat="1" x14ac:dyDescent="0.25">
      <c r="A18" s="80">
        <v>2</v>
      </c>
      <c r="B18" s="76" t="str">
        <f>线路!B15</f>
        <v>IP10</v>
      </c>
      <c r="C18" s="81">
        <f>线路!E15</f>
        <v>451337.09340000001</v>
      </c>
      <c r="D18" s="81">
        <f>线路!F15</f>
        <v>3047403.1253</v>
      </c>
      <c r="E18" s="85">
        <f>线路!G15</f>
        <v>13</v>
      </c>
      <c r="F18" s="85">
        <f>线路!H15</f>
        <v>45.805</v>
      </c>
      <c r="G18" s="86">
        <f>线路!L15</f>
        <v>946.2011689135071</v>
      </c>
      <c r="H18" s="86">
        <f>线路!M15</f>
        <v>951.39758132870111</v>
      </c>
      <c r="I18" s="86">
        <f>线路!N15</f>
        <v>956.59399374389511</v>
      </c>
      <c r="J18" s="83">
        <f t="shared" si="0"/>
        <v>10.392824830388008</v>
      </c>
      <c r="K18" s="83">
        <f t="shared" si="13"/>
        <v>69.692069463325311</v>
      </c>
      <c r="L18" s="83">
        <f>IF(A18=1,断面设计!$D$7,IF(A18=2,断面设计!$D$8,IF(A18=3,断面设计!$D$9,IF(A18=4,断面设计!$D$10,IF(A18=5,断面设计!$D$11,IF(A18=6,断面设计!$D$12,IF(A18=7,断面设计!$D$13,IF(A18=8,断面设计!$D$14,IF(A18=9,断面设计!$D$15,IF(A18=10,断面设计!$D$16))))))))))</f>
        <v>1.5</v>
      </c>
      <c r="M18" s="83">
        <f t="shared" si="14"/>
        <v>1.2</v>
      </c>
      <c r="N18" s="110">
        <f t="shared" si="1"/>
        <v>1.4999999999999999E-2</v>
      </c>
      <c r="O18" s="83">
        <f>IF(A18=1,断面设计!$J$7,IF(A18=2,断面设计!$J$8,IF(A18=3,断面设计!$J$9,IF(A18=4,断面设计!$J$10,IF(A18=5,断面设计!$J$11,IF(A18=6,断面设计!$J$12,IF(A18=7,断面设计!$J$13,IF(A18=8,断面设计!$J$14,IF(A18=9,断面设计!$J$15,IF(A18=10,断面设计!$J$16))))))))))</f>
        <v>5000</v>
      </c>
      <c r="P18" s="111">
        <f>IF(A18=1,断面设计!$K$7,IF(A18=2,断面设计!$K$8,IF(A18=3,断面设计!$K$9,IF(A18=4,断面设计!$K$10,IF(A18=5,断面设计!$K$11,IF(A18=6,断面设计!$K$12,IF(A18=7,断面设计!$K$13,IF(A18=8,断面设计!$K$14,IF(A18=9,断面设计!$K$15,IF(A18=10,断面设计!$K$16))))))))))</f>
        <v>4.4993914540329225</v>
      </c>
      <c r="Q18" s="110">
        <f>IF(A18=1,断面设计!$C$7,IF(A18=2,断面设计!$C$8,IF(A18=3,断面设计!$C$9,IF(A18=4,断面设计!$C$10,IF(A18=5,断面设计!$C$11,IF(A18=6,断面设计!$C$12,IF(A18=7,断面设计!$C$13,IF(A18=8,断面设计!$C$14,IF(A18=9,断面设计!$C$15,IF(A18=10,断面设计!$C$16))))))))))</f>
        <v>1.58308906639964</v>
      </c>
      <c r="R18" s="83">
        <f>IF(A18=1,断面设计!$F$7,IF(A18=2,断面设计!$F$8,IF(A18=3,断面设计!$F$9,IF(A18=4,断面设计!$F$10,IF(A18=5,断面设计!$F$11,IF(A18=6,断面设计!$F$12,IF(A18=7,断面设计!$F$13,IF(A18=8,断面设计!$F$14,IF(A18=9,断面设计!$F$15,IF(A18=10,断面设计!$F$16))))))))))</f>
        <v>5.3820387901843603</v>
      </c>
      <c r="S18" s="83">
        <f>IF(A18=1,断面设计!$G$7,IF(A18=2,断面设计!$G$8,IF(A18=3,断面设计!$G$9,IF(A18=4,断面设计!$G$10,IF(A18=5,断面设计!$G$11,IF(A18=6,断面设计!$G$12,IF(A18=7,断面设计!$G$13,IF(A18=8,断面设计!$G$14,IF(A18=9,断面设计!$G$15,IF(A18=10,断面设计!$G$16))))))))))</f>
        <v>6.445728347111662</v>
      </c>
      <c r="T18" s="83">
        <f t="shared" si="15"/>
        <v>0.83497760072312976</v>
      </c>
      <c r="U18" s="83">
        <f t="shared" si="16"/>
        <v>0.8360013053489711</v>
      </c>
      <c r="V18" s="123">
        <f t="shared" si="17"/>
        <v>1.0971611603512866E-3</v>
      </c>
      <c r="W18" s="110"/>
      <c r="X18" s="110">
        <f>IF(AN18=0,IF(AN17=2,(H18-H17-AE17)/O18,(H18-H17)/O18),IF(AN18=1,IF(AN17=2,IF(AE18&lt;9,(H18-H17-AE18-AE17)/断面设计!$J$7,(H18-H17-AE18-AE17)/断面设计!$J$7),(H18-H17-AE18)/O17),(H18-H17)/O18))</f>
        <v>1.3938413892665062E-2</v>
      </c>
      <c r="Y18" s="133">
        <v>0</v>
      </c>
      <c r="Z18" s="134">
        <f t="shared" si="26"/>
        <v>0</v>
      </c>
      <c r="AA18" s="83"/>
      <c r="AB18" s="133">
        <f t="shared" si="4"/>
        <v>1.58308906639964</v>
      </c>
      <c r="AC18" s="110">
        <f t="shared" si="5"/>
        <v>1.5035575053016349E-2</v>
      </c>
      <c r="AD18" s="110">
        <f t="shared" ca="1" si="18"/>
        <v>2391.6396544825752</v>
      </c>
      <c r="AE18" s="82">
        <f t="shared" si="19"/>
        <v>0</v>
      </c>
      <c r="AF18" s="110" t="str">
        <f t="shared" si="6"/>
        <v xml:space="preserve"> </v>
      </c>
      <c r="AG18" s="110" t="str">
        <f>IF(AE18=0," ",AF18-断面设计!$C$7)</f>
        <v xml:space="preserve"> </v>
      </c>
      <c r="AH18" s="110">
        <f t="shared" ca="1" si="7"/>
        <v>2391.6417909262186</v>
      </c>
      <c r="AI18" s="110">
        <f t="shared" ca="1" si="8"/>
        <v>2390.0587018598189</v>
      </c>
      <c r="AJ18" s="110">
        <f t="shared" ca="1" si="9"/>
        <v>2391.6386152000923</v>
      </c>
      <c r="AK18" s="110">
        <f t="shared" ca="1" si="10"/>
        <v>2390.0555261336926</v>
      </c>
      <c r="AL18" s="110">
        <f t="shared" ca="1" si="11"/>
        <v>2391.6402030631552</v>
      </c>
      <c r="AM18" s="110">
        <f t="shared" ca="1" si="12"/>
        <v>2390.0571139967556</v>
      </c>
      <c r="AN18" s="80"/>
      <c r="AO18" s="80">
        <v>0</v>
      </c>
      <c r="AP18" s="161"/>
      <c r="AQ18" s="160">
        <f ca="1">AL18-AM18</f>
        <v>1.5830890663996797</v>
      </c>
      <c r="AR18" s="42"/>
      <c r="AS18" s="42"/>
      <c r="AT18" s="42"/>
      <c r="AU18" s="64" t="str">
        <f t="shared" ca="1" si="20"/>
        <v>951.397581328701,2390.05711399676</v>
      </c>
      <c r="AV18" s="64" t="str">
        <f t="shared" ca="1" si="21"/>
        <v>951.397581328701,2391.64020306316</v>
      </c>
      <c r="AW18" s="169" t="str">
        <f t="shared" si="22"/>
        <v xml:space="preserve">pl 951.397581328701,0 951.397581328701,76 </v>
      </c>
      <c r="AX18" s="161" t="str">
        <f t="shared" ca="1" si="23"/>
        <v>-text 951.397581328701,48 3.5 90 2390.057</v>
      </c>
      <c r="AY18" s="161" t="str">
        <f t="shared" ca="1" si="24"/>
        <v>-text 951.397581328701,62.5 3.5 90 2391.640</v>
      </c>
      <c r="AZ18" s="42" t="str">
        <f t="shared" si="25"/>
        <v>-text 951.397581328701,23.5 3.5 90 马分0+951.40</v>
      </c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  <c r="FI18" s="42"/>
      <c r="FJ18" s="42"/>
      <c r="FK18" s="42"/>
      <c r="FL18" s="42"/>
      <c r="FM18" s="42"/>
      <c r="FN18" s="42"/>
      <c r="FO18" s="42"/>
      <c r="FP18" s="42"/>
      <c r="FQ18" s="42"/>
      <c r="FR18" s="42"/>
      <c r="FS18" s="42"/>
      <c r="FT18" s="42"/>
      <c r="FU18" s="42"/>
      <c r="FV18" s="42"/>
      <c r="FW18" s="42"/>
      <c r="FX18" s="42"/>
      <c r="FY18" s="42"/>
      <c r="FZ18" s="42"/>
      <c r="GA18" s="42"/>
      <c r="GB18" s="42"/>
      <c r="GC18" s="42"/>
      <c r="GD18" s="42"/>
      <c r="GE18" s="42"/>
      <c r="GF18" s="42"/>
      <c r="GG18" s="42"/>
      <c r="GH18" s="42"/>
      <c r="GI18" s="42"/>
      <c r="GJ18" s="42"/>
      <c r="GK18" s="42"/>
      <c r="GL18" s="42"/>
      <c r="GM18" s="42"/>
      <c r="GN18" s="42"/>
      <c r="GO18" s="42"/>
      <c r="GP18" s="42"/>
      <c r="GQ18" s="42"/>
      <c r="GR18" s="42"/>
      <c r="GS18" s="42"/>
      <c r="GT18" s="42"/>
      <c r="GU18" s="42"/>
      <c r="GV18" s="42"/>
      <c r="GW18" s="42"/>
      <c r="GX18" s="42"/>
      <c r="GY18" s="42"/>
      <c r="GZ18" s="42"/>
      <c r="HA18" s="42"/>
      <c r="HB18" s="42"/>
      <c r="HC18" s="42"/>
      <c r="HD18" s="42"/>
      <c r="HE18" s="42"/>
      <c r="HF18" s="42"/>
      <c r="HG18" s="42"/>
      <c r="HH18" s="42"/>
      <c r="HI18" s="42"/>
      <c r="HJ18" s="42"/>
      <c r="HK18" s="42"/>
      <c r="HL18" s="42"/>
      <c r="HM18" s="42"/>
      <c r="HN18" s="42"/>
      <c r="HO18" s="42"/>
      <c r="HP18" s="42"/>
      <c r="HQ18" s="42"/>
      <c r="HR18" s="42"/>
      <c r="HS18" s="42"/>
      <c r="HT18" s="42"/>
      <c r="HU18" s="42"/>
      <c r="HV18" s="42"/>
      <c r="HW18" s="42"/>
      <c r="HX18" s="42"/>
      <c r="HY18" s="42"/>
      <c r="HZ18" s="42"/>
      <c r="IA18" s="42"/>
      <c r="IB18" s="42"/>
      <c r="IC18" s="42"/>
      <c r="ID18" s="42"/>
      <c r="IE18" s="42"/>
      <c r="IF18" s="42"/>
      <c r="IG18" s="42"/>
      <c r="IH18" s="42"/>
      <c r="II18" s="42"/>
      <c r="IJ18" s="42"/>
      <c r="IK18" s="42"/>
      <c r="IL18" s="42"/>
      <c r="IM18" s="42"/>
      <c r="IN18" s="42"/>
      <c r="IO18" s="42"/>
      <c r="IP18" s="42"/>
      <c r="IQ18" s="42"/>
      <c r="IR18" s="42"/>
      <c r="IS18" s="42"/>
      <c r="IT18" s="42"/>
      <c r="IU18" s="42"/>
      <c r="IV18" s="42"/>
      <c r="IW18" s="42"/>
      <c r="IX18" s="42"/>
      <c r="IY18" s="42"/>
      <c r="IZ18" s="42"/>
      <c r="JA18" s="42"/>
      <c r="JB18" s="42"/>
      <c r="JC18" s="42"/>
      <c r="JD18" s="42"/>
      <c r="JE18" s="42"/>
      <c r="JF18" s="42"/>
      <c r="JG18" s="42"/>
      <c r="JH18" s="42"/>
      <c r="JI18" s="42"/>
      <c r="JJ18" s="42"/>
      <c r="JK18" s="42"/>
      <c r="JL18" s="42"/>
      <c r="JM18" s="42"/>
      <c r="JN18" s="42"/>
      <c r="JO18" s="42"/>
      <c r="JP18" s="42"/>
      <c r="JQ18" s="42"/>
      <c r="JR18" s="42"/>
      <c r="JS18" s="42"/>
      <c r="JT18" s="42"/>
      <c r="JU18" s="42"/>
      <c r="JV18" s="42"/>
      <c r="JW18" s="42"/>
      <c r="JX18" s="42"/>
      <c r="JY18" s="42"/>
      <c r="JZ18" s="42"/>
      <c r="KA18" s="42"/>
      <c r="KB18" s="42"/>
      <c r="KC18" s="42"/>
      <c r="KD18" s="42"/>
      <c r="KE18" s="42"/>
      <c r="KF18" s="42"/>
      <c r="KG18" s="42"/>
      <c r="KH18" s="42"/>
      <c r="KI18" s="42"/>
      <c r="KJ18" s="42"/>
      <c r="KK18" s="42"/>
      <c r="KL18" s="42"/>
      <c r="KM18" s="42"/>
      <c r="KN18" s="42"/>
      <c r="KO18" s="42"/>
      <c r="KP18" s="42"/>
      <c r="KQ18" s="42"/>
      <c r="KR18" s="42"/>
      <c r="KS18" s="42"/>
      <c r="KT18" s="42"/>
      <c r="KU18" s="42"/>
      <c r="KV18" s="42"/>
      <c r="KW18" s="42"/>
      <c r="KX18" s="42"/>
      <c r="KY18" s="42"/>
      <c r="KZ18" s="42"/>
      <c r="LA18" s="42"/>
      <c r="LB18" s="42"/>
      <c r="LC18" s="42"/>
      <c r="LD18" s="42"/>
      <c r="LE18" s="42"/>
      <c r="LF18" s="42"/>
      <c r="LG18" s="42"/>
      <c r="LH18" s="42"/>
      <c r="LI18" s="42"/>
      <c r="LJ18" s="42"/>
      <c r="LK18" s="42"/>
      <c r="LL18" s="42"/>
      <c r="LM18" s="42"/>
      <c r="LN18" s="42"/>
      <c r="LO18" s="42"/>
      <c r="LP18" s="42"/>
      <c r="LQ18" s="42"/>
      <c r="LR18" s="42"/>
      <c r="LS18" s="42"/>
      <c r="LT18" s="42"/>
      <c r="LU18" s="42"/>
      <c r="LV18" s="42"/>
      <c r="LW18" s="42"/>
      <c r="LX18" s="42"/>
      <c r="LY18" s="42"/>
      <c r="LZ18" s="42"/>
      <c r="MA18" s="42"/>
      <c r="MB18" s="42"/>
      <c r="MC18" s="42"/>
      <c r="MD18" s="42"/>
      <c r="ME18" s="42"/>
      <c r="MF18" s="42"/>
      <c r="MG18" s="42"/>
      <c r="MH18" s="42"/>
      <c r="MI18" s="42"/>
      <c r="MJ18" s="42"/>
      <c r="MK18" s="42"/>
      <c r="ML18" s="42"/>
      <c r="MM18" s="42"/>
      <c r="MN18" s="42"/>
      <c r="MO18" s="42"/>
      <c r="MP18" s="42"/>
      <c r="MQ18" s="42"/>
      <c r="MR18" s="42"/>
      <c r="MS18" s="42"/>
      <c r="MT18" s="42"/>
      <c r="MU18" s="42"/>
      <c r="MV18" s="42"/>
      <c r="MW18" s="42"/>
      <c r="MX18" s="42"/>
      <c r="MY18" s="42"/>
      <c r="MZ18" s="42"/>
      <c r="NA18" s="42"/>
      <c r="NB18" s="42"/>
      <c r="NC18" s="42"/>
      <c r="ND18" s="42"/>
      <c r="NE18" s="42"/>
      <c r="NF18" s="42"/>
      <c r="NG18" s="42"/>
      <c r="NH18" s="42"/>
      <c r="NI18" s="42"/>
      <c r="NJ18" s="42"/>
      <c r="NK18" s="42"/>
      <c r="NL18" s="42"/>
      <c r="NM18" s="42"/>
      <c r="NN18" s="42"/>
      <c r="NO18" s="42"/>
      <c r="NP18" s="42"/>
      <c r="NQ18" s="42"/>
      <c r="NR18" s="42"/>
      <c r="NS18" s="42"/>
      <c r="NT18" s="42"/>
      <c r="NU18" s="42"/>
      <c r="NV18" s="42"/>
      <c r="NW18" s="42"/>
      <c r="NX18" s="42"/>
      <c r="NY18" s="42"/>
      <c r="NZ18" s="42"/>
      <c r="OA18" s="42"/>
      <c r="OB18" s="42"/>
      <c r="OC18" s="42"/>
      <c r="OD18" s="42"/>
      <c r="OE18" s="42"/>
      <c r="OF18" s="42"/>
      <c r="OG18" s="42"/>
      <c r="OH18" s="42"/>
      <c r="OI18" s="42"/>
      <c r="OJ18" s="42"/>
      <c r="OK18" s="42"/>
      <c r="OL18" s="42"/>
      <c r="OM18" s="42"/>
      <c r="ON18" s="42"/>
      <c r="OO18" s="42"/>
      <c r="OP18" s="42"/>
      <c r="OQ18" s="42"/>
      <c r="OR18" s="42"/>
      <c r="OS18" s="42"/>
      <c r="OT18" s="42"/>
      <c r="OU18" s="42"/>
      <c r="OV18" s="42"/>
      <c r="OW18" s="42"/>
      <c r="OX18" s="42"/>
      <c r="OY18" s="42"/>
      <c r="OZ18" s="42"/>
      <c r="PA18" s="42"/>
      <c r="PB18" s="42"/>
      <c r="PC18" s="42"/>
      <c r="PD18" s="42"/>
      <c r="PE18" s="42"/>
      <c r="PF18" s="42"/>
      <c r="PG18" s="42"/>
      <c r="PH18" s="42"/>
      <c r="PI18" s="42"/>
      <c r="PJ18" s="42"/>
      <c r="PK18" s="42"/>
      <c r="PL18" s="42"/>
      <c r="PM18" s="42"/>
      <c r="PN18" s="42"/>
      <c r="PO18" s="42"/>
      <c r="PP18" s="42"/>
      <c r="PQ18" s="42"/>
      <c r="PR18" s="42"/>
      <c r="PS18" s="42"/>
      <c r="PT18" s="42"/>
      <c r="PU18" s="42"/>
      <c r="PV18" s="42"/>
      <c r="PW18" s="42"/>
      <c r="PX18" s="42"/>
      <c r="PY18" s="42"/>
      <c r="PZ18" s="42"/>
      <c r="QA18" s="42"/>
      <c r="QB18" s="42"/>
      <c r="QC18" s="42"/>
      <c r="QD18" s="42"/>
      <c r="QE18" s="42"/>
      <c r="QF18" s="42"/>
      <c r="QG18" s="42"/>
      <c r="QH18" s="42"/>
      <c r="QI18" s="42"/>
      <c r="QJ18" s="42"/>
      <c r="QK18" s="42"/>
      <c r="QL18" s="42"/>
      <c r="QM18" s="42"/>
      <c r="QN18" s="42"/>
      <c r="QO18" s="42"/>
      <c r="QP18" s="42"/>
      <c r="QQ18" s="42"/>
      <c r="QR18" s="42"/>
      <c r="QS18" s="42"/>
      <c r="QT18" s="42"/>
      <c r="QU18" s="42"/>
      <c r="QV18" s="42"/>
      <c r="QW18" s="42"/>
      <c r="QX18" s="42"/>
      <c r="QY18" s="42"/>
      <c r="QZ18" s="42"/>
      <c r="RA18" s="42"/>
      <c r="RB18" s="42"/>
      <c r="RC18" s="42"/>
      <c r="RD18" s="42"/>
      <c r="RE18" s="42"/>
      <c r="RF18" s="42"/>
      <c r="RG18" s="42"/>
      <c r="RH18" s="42"/>
      <c r="RI18" s="42"/>
      <c r="RJ18" s="42"/>
      <c r="RK18" s="42"/>
      <c r="RL18" s="42"/>
      <c r="RM18" s="42"/>
      <c r="RN18" s="42"/>
      <c r="RO18" s="42"/>
      <c r="RP18" s="42"/>
      <c r="RQ18" s="42"/>
      <c r="RR18" s="42"/>
      <c r="RS18" s="42"/>
      <c r="RT18" s="42"/>
      <c r="RU18" s="42"/>
      <c r="RV18" s="42"/>
      <c r="RW18" s="42"/>
      <c r="RX18" s="42"/>
      <c r="RY18" s="42"/>
      <c r="RZ18" s="42"/>
      <c r="SA18" s="42"/>
      <c r="SB18" s="42"/>
      <c r="SC18" s="42"/>
      <c r="SD18" s="42"/>
      <c r="SE18" s="42"/>
      <c r="SF18" s="42"/>
      <c r="SG18" s="42"/>
      <c r="SH18" s="42"/>
      <c r="SI18" s="42"/>
      <c r="SJ18" s="42"/>
      <c r="SK18" s="42"/>
      <c r="SL18" s="42"/>
      <c r="SM18" s="42"/>
      <c r="SN18" s="42"/>
      <c r="SO18" s="42"/>
      <c r="SP18" s="42"/>
      <c r="SQ18" s="42"/>
      <c r="SR18" s="42"/>
      <c r="SS18" s="42"/>
      <c r="ST18" s="42"/>
      <c r="SU18" s="42"/>
      <c r="SV18" s="42"/>
      <c r="SW18" s="42"/>
      <c r="SX18" s="42"/>
      <c r="SY18" s="42"/>
      <c r="SZ18" s="42"/>
      <c r="TA18" s="42"/>
      <c r="TB18" s="42"/>
      <c r="TC18" s="42"/>
      <c r="TD18" s="42"/>
      <c r="TE18" s="42"/>
      <c r="TF18" s="42"/>
      <c r="TG18" s="42"/>
      <c r="TH18" s="42"/>
      <c r="TI18" s="42"/>
      <c r="TJ18" s="42"/>
      <c r="TK18" s="42"/>
      <c r="TL18" s="42"/>
      <c r="TM18" s="42"/>
      <c r="TN18" s="42"/>
      <c r="TO18" s="42"/>
      <c r="TP18" s="42"/>
      <c r="TQ18" s="42"/>
      <c r="TR18" s="42"/>
      <c r="TS18" s="42"/>
      <c r="TT18" s="42"/>
      <c r="TU18" s="42"/>
      <c r="TV18" s="42"/>
      <c r="TW18" s="42"/>
      <c r="TX18" s="42"/>
      <c r="TY18" s="42"/>
      <c r="TZ18" s="42"/>
      <c r="UA18" s="42"/>
      <c r="UB18" s="42"/>
      <c r="UC18" s="42"/>
      <c r="UD18" s="42"/>
      <c r="UE18" s="42"/>
      <c r="UF18" s="42"/>
      <c r="UG18" s="42"/>
      <c r="UH18" s="42"/>
      <c r="UI18" s="42"/>
      <c r="UJ18" s="42"/>
      <c r="UK18" s="42"/>
      <c r="UL18" s="42"/>
      <c r="UM18" s="42"/>
      <c r="UN18" s="42"/>
      <c r="UO18" s="42"/>
      <c r="UP18" s="42"/>
      <c r="UQ18" s="42"/>
      <c r="UR18" s="42"/>
      <c r="US18" s="42"/>
      <c r="UT18" s="42"/>
      <c r="UU18" s="42"/>
      <c r="UV18" s="42"/>
      <c r="UW18" s="42"/>
      <c r="UX18" s="42"/>
      <c r="UY18" s="42"/>
      <c r="UZ18" s="42"/>
      <c r="VA18" s="42"/>
      <c r="VB18" s="42"/>
      <c r="VC18" s="42"/>
      <c r="VD18" s="42"/>
      <c r="VE18" s="42"/>
      <c r="VF18" s="42"/>
      <c r="VG18" s="42"/>
      <c r="VH18" s="42"/>
      <c r="VI18" s="42"/>
      <c r="VJ18" s="42"/>
      <c r="VK18" s="42"/>
      <c r="VL18" s="42"/>
      <c r="VM18" s="42"/>
      <c r="VN18" s="42"/>
      <c r="VO18" s="42"/>
      <c r="VP18" s="42"/>
      <c r="VQ18" s="42"/>
      <c r="VR18" s="42"/>
      <c r="VS18" s="42"/>
      <c r="VT18" s="42"/>
      <c r="VU18" s="42"/>
      <c r="VV18" s="42"/>
      <c r="VW18" s="42"/>
      <c r="VX18" s="42"/>
      <c r="VY18" s="42"/>
      <c r="VZ18" s="42"/>
      <c r="WA18" s="42"/>
      <c r="WB18" s="42"/>
      <c r="WC18" s="42"/>
      <c r="WD18" s="42"/>
      <c r="WE18" s="42"/>
      <c r="WF18" s="42"/>
      <c r="WG18" s="42"/>
      <c r="WH18" s="42"/>
      <c r="WI18" s="42"/>
      <c r="WJ18" s="42"/>
      <c r="WK18" s="42"/>
      <c r="WL18" s="42"/>
      <c r="WM18" s="42"/>
      <c r="WN18" s="42"/>
      <c r="WO18" s="42"/>
      <c r="WP18" s="42"/>
      <c r="WQ18" s="42"/>
      <c r="WR18" s="42"/>
      <c r="WS18" s="42"/>
      <c r="WT18" s="42"/>
      <c r="WU18" s="42"/>
      <c r="WV18" s="42"/>
      <c r="WW18" s="42"/>
      <c r="WX18" s="42"/>
      <c r="WY18" s="42"/>
      <c r="WZ18" s="42"/>
      <c r="XA18" s="42"/>
      <c r="XB18" s="42"/>
      <c r="XC18" s="42"/>
      <c r="XD18" s="42"/>
      <c r="XE18" s="42"/>
      <c r="XF18" s="42"/>
      <c r="XG18" s="42"/>
      <c r="XH18" s="42"/>
      <c r="XI18" s="42"/>
      <c r="XJ18" s="42"/>
      <c r="XK18" s="42"/>
      <c r="XL18" s="42"/>
      <c r="XM18" s="42"/>
      <c r="XN18" s="42"/>
      <c r="XO18" s="42"/>
      <c r="XP18" s="42"/>
      <c r="XQ18" s="42"/>
      <c r="XR18" s="42"/>
      <c r="XS18" s="42"/>
      <c r="XT18" s="42"/>
      <c r="XU18" s="42"/>
      <c r="XV18" s="42"/>
      <c r="XW18" s="42"/>
      <c r="XX18" s="42"/>
      <c r="XY18" s="42"/>
      <c r="XZ18" s="42"/>
      <c r="YA18" s="42"/>
      <c r="YB18" s="42"/>
      <c r="YC18" s="42"/>
      <c r="YD18" s="42"/>
      <c r="YE18" s="42"/>
      <c r="YF18" s="42"/>
      <c r="YG18" s="42"/>
      <c r="YH18" s="42"/>
      <c r="YI18" s="42"/>
      <c r="YJ18" s="42"/>
      <c r="YK18" s="42"/>
      <c r="YL18" s="42"/>
      <c r="YM18" s="42"/>
      <c r="YN18" s="42"/>
      <c r="YO18" s="42"/>
      <c r="YP18" s="42"/>
      <c r="YQ18" s="42"/>
      <c r="YR18" s="42"/>
      <c r="YS18" s="42"/>
      <c r="YT18" s="42"/>
      <c r="YU18" s="42"/>
      <c r="YV18" s="42"/>
      <c r="YW18" s="42"/>
      <c r="YX18" s="42"/>
      <c r="YY18" s="42"/>
      <c r="YZ18" s="42"/>
      <c r="ZA18" s="42"/>
      <c r="ZB18" s="42"/>
      <c r="ZC18" s="42"/>
      <c r="ZD18" s="42"/>
      <c r="ZE18" s="42"/>
      <c r="ZF18" s="42"/>
      <c r="ZG18" s="42"/>
      <c r="ZH18" s="42"/>
      <c r="ZI18" s="42"/>
      <c r="ZJ18" s="42"/>
      <c r="ZK18" s="42"/>
      <c r="ZL18" s="42"/>
      <c r="ZM18" s="42"/>
      <c r="ZN18" s="42"/>
      <c r="ZO18" s="42"/>
      <c r="ZP18" s="42"/>
      <c r="ZQ18" s="42"/>
      <c r="ZR18" s="42"/>
      <c r="ZS18" s="42"/>
      <c r="ZT18" s="42"/>
      <c r="ZU18" s="42"/>
      <c r="ZV18" s="42"/>
      <c r="ZW18" s="42"/>
      <c r="ZX18" s="42"/>
      <c r="ZY18" s="42"/>
      <c r="ZZ18" s="42"/>
      <c r="AAA18" s="42"/>
      <c r="AAB18" s="42"/>
      <c r="AAC18" s="42"/>
      <c r="AAD18" s="42"/>
      <c r="AAE18" s="42"/>
      <c r="AAF18" s="42"/>
      <c r="AAG18" s="42"/>
      <c r="AAH18" s="42"/>
      <c r="AAI18" s="42"/>
      <c r="AAJ18" s="42"/>
      <c r="AAK18" s="42"/>
      <c r="AAL18" s="42"/>
      <c r="AAM18" s="42"/>
      <c r="AAN18" s="42"/>
      <c r="AAO18" s="42"/>
      <c r="AAP18" s="42"/>
      <c r="AAQ18" s="42"/>
      <c r="AAR18" s="42"/>
      <c r="AAS18" s="42"/>
      <c r="AAT18" s="42"/>
      <c r="AAU18" s="42"/>
      <c r="AAV18" s="42"/>
      <c r="AAW18" s="42"/>
      <c r="AAX18" s="42"/>
      <c r="AAY18" s="42"/>
      <c r="AAZ18" s="42"/>
      <c r="ABA18" s="42"/>
      <c r="ABB18" s="42"/>
      <c r="ABC18" s="42"/>
      <c r="ABD18" s="42"/>
      <c r="ABE18" s="42"/>
      <c r="ABF18" s="42"/>
      <c r="ABG18" s="42"/>
      <c r="ABH18" s="42"/>
      <c r="ABI18" s="42"/>
      <c r="ABJ18" s="42"/>
      <c r="ABK18" s="42"/>
      <c r="ABL18" s="42"/>
      <c r="ABM18" s="42"/>
      <c r="ABN18" s="42"/>
      <c r="ABO18" s="42"/>
      <c r="ABP18" s="42"/>
      <c r="ABQ18" s="42"/>
      <c r="ABR18" s="42"/>
      <c r="ABS18" s="42"/>
      <c r="ABT18" s="42"/>
      <c r="ABU18" s="42"/>
      <c r="ABV18" s="42"/>
      <c r="ABW18" s="42"/>
      <c r="ABX18" s="42"/>
      <c r="ABY18" s="42"/>
      <c r="ABZ18" s="42"/>
      <c r="ACA18" s="42"/>
      <c r="ACB18" s="42"/>
      <c r="ACC18" s="42"/>
      <c r="ACD18" s="42"/>
      <c r="ACE18" s="42"/>
      <c r="ACF18" s="42"/>
      <c r="ACG18" s="42"/>
      <c r="ACH18" s="42"/>
      <c r="ACI18" s="42"/>
      <c r="ACJ18" s="42"/>
      <c r="ACK18" s="42"/>
      <c r="ACL18" s="42"/>
      <c r="ACM18" s="42"/>
      <c r="ACN18" s="42"/>
      <c r="ACO18" s="42"/>
      <c r="ACP18" s="42"/>
      <c r="ACQ18" s="42"/>
      <c r="ACR18" s="42"/>
      <c r="ACS18" s="42"/>
      <c r="ACT18" s="42"/>
      <c r="ACU18" s="42"/>
      <c r="ACV18" s="42"/>
      <c r="ACW18" s="42"/>
      <c r="ACX18" s="42"/>
      <c r="ACY18" s="42"/>
      <c r="ACZ18" s="42"/>
      <c r="ADA18" s="42"/>
      <c r="ADB18" s="42"/>
      <c r="ADC18" s="42"/>
      <c r="ADD18" s="42"/>
      <c r="ADE18" s="42"/>
      <c r="ADF18" s="42"/>
      <c r="ADG18" s="42"/>
      <c r="ADH18" s="42"/>
      <c r="ADI18" s="42"/>
      <c r="ADJ18" s="42"/>
      <c r="ADK18" s="42"/>
      <c r="ADL18" s="42"/>
      <c r="ADM18" s="42"/>
      <c r="ADN18" s="42"/>
      <c r="ADO18" s="42"/>
      <c r="ADP18" s="42"/>
      <c r="ADQ18" s="42"/>
      <c r="ADR18" s="42"/>
      <c r="ADS18" s="42"/>
      <c r="ADT18" s="42"/>
      <c r="ADU18" s="42"/>
      <c r="ADV18" s="42"/>
      <c r="ADW18" s="42"/>
      <c r="ADX18" s="42"/>
      <c r="ADY18" s="42"/>
      <c r="ADZ18" s="42"/>
      <c r="AEA18" s="42"/>
      <c r="AEB18" s="42"/>
      <c r="AEC18" s="42"/>
      <c r="AED18" s="42"/>
      <c r="AEE18" s="42"/>
      <c r="AEF18" s="42"/>
      <c r="AEG18" s="42"/>
      <c r="AEH18" s="42"/>
      <c r="AEI18" s="42"/>
      <c r="AEJ18" s="42"/>
      <c r="AEK18" s="42"/>
      <c r="AEL18" s="42"/>
      <c r="AEM18" s="42"/>
      <c r="AEN18" s="42"/>
      <c r="AEO18" s="42"/>
      <c r="AEP18" s="42"/>
      <c r="AEQ18" s="42"/>
      <c r="AER18" s="42"/>
      <c r="AES18" s="42"/>
      <c r="AET18" s="42"/>
      <c r="AEU18" s="42"/>
      <c r="AEV18" s="42"/>
      <c r="AEW18" s="42"/>
      <c r="AEX18" s="42"/>
      <c r="AEY18" s="42"/>
      <c r="AEZ18" s="42"/>
      <c r="AFA18" s="42"/>
      <c r="AFB18" s="42"/>
      <c r="AFC18" s="42"/>
      <c r="AFD18" s="42"/>
      <c r="AFE18" s="42"/>
      <c r="AFF18" s="42"/>
      <c r="AFG18" s="42"/>
      <c r="AFH18" s="42"/>
      <c r="AFI18" s="42"/>
      <c r="AFJ18" s="42"/>
      <c r="AFK18" s="42"/>
      <c r="AFL18" s="42"/>
      <c r="AFM18" s="42"/>
      <c r="AFN18" s="42"/>
      <c r="AFO18" s="42"/>
      <c r="AFP18" s="42"/>
      <c r="AFQ18" s="42"/>
      <c r="AFR18" s="42"/>
      <c r="AFS18" s="42"/>
      <c r="AFT18" s="42"/>
      <c r="AFU18" s="42"/>
      <c r="AFV18" s="42"/>
      <c r="AFW18" s="42"/>
      <c r="AFX18" s="42"/>
      <c r="AFY18" s="42"/>
      <c r="AFZ18" s="42"/>
      <c r="AGA18" s="42"/>
      <c r="AGB18" s="42"/>
      <c r="AGC18" s="42"/>
      <c r="AGD18" s="42"/>
      <c r="AGE18" s="42"/>
      <c r="AGF18" s="42"/>
      <c r="AGG18" s="42"/>
      <c r="AGH18" s="42"/>
      <c r="AGI18" s="42"/>
      <c r="AGJ18" s="42"/>
      <c r="AGK18" s="42"/>
      <c r="AGL18" s="42"/>
      <c r="AGM18" s="42"/>
      <c r="AGN18" s="42"/>
      <c r="AGO18" s="42"/>
      <c r="AGP18" s="42"/>
      <c r="AGQ18" s="42"/>
      <c r="AGR18" s="42"/>
      <c r="AGS18" s="42"/>
      <c r="AGT18" s="42"/>
      <c r="AGU18" s="42"/>
      <c r="AGV18" s="42"/>
      <c r="AGW18" s="42"/>
      <c r="AGX18" s="42"/>
      <c r="AGY18" s="42"/>
      <c r="AGZ18" s="42"/>
      <c r="AHA18" s="42"/>
      <c r="AHB18" s="42"/>
      <c r="AHC18" s="42"/>
      <c r="AHD18" s="42"/>
      <c r="AHE18" s="42"/>
      <c r="AHF18" s="42"/>
      <c r="AHG18" s="42"/>
      <c r="AHH18" s="42"/>
      <c r="AHI18" s="42"/>
      <c r="AHJ18" s="42"/>
      <c r="AHK18" s="42"/>
      <c r="AHL18" s="42"/>
      <c r="AHM18" s="42"/>
      <c r="AHN18" s="42"/>
      <c r="AHO18" s="42"/>
      <c r="AHP18" s="42"/>
      <c r="AHQ18" s="42"/>
      <c r="AHR18" s="42"/>
      <c r="AHS18" s="42"/>
      <c r="AHT18" s="42"/>
      <c r="AHU18" s="42"/>
      <c r="AHV18" s="42"/>
      <c r="AHW18" s="42"/>
      <c r="AHX18" s="42"/>
      <c r="AHY18" s="42"/>
      <c r="AHZ18" s="42"/>
      <c r="AIA18" s="42"/>
      <c r="AIB18" s="42"/>
      <c r="AIC18" s="42"/>
      <c r="AID18" s="42"/>
      <c r="AIE18" s="42"/>
      <c r="AIF18" s="42"/>
      <c r="AIG18" s="42"/>
      <c r="AIH18" s="42"/>
      <c r="AII18" s="42"/>
      <c r="AIJ18" s="42"/>
      <c r="AIK18" s="42"/>
      <c r="AIL18" s="42"/>
      <c r="AIM18" s="42"/>
      <c r="AIN18" s="42"/>
      <c r="AIO18" s="42"/>
      <c r="AIP18" s="42"/>
      <c r="AIQ18" s="42"/>
      <c r="AIR18" s="42"/>
      <c r="AIS18" s="42"/>
      <c r="AIT18" s="42"/>
      <c r="AIU18" s="42"/>
      <c r="AIV18" s="42"/>
      <c r="AIW18" s="42"/>
      <c r="AIX18" s="42"/>
      <c r="AIY18" s="42"/>
      <c r="AIZ18" s="42"/>
      <c r="AJA18" s="42"/>
      <c r="AJB18" s="42"/>
      <c r="AJC18" s="42"/>
      <c r="AJD18" s="42"/>
      <c r="AJE18" s="42"/>
      <c r="AJF18" s="42"/>
      <c r="AJG18" s="42"/>
      <c r="AJH18" s="42"/>
      <c r="AJI18" s="42"/>
      <c r="AJJ18" s="42"/>
      <c r="AJK18" s="42"/>
      <c r="AJL18" s="42"/>
      <c r="AJM18" s="42"/>
      <c r="AJN18" s="42"/>
      <c r="AJO18" s="42"/>
      <c r="AJP18" s="42"/>
      <c r="AJQ18" s="42"/>
      <c r="AJR18" s="42"/>
      <c r="AJS18" s="42"/>
      <c r="AJT18" s="42"/>
      <c r="AJU18" s="42"/>
      <c r="AJV18" s="42"/>
      <c r="AJW18" s="42"/>
      <c r="AJX18" s="42"/>
      <c r="AJY18" s="42"/>
      <c r="AJZ18" s="42"/>
      <c r="AKA18" s="42"/>
      <c r="AKB18" s="42"/>
      <c r="AKC18" s="42"/>
      <c r="AKD18" s="42"/>
      <c r="AKE18" s="42"/>
      <c r="AKF18" s="42"/>
      <c r="AKG18" s="42"/>
      <c r="AKH18" s="42"/>
      <c r="AKI18" s="42"/>
      <c r="AKJ18" s="42"/>
      <c r="AKK18" s="42"/>
      <c r="AKL18" s="42"/>
      <c r="AKM18" s="42"/>
      <c r="AKN18" s="42"/>
      <c r="AKO18" s="42"/>
      <c r="AKP18" s="42"/>
      <c r="AKQ18" s="42"/>
      <c r="AKR18" s="42"/>
      <c r="AKS18" s="42"/>
      <c r="AKT18" s="42"/>
      <c r="AKU18" s="42"/>
      <c r="AKV18" s="42"/>
      <c r="AKW18" s="42"/>
      <c r="AKX18" s="42"/>
      <c r="AKY18" s="42"/>
      <c r="AKZ18" s="42"/>
      <c r="ALA18" s="42"/>
      <c r="ALB18" s="42"/>
      <c r="ALC18" s="42"/>
      <c r="ALD18" s="42"/>
      <c r="ALE18" s="42"/>
      <c r="ALF18" s="42"/>
      <c r="ALG18" s="42"/>
      <c r="ALH18" s="42"/>
      <c r="ALI18" s="42"/>
      <c r="ALJ18" s="42"/>
      <c r="ALK18" s="42"/>
      <c r="ALL18" s="42"/>
      <c r="ALM18" s="42"/>
      <c r="ALN18" s="42"/>
      <c r="ALO18" s="42"/>
      <c r="ALP18" s="42"/>
      <c r="ALQ18" s="42"/>
      <c r="ALR18" s="42"/>
      <c r="ALS18" s="42"/>
      <c r="ALT18" s="42"/>
      <c r="ALU18" s="42"/>
      <c r="ALV18" s="42"/>
      <c r="ALW18" s="42"/>
      <c r="ALX18" s="42"/>
      <c r="ALY18" s="42"/>
      <c r="ALZ18" s="42"/>
      <c r="AMA18" s="42"/>
      <c r="AMB18" s="42"/>
      <c r="AMC18" s="42"/>
      <c r="AMD18" s="42"/>
      <c r="AME18" s="42"/>
      <c r="AMF18" s="42"/>
      <c r="AMG18" s="42"/>
      <c r="AMH18" s="42"/>
      <c r="AMI18" s="42"/>
      <c r="AMJ18" s="42"/>
      <c r="AMK18" s="42"/>
      <c r="AML18" s="42"/>
      <c r="AMM18" s="42"/>
      <c r="AMN18" s="42"/>
      <c r="AMO18" s="42"/>
      <c r="AMP18" s="42"/>
      <c r="AMQ18" s="42"/>
      <c r="AMR18" s="42"/>
      <c r="AMS18" s="42"/>
      <c r="AMT18" s="42"/>
      <c r="AMU18" s="42"/>
      <c r="AMV18" s="42"/>
      <c r="AMW18" s="42"/>
      <c r="AMX18" s="42"/>
      <c r="AMY18" s="42"/>
      <c r="AMZ18" s="42"/>
      <c r="ANA18" s="42"/>
      <c r="ANB18" s="42"/>
      <c r="ANC18" s="42"/>
      <c r="AND18" s="42"/>
      <c r="ANE18" s="42"/>
      <c r="ANF18" s="42"/>
      <c r="ANG18" s="42"/>
      <c r="ANH18" s="42"/>
      <c r="ANI18" s="42"/>
      <c r="ANJ18" s="42"/>
      <c r="ANK18" s="42"/>
      <c r="ANL18" s="42"/>
      <c r="ANM18" s="42"/>
      <c r="ANN18" s="42"/>
      <c r="ANO18" s="42"/>
      <c r="ANP18" s="42"/>
      <c r="ANQ18" s="42"/>
      <c r="ANR18" s="42"/>
      <c r="ANS18" s="42"/>
      <c r="ANT18" s="42"/>
      <c r="ANU18" s="42"/>
      <c r="ANV18" s="42"/>
      <c r="ANW18" s="42"/>
      <c r="ANX18" s="42"/>
      <c r="ANY18" s="42"/>
      <c r="ANZ18" s="42"/>
      <c r="AOA18" s="42"/>
      <c r="AOB18" s="42"/>
      <c r="AOC18" s="42"/>
      <c r="AOD18" s="42"/>
      <c r="AOE18" s="42"/>
      <c r="AOF18" s="42"/>
      <c r="AOG18" s="42"/>
      <c r="AOH18" s="42"/>
      <c r="AOI18" s="42"/>
      <c r="AOJ18" s="42"/>
      <c r="AOK18" s="42"/>
      <c r="AOL18" s="42"/>
      <c r="AOM18" s="42"/>
      <c r="AON18" s="42"/>
      <c r="AOO18" s="42"/>
      <c r="AOP18" s="42"/>
      <c r="AOQ18" s="42"/>
      <c r="AOR18" s="42"/>
      <c r="AOS18" s="42"/>
      <c r="AOT18" s="42"/>
      <c r="AOU18" s="42"/>
      <c r="AOV18" s="42"/>
      <c r="AOW18" s="42"/>
      <c r="AOX18" s="42"/>
      <c r="AOY18" s="42"/>
      <c r="AOZ18" s="42"/>
      <c r="APA18" s="42"/>
      <c r="APB18" s="42"/>
      <c r="APC18" s="42"/>
      <c r="APD18" s="42"/>
      <c r="APE18" s="42"/>
      <c r="APF18" s="42"/>
      <c r="APG18" s="42"/>
      <c r="APH18" s="42"/>
      <c r="API18" s="42"/>
      <c r="APJ18" s="42"/>
      <c r="APK18" s="42"/>
      <c r="APL18" s="42"/>
      <c r="APM18" s="42"/>
      <c r="APN18" s="42"/>
      <c r="APO18" s="42"/>
      <c r="APP18" s="42"/>
      <c r="APQ18" s="42"/>
      <c r="APR18" s="42"/>
      <c r="APS18" s="42"/>
      <c r="APT18" s="42"/>
      <c r="APU18" s="42"/>
      <c r="APV18" s="42"/>
      <c r="APW18" s="42"/>
      <c r="APX18" s="42"/>
      <c r="APY18" s="42"/>
      <c r="APZ18" s="42"/>
      <c r="AQA18" s="42"/>
      <c r="AQB18" s="42"/>
      <c r="AQC18" s="42"/>
      <c r="AQD18" s="42"/>
      <c r="AQE18" s="42"/>
      <c r="AQF18" s="42"/>
      <c r="AQG18" s="42"/>
      <c r="AQH18" s="42"/>
      <c r="AQI18" s="42"/>
      <c r="AQJ18" s="42"/>
      <c r="AQK18" s="42"/>
      <c r="AQL18" s="42"/>
      <c r="AQM18" s="42"/>
      <c r="AQN18" s="42"/>
      <c r="AQO18" s="42"/>
      <c r="AQP18" s="42"/>
      <c r="AQQ18" s="42"/>
      <c r="AQR18" s="42"/>
      <c r="AQS18" s="42"/>
      <c r="AQT18" s="42"/>
      <c r="AQU18" s="42"/>
      <c r="AQV18" s="42"/>
      <c r="AQW18" s="42"/>
      <c r="AQX18" s="42"/>
      <c r="AQY18" s="42"/>
      <c r="AQZ18" s="42"/>
      <c r="ARA18" s="42"/>
      <c r="ARB18" s="42"/>
      <c r="ARC18" s="42"/>
      <c r="ARD18" s="42"/>
      <c r="ARE18" s="42"/>
      <c r="ARF18" s="42"/>
      <c r="ARG18" s="42"/>
      <c r="ARH18" s="42"/>
      <c r="ARI18" s="42"/>
      <c r="ARJ18" s="42"/>
      <c r="ARK18" s="42"/>
      <c r="ARL18" s="42"/>
      <c r="ARM18" s="42"/>
      <c r="ARN18" s="42"/>
      <c r="ARO18" s="42"/>
      <c r="ARP18" s="42"/>
      <c r="ARQ18" s="42"/>
      <c r="ARR18" s="42"/>
      <c r="ARS18" s="42"/>
      <c r="ART18" s="42"/>
      <c r="ARU18" s="42"/>
      <c r="ARV18" s="42"/>
      <c r="ARW18" s="42"/>
      <c r="ARX18" s="42"/>
      <c r="ARY18" s="42"/>
      <c r="ARZ18" s="42"/>
      <c r="ASA18" s="42"/>
      <c r="ASB18" s="42"/>
      <c r="ASC18" s="42"/>
      <c r="ASD18" s="42"/>
      <c r="ASE18" s="42"/>
      <c r="ASF18" s="42"/>
      <c r="ASG18" s="42"/>
      <c r="ASH18" s="42"/>
      <c r="ASI18" s="42"/>
      <c r="ASJ18" s="42"/>
      <c r="ASK18" s="42"/>
      <c r="ASL18" s="42"/>
      <c r="ASM18" s="42"/>
      <c r="ASN18" s="42"/>
      <c r="ASO18" s="42"/>
      <c r="ASP18" s="42"/>
      <c r="ASQ18" s="42"/>
      <c r="ASR18" s="42"/>
      <c r="ASS18" s="42"/>
      <c r="AST18" s="42"/>
      <c r="ASU18" s="42"/>
      <c r="ASV18" s="42"/>
      <c r="ASW18" s="42"/>
      <c r="ASX18" s="42"/>
      <c r="ASY18" s="42"/>
      <c r="ASZ18" s="42"/>
      <c r="ATA18" s="42"/>
      <c r="ATB18" s="42"/>
      <c r="ATC18" s="42"/>
      <c r="ATD18" s="42"/>
      <c r="ATE18" s="42"/>
      <c r="ATF18" s="42"/>
      <c r="ATG18" s="42"/>
      <c r="ATH18" s="42"/>
      <c r="ATI18" s="42"/>
      <c r="ATJ18" s="42"/>
      <c r="ATK18" s="42"/>
      <c r="ATL18" s="42"/>
      <c r="ATM18" s="42"/>
      <c r="ATN18" s="42"/>
      <c r="ATO18" s="42"/>
      <c r="ATP18" s="42"/>
      <c r="ATQ18" s="42"/>
      <c r="ATR18" s="42"/>
      <c r="ATS18" s="42"/>
      <c r="ATT18" s="42"/>
      <c r="ATU18" s="42"/>
      <c r="ATV18" s="42"/>
      <c r="ATW18" s="42"/>
      <c r="ATX18" s="42"/>
      <c r="ATY18" s="42"/>
      <c r="ATZ18" s="42"/>
      <c r="AUA18" s="42"/>
      <c r="AUB18" s="42"/>
      <c r="AUC18" s="42"/>
      <c r="AUD18" s="42"/>
      <c r="AUE18" s="42"/>
      <c r="AUF18" s="42"/>
      <c r="AUG18" s="42"/>
      <c r="AUH18" s="42"/>
      <c r="AUI18" s="42"/>
      <c r="AUJ18" s="42"/>
      <c r="AUK18" s="42"/>
      <c r="AUL18" s="42"/>
      <c r="AUM18" s="42"/>
      <c r="AUN18" s="42"/>
      <c r="AUO18" s="42"/>
      <c r="AUP18" s="42"/>
      <c r="AUQ18" s="42"/>
      <c r="AUR18" s="42"/>
      <c r="AUS18" s="42"/>
      <c r="AUT18" s="42"/>
      <c r="AUU18" s="42"/>
      <c r="AUV18" s="42"/>
      <c r="AUW18" s="42"/>
      <c r="AUX18" s="42"/>
      <c r="AUY18" s="42"/>
      <c r="AUZ18" s="42"/>
      <c r="AVA18" s="42"/>
      <c r="AVB18" s="42"/>
      <c r="AVC18" s="42"/>
      <c r="AVD18" s="42"/>
      <c r="AVE18" s="42"/>
      <c r="AVF18" s="42"/>
      <c r="AVG18" s="42"/>
      <c r="AVH18" s="42"/>
      <c r="AVI18" s="42"/>
      <c r="AVJ18" s="42"/>
      <c r="AVK18" s="42"/>
      <c r="AVL18" s="42"/>
      <c r="AVM18" s="42"/>
      <c r="AVN18" s="42"/>
      <c r="AVO18" s="42"/>
      <c r="AVP18" s="42"/>
      <c r="AVQ18" s="42"/>
      <c r="AVR18" s="42"/>
      <c r="AVS18" s="42"/>
      <c r="AVT18" s="42"/>
      <c r="AVU18" s="42"/>
      <c r="AVV18" s="42"/>
      <c r="AVW18" s="42"/>
      <c r="AVX18" s="42"/>
      <c r="AVY18" s="42"/>
      <c r="AVZ18" s="42"/>
      <c r="AWA18" s="42"/>
      <c r="AWB18" s="42"/>
      <c r="AWC18" s="42"/>
      <c r="AWD18" s="42"/>
      <c r="AWE18" s="42"/>
      <c r="AWF18" s="42"/>
      <c r="AWG18" s="42"/>
      <c r="AWH18" s="42"/>
      <c r="AWI18" s="42"/>
      <c r="AWJ18" s="42"/>
      <c r="AWK18" s="42"/>
      <c r="AWL18" s="42"/>
      <c r="AWM18" s="42"/>
      <c r="AWN18" s="42"/>
      <c r="AWO18" s="42"/>
      <c r="AWP18" s="42"/>
      <c r="AWQ18" s="42"/>
      <c r="AWR18" s="42"/>
      <c r="AWS18" s="42"/>
      <c r="AWT18" s="42"/>
      <c r="AWU18" s="42"/>
      <c r="AWV18" s="42"/>
      <c r="AWW18" s="42"/>
      <c r="AWX18" s="42"/>
      <c r="AWY18" s="42"/>
      <c r="AWZ18" s="42"/>
      <c r="AXA18" s="42"/>
      <c r="AXB18" s="42"/>
      <c r="AXC18" s="42"/>
      <c r="AXD18" s="42"/>
      <c r="AXE18" s="42"/>
      <c r="AXF18" s="42"/>
      <c r="AXG18" s="42"/>
      <c r="AXH18" s="42"/>
      <c r="AXI18" s="42"/>
      <c r="AXJ18" s="42"/>
      <c r="AXK18" s="42"/>
      <c r="AXL18" s="42"/>
      <c r="AXM18" s="42"/>
      <c r="AXN18" s="42"/>
      <c r="AXO18" s="42"/>
      <c r="AXP18" s="42"/>
      <c r="AXQ18" s="42"/>
      <c r="AXR18" s="42"/>
      <c r="AXS18" s="42"/>
      <c r="AXT18" s="42"/>
      <c r="AXU18" s="42"/>
      <c r="AXV18" s="42"/>
      <c r="AXW18" s="42"/>
      <c r="AXX18" s="42"/>
      <c r="AXY18" s="42"/>
      <c r="AXZ18" s="42"/>
      <c r="AYA18" s="42"/>
      <c r="AYB18" s="42"/>
      <c r="AYC18" s="42"/>
      <c r="AYD18" s="42"/>
      <c r="AYE18" s="42"/>
      <c r="AYF18" s="42"/>
      <c r="AYG18" s="42"/>
      <c r="AYH18" s="42"/>
      <c r="AYI18" s="42"/>
      <c r="AYJ18" s="42"/>
      <c r="AYK18" s="42"/>
      <c r="AYL18" s="42"/>
      <c r="AYM18" s="42"/>
      <c r="AYN18" s="42"/>
      <c r="AYO18" s="42"/>
      <c r="AYP18" s="42"/>
      <c r="AYQ18" s="42"/>
      <c r="AYR18" s="42"/>
      <c r="AYS18" s="42"/>
      <c r="AYT18" s="42"/>
      <c r="AYU18" s="42"/>
      <c r="AYV18" s="42"/>
      <c r="AYW18" s="42"/>
      <c r="AYX18" s="42"/>
      <c r="AYY18" s="42"/>
      <c r="AYZ18" s="42"/>
      <c r="AZA18" s="42"/>
      <c r="AZB18" s="42"/>
      <c r="AZC18" s="42"/>
      <c r="AZD18" s="42"/>
      <c r="AZE18" s="42"/>
      <c r="AZF18" s="42"/>
      <c r="AZG18" s="42"/>
      <c r="AZH18" s="42"/>
      <c r="AZI18" s="42"/>
      <c r="AZJ18" s="42"/>
      <c r="AZK18" s="42"/>
      <c r="AZL18" s="42"/>
      <c r="AZM18" s="42"/>
      <c r="AZN18" s="42"/>
      <c r="AZO18" s="42"/>
      <c r="AZP18" s="42"/>
      <c r="AZQ18" s="42"/>
      <c r="AZR18" s="42"/>
      <c r="AZS18" s="42"/>
      <c r="AZT18" s="42"/>
      <c r="AZU18" s="42"/>
      <c r="AZV18" s="42"/>
      <c r="AZW18" s="42"/>
      <c r="AZX18" s="42"/>
      <c r="AZY18" s="42"/>
      <c r="AZZ18" s="42"/>
      <c r="BAA18" s="42"/>
      <c r="BAB18" s="42"/>
      <c r="BAC18" s="42"/>
      <c r="BAD18" s="42"/>
      <c r="BAE18" s="42"/>
      <c r="BAF18" s="42"/>
      <c r="BAG18" s="42"/>
      <c r="BAH18" s="42"/>
      <c r="BAI18" s="42"/>
      <c r="BAJ18" s="42"/>
      <c r="BAK18" s="42"/>
      <c r="BAL18" s="42"/>
      <c r="BAM18" s="42"/>
      <c r="BAN18" s="42"/>
      <c r="BAO18" s="42"/>
      <c r="BAP18" s="42"/>
      <c r="BAQ18" s="42"/>
      <c r="BAR18" s="42"/>
      <c r="BAS18" s="42"/>
      <c r="BAT18" s="42"/>
      <c r="BAU18" s="42"/>
      <c r="BAV18" s="42"/>
      <c r="BAW18" s="42"/>
      <c r="BAX18" s="42"/>
      <c r="BAY18" s="42"/>
      <c r="BAZ18" s="42"/>
      <c r="BBA18" s="42"/>
      <c r="BBB18" s="42"/>
      <c r="BBC18" s="42"/>
      <c r="BBD18" s="42"/>
      <c r="BBE18" s="42"/>
      <c r="BBF18" s="42"/>
      <c r="BBG18" s="42"/>
      <c r="BBH18" s="42"/>
      <c r="BBI18" s="42"/>
      <c r="BBJ18" s="42"/>
      <c r="BBK18" s="42"/>
      <c r="BBL18" s="42"/>
      <c r="BBM18" s="42"/>
      <c r="BBN18" s="42"/>
      <c r="BBO18" s="42"/>
      <c r="BBP18" s="42"/>
      <c r="BBQ18" s="42"/>
      <c r="BBR18" s="42"/>
      <c r="BBS18" s="42"/>
      <c r="BBT18" s="42"/>
      <c r="BBU18" s="42"/>
      <c r="BBV18" s="42"/>
      <c r="BBW18" s="42"/>
      <c r="BBX18" s="42"/>
      <c r="BBY18" s="42"/>
      <c r="BBZ18" s="42"/>
      <c r="BCA18" s="42"/>
      <c r="BCB18" s="42"/>
      <c r="BCC18" s="42"/>
      <c r="BCD18" s="42"/>
      <c r="BCE18" s="42"/>
      <c r="BCF18" s="42"/>
      <c r="BCG18" s="42"/>
      <c r="BCH18" s="42"/>
      <c r="BCI18" s="42"/>
      <c r="BCJ18" s="42"/>
      <c r="BCK18" s="42"/>
      <c r="BCL18" s="42"/>
      <c r="BCM18" s="42"/>
      <c r="BCN18" s="42"/>
      <c r="BCO18" s="42"/>
      <c r="BCP18" s="42"/>
      <c r="BCQ18" s="42"/>
      <c r="BCR18" s="42"/>
      <c r="BCS18" s="42"/>
      <c r="BCT18" s="42"/>
      <c r="BCU18" s="42"/>
      <c r="BCV18" s="42"/>
      <c r="BCW18" s="42"/>
      <c r="BCX18" s="42"/>
    </row>
    <row r="19" spans="1:1454" s="49" customFormat="1" x14ac:dyDescent="0.25">
      <c r="A19" s="80">
        <v>2</v>
      </c>
      <c r="B19" s="76" t="str">
        <f>线路!B16</f>
        <v>IP11</v>
      </c>
      <c r="C19" s="81">
        <f>线路!E16</f>
        <v>451309.92340000003</v>
      </c>
      <c r="D19" s="81">
        <f>线路!F16</f>
        <v>3047352.6523000002</v>
      </c>
      <c r="E19" s="85">
        <f>线路!G16</f>
        <v>13</v>
      </c>
      <c r="F19" s="85">
        <f>线路!H16</f>
        <v>58.701999999999998</v>
      </c>
      <c r="G19" s="86">
        <f>线路!L16</f>
        <v>1001.1127377489529</v>
      </c>
      <c r="H19" s="86">
        <f>线路!M16</f>
        <v>1007.77226840274</v>
      </c>
      <c r="I19" s="86">
        <f>线路!N16</f>
        <v>1014.4317990565271</v>
      </c>
      <c r="J19" s="83">
        <f t="shared" si="0"/>
        <v>13.319061307574202</v>
      </c>
      <c r="K19" s="83">
        <f t="shared" si="13"/>
        <v>56.374687074038889</v>
      </c>
      <c r="L19" s="83">
        <f>IF(A19=1,断面设计!$D$7,IF(A19=2,断面设计!$D$8,IF(A19=3,断面设计!$D$9,IF(A19=4,断面设计!$D$10,IF(A19=5,断面设计!$D$11,IF(A19=6,断面设计!$D$12,IF(A19=7,断面设计!$D$13,IF(A19=8,断面设计!$D$14,IF(A19=9,断面设计!$D$15,IF(A19=10,断面设计!$D$16))))))))))</f>
        <v>1.5</v>
      </c>
      <c r="M19" s="83">
        <f t="shared" si="14"/>
        <v>1.2</v>
      </c>
      <c r="N19" s="110">
        <f t="shared" si="1"/>
        <v>1.4999999999999999E-2</v>
      </c>
      <c r="O19" s="83">
        <f>IF(A19=1,断面设计!$J$7,IF(A19=2,断面设计!$J$8,IF(A19=3,断面设计!$J$9,IF(A19=4,断面设计!$J$10,IF(A19=5,断面设计!$J$11,IF(A19=6,断面设计!$J$12,IF(A19=7,断面设计!$J$13,IF(A19=8,断面设计!$J$14,IF(A19=9,断面设计!$J$15,IF(A19=10,断面设计!$J$16))))))))))</f>
        <v>5000</v>
      </c>
      <c r="P19" s="111">
        <f>IF(A19=1,断面设计!$K$7,IF(A19=2,断面设计!$K$8,IF(A19=3,断面设计!$K$9,IF(A19=4,断面设计!$K$10,IF(A19=5,断面设计!$K$11,IF(A19=6,断面设计!$K$12,IF(A19=7,断面设计!$K$13,IF(A19=8,断面设计!$K$14,IF(A19=9,断面设计!$K$15,IF(A19=10,断面设计!$K$16))))))))))</f>
        <v>4.4993914540329225</v>
      </c>
      <c r="Q19" s="110">
        <f>IF(A19=1,断面设计!$C$7,IF(A19=2,断面设计!$C$8,IF(A19=3,断面设计!$C$9,IF(A19=4,断面设计!$C$10,IF(A19=5,断面设计!$C$11,IF(A19=6,断面设计!$C$12,IF(A19=7,断面设计!$C$13,IF(A19=8,断面设计!$C$14,IF(A19=9,断面设计!$C$15,IF(A19=10,断面设计!$C$16))))))))))</f>
        <v>1.58308906639964</v>
      </c>
      <c r="R19" s="83">
        <f>IF(A19=1,断面设计!$F$7,IF(A19=2,断面设计!$F$8,IF(A19=3,断面设计!$F$9,IF(A19=4,断面设计!$F$10,IF(A19=5,断面设计!$F$11,IF(A19=6,断面设计!$F$12,IF(A19=7,断面设计!$F$13,IF(A19=8,断面设计!$F$14,IF(A19=9,断面设计!$F$15,IF(A19=10,断面设计!$F$16))))))))))</f>
        <v>5.3820387901843603</v>
      </c>
      <c r="S19" s="83">
        <f>IF(A19=1,断面设计!$G$7,IF(A19=2,断面设计!$G$8,IF(A19=3,断面设计!$G$9,IF(A19=4,断面设计!$G$10,IF(A19=5,断面设计!$G$11,IF(A19=6,断面设计!$G$12,IF(A19=7,断面设计!$G$13,IF(A19=8,断面设计!$G$14,IF(A19=9,断面设计!$G$15,IF(A19=10,断面设计!$G$16))))))))))</f>
        <v>6.445728347111662</v>
      </c>
      <c r="T19" s="83">
        <f t="shared" si="15"/>
        <v>0.83497760072312976</v>
      </c>
      <c r="U19" s="83">
        <f t="shared" si="16"/>
        <v>0.8360013053489711</v>
      </c>
      <c r="V19" s="123">
        <f t="shared" si="17"/>
        <v>1.4060813106634902E-3</v>
      </c>
      <c r="W19" s="110"/>
      <c r="X19" s="110">
        <f>IF(AN19=0,IF(AN18=2,(H19-H18-AE18)/O19,(H19-H18)/O19),IF(AN19=1,IF(AN18=2,IF(AE19&lt;9,(H19-H18-AE19-AE18)/断面设计!$J$7,(H19-H18-AE19-AE18)/断面设计!$J$7),(H19-H18-AE19)/O18),(H19-H18)/O19))</f>
        <v>1.1274937414807777E-2</v>
      </c>
      <c r="Y19" s="133">
        <v>0</v>
      </c>
      <c r="Z19" s="134">
        <f t="shared" si="26"/>
        <v>0</v>
      </c>
      <c r="AA19" s="83"/>
      <c r="AB19" s="133">
        <f t="shared" si="4"/>
        <v>1.58308906639964</v>
      </c>
      <c r="AC19" s="110">
        <f t="shared" si="5"/>
        <v>1.2681018725471267E-2</v>
      </c>
      <c r="AD19" s="110">
        <f t="shared" ca="1" si="18"/>
        <v>2391.6269734638499</v>
      </c>
      <c r="AE19" s="82">
        <f t="shared" si="19"/>
        <v>0</v>
      </c>
      <c r="AF19" s="110" t="str">
        <f t="shared" si="6"/>
        <v xml:space="preserve"> </v>
      </c>
      <c r="AG19" s="110" t="str">
        <f>IF(AE19=0," ",AF19-断面设计!$C$7)</f>
        <v xml:space="preserve"> </v>
      </c>
      <c r="AH19" s="110">
        <f t="shared" ca="1" si="7"/>
        <v>2391.6297114512913</v>
      </c>
      <c r="AI19" s="110">
        <f t="shared" ca="1" si="8"/>
        <v>2390.0466223848916</v>
      </c>
      <c r="AJ19" s="110">
        <f t="shared" ca="1" si="9"/>
        <v>2391.6256415577191</v>
      </c>
      <c r="AK19" s="110">
        <f t="shared" ca="1" si="10"/>
        <v>2390.0425524913194</v>
      </c>
      <c r="AL19" s="110">
        <f t="shared" ca="1" si="11"/>
        <v>2391.6276765045054</v>
      </c>
      <c r="AM19" s="110">
        <f t="shared" ca="1" si="12"/>
        <v>2390.0445874381057</v>
      </c>
      <c r="AN19" s="80"/>
      <c r="AO19" s="80">
        <v>0</v>
      </c>
      <c r="AP19" s="161"/>
      <c r="AQ19" s="42"/>
      <c r="AR19" s="42"/>
      <c r="AS19" s="42"/>
      <c r="AT19" s="42"/>
      <c r="AU19" s="64" t="str">
        <f t="shared" ca="1" si="20"/>
        <v>1007.77226840274,2390.04458743811</v>
      </c>
      <c r="AV19" s="64" t="str">
        <f t="shared" ca="1" si="21"/>
        <v>1007.77226840274,2391.62767650451</v>
      </c>
      <c r="AW19" s="169" t="str">
        <f t="shared" si="22"/>
        <v xml:space="preserve">pl 1007.77226840274,0 1007.77226840274,76 </v>
      </c>
      <c r="AX19" s="161" t="str">
        <f t="shared" ca="1" si="23"/>
        <v>-text 1007.77226840274,48 3.5 90 2390.045</v>
      </c>
      <c r="AY19" s="161" t="str">
        <f t="shared" ca="1" si="24"/>
        <v>-text 1007.77226840274,62.5 3.5 90 2391.628</v>
      </c>
      <c r="AZ19" s="42" t="str">
        <f t="shared" si="25"/>
        <v>-text 1007.77226840274,23.5 3.5 90 马分1+007.77</v>
      </c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  <c r="FI19" s="42"/>
      <c r="FJ19" s="42"/>
      <c r="FK19" s="42"/>
      <c r="FL19" s="42"/>
      <c r="FM19" s="42"/>
      <c r="FN19" s="42"/>
      <c r="FO19" s="42"/>
      <c r="FP19" s="42"/>
      <c r="FQ19" s="42"/>
      <c r="FR19" s="42"/>
      <c r="FS19" s="42"/>
      <c r="FT19" s="42"/>
      <c r="FU19" s="42"/>
      <c r="FV19" s="42"/>
      <c r="FW19" s="42"/>
      <c r="FX19" s="42"/>
      <c r="FY19" s="42"/>
      <c r="FZ19" s="42"/>
      <c r="GA19" s="42"/>
      <c r="GB19" s="42"/>
      <c r="GC19" s="42"/>
      <c r="GD19" s="42"/>
      <c r="GE19" s="42"/>
      <c r="GF19" s="42"/>
      <c r="GG19" s="42"/>
      <c r="GH19" s="42"/>
      <c r="GI19" s="42"/>
      <c r="GJ19" s="42"/>
      <c r="GK19" s="42"/>
      <c r="GL19" s="42"/>
      <c r="GM19" s="42"/>
      <c r="GN19" s="42"/>
      <c r="GO19" s="42"/>
      <c r="GP19" s="42"/>
      <c r="GQ19" s="42"/>
      <c r="GR19" s="42"/>
      <c r="GS19" s="42"/>
      <c r="GT19" s="42"/>
      <c r="GU19" s="42"/>
      <c r="GV19" s="42"/>
      <c r="GW19" s="42"/>
      <c r="GX19" s="42"/>
      <c r="GY19" s="42"/>
      <c r="GZ19" s="42"/>
      <c r="HA19" s="42"/>
      <c r="HB19" s="42"/>
      <c r="HC19" s="42"/>
      <c r="HD19" s="42"/>
      <c r="HE19" s="42"/>
      <c r="HF19" s="42"/>
      <c r="HG19" s="42"/>
      <c r="HH19" s="42"/>
      <c r="HI19" s="42"/>
      <c r="HJ19" s="42"/>
      <c r="HK19" s="42"/>
      <c r="HL19" s="42"/>
      <c r="HM19" s="42"/>
      <c r="HN19" s="42"/>
      <c r="HO19" s="42"/>
      <c r="HP19" s="42"/>
      <c r="HQ19" s="42"/>
      <c r="HR19" s="42"/>
      <c r="HS19" s="42"/>
      <c r="HT19" s="42"/>
      <c r="HU19" s="42"/>
      <c r="HV19" s="42"/>
      <c r="HW19" s="42"/>
      <c r="HX19" s="42"/>
      <c r="HY19" s="42"/>
      <c r="HZ19" s="42"/>
      <c r="IA19" s="42"/>
      <c r="IB19" s="42"/>
      <c r="IC19" s="42"/>
      <c r="ID19" s="42"/>
      <c r="IE19" s="42"/>
      <c r="IF19" s="42"/>
      <c r="IG19" s="42"/>
      <c r="IH19" s="42"/>
      <c r="II19" s="42"/>
      <c r="IJ19" s="42"/>
      <c r="IK19" s="42"/>
      <c r="IL19" s="42"/>
      <c r="IM19" s="42"/>
      <c r="IN19" s="42"/>
      <c r="IO19" s="42"/>
      <c r="IP19" s="42"/>
      <c r="IQ19" s="42"/>
      <c r="IR19" s="42"/>
      <c r="IS19" s="42"/>
      <c r="IT19" s="42"/>
      <c r="IU19" s="42"/>
      <c r="IV19" s="42"/>
      <c r="IW19" s="42"/>
      <c r="IX19" s="42"/>
      <c r="IY19" s="42"/>
      <c r="IZ19" s="42"/>
      <c r="JA19" s="42"/>
      <c r="JB19" s="42"/>
      <c r="JC19" s="42"/>
      <c r="JD19" s="42"/>
      <c r="JE19" s="42"/>
      <c r="JF19" s="42"/>
      <c r="JG19" s="42"/>
      <c r="JH19" s="42"/>
      <c r="JI19" s="42"/>
      <c r="JJ19" s="42"/>
      <c r="JK19" s="42"/>
      <c r="JL19" s="42"/>
      <c r="JM19" s="42"/>
      <c r="JN19" s="42"/>
      <c r="JO19" s="42"/>
      <c r="JP19" s="42"/>
      <c r="JQ19" s="42"/>
      <c r="JR19" s="42"/>
      <c r="JS19" s="42"/>
      <c r="JT19" s="42"/>
      <c r="JU19" s="42"/>
      <c r="JV19" s="42"/>
      <c r="JW19" s="42"/>
      <c r="JX19" s="42"/>
      <c r="JY19" s="42"/>
      <c r="JZ19" s="42"/>
      <c r="KA19" s="42"/>
      <c r="KB19" s="42"/>
      <c r="KC19" s="42"/>
      <c r="KD19" s="42"/>
      <c r="KE19" s="42"/>
      <c r="KF19" s="42"/>
      <c r="KG19" s="42"/>
      <c r="KH19" s="42"/>
      <c r="KI19" s="42"/>
      <c r="KJ19" s="42"/>
      <c r="KK19" s="42"/>
      <c r="KL19" s="42"/>
      <c r="KM19" s="42"/>
      <c r="KN19" s="42"/>
      <c r="KO19" s="42"/>
      <c r="KP19" s="42"/>
      <c r="KQ19" s="42"/>
      <c r="KR19" s="42"/>
      <c r="KS19" s="42"/>
      <c r="KT19" s="42"/>
      <c r="KU19" s="42"/>
      <c r="KV19" s="42"/>
      <c r="KW19" s="42"/>
      <c r="KX19" s="42"/>
      <c r="KY19" s="42"/>
      <c r="KZ19" s="42"/>
      <c r="LA19" s="42"/>
      <c r="LB19" s="42"/>
      <c r="LC19" s="42"/>
      <c r="LD19" s="42"/>
      <c r="LE19" s="42"/>
      <c r="LF19" s="42"/>
      <c r="LG19" s="42"/>
      <c r="LH19" s="42"/>
      <c r="LI19" s="42"/>
      <c r="LJ19" s="42"/>
      <c r="LK19" s="42"/>
      <c r="LL19" s="42"/>
      <c r="LM19" s="42"/>
      <c r="LN19" s="42"/>
      <c r="LO19" s="42"/>
      <c r="LP19" s="42"/>
      <c r="LQ19" s="42"/>
      <c r="LR19" s="42"/>
      <c r="LS19" s="42"/>
      <c r="LT19" s="42"/>
      <c r="LU19" s="42"/>
      <c r="LV19" s="42"/>
      <c r="LW19" s="42"/>
      <c r="LX19" s="42"/>
      <c r="LY19" s="42"/>
      <c r="LZ19" s="42"/>
      <c r="MA19" s="42"/>
      <c r="MB19" s="42"/>
      <c r="MC19" s="42"/>
      <c r="MD19" s="42"/>
      <c r="ME19" s="42"/>
      <c r="MF19" s="42"/>
      <c r="MG19" s="42"/>
      <c r="MH19" s="42"/>
      <c r="MI19" s="42"/>
      <c r="MJ19" s="42"/>
      <c r="MK19" s="42"/>
      <c r="ML19" s="42"/>
      <c r="MM19" s="42"/>
      <c r="MN19" s="42"/>
      <c r="MO19" s="42"/>
      <c r="MP19" s="42"/>
      <c r="MQ19" s="42"/>
      <c r="MR19" s="42"/>
      <c r="MS19" s="42"/>
      <c r="MT19" s="42"/>
      <c r="MU19" s="42"/>
      <c r="MV19" s="42"/>
      <c r="MW19" s="42"/>
      <c r="MX19" s="42"/>
      <c r="MY19" s="42"/>
      <c r="MZ19" s="42"/>
      <c r="NA19" s="42"/>
      <c r="NB19" s="42"/>
      <c r="NC19" s="42"/>
      <c r="ND19" s="42"/>
      <c r="NE19" s="42"/>
      <c r="NF19" s="42"/>
      <c r="NG19" s="42"/>
      <c r="NH19" s="42"/>
      <c r="NI19" s="42"/>
      <c r="NJ19" s="42"/>
      <c r="NK19" s="42"/>
      <c r="NL19" s="42"/>
      <c r="NM19" s="42"/>
      <c r="NN19" s="42"/>
      <c r="NO19" s="42"/>
      <c r="NP19" s="42"/>
      <c r="NQ19" s="42"/>
      <c r="NR19" s="42"/>
      <c r="NS19" s="42"/>
      <c r="NT19" s="42"/>
      <c r="NU19" s="42"/>
      <c r="NV19" s="42"/>
      <c r="NW19" s="42"/>
      <c r="NX19" s="42"/>
      <c r="NY19" s="42"/>
      <c r="NZ19" s="42"/>
      <c r="OA19" s="42"/>
      <c r="OB19" s="42"/>
      <c r="OC19" s="42"/>
      <c r="OD19" s="42"/>
      <c r="OE19" s="42"/>
      <c r="OF19" s="42"/>
      <c r="OG19" s="42"/>
      <c r="OH19" s="42"/>
      <c r="OI19" s="42"/>
      <c r="OJ19" s="42"/>
      <c r="OK19" s="42"/>
      <c r="OL19" s="42"/>
      <c r="OM19" s="42"/>
      <c r="ON19" s="42"/>
      <c r="OO19" s="42"/>
      <c r="OP19" s="42"/>
      <c r="OQ19" s="42"/>
      <c r="OR19" s="42"/>
      <c r="OS19" s="42"/>
      <c r="OT19" s="42"/>
      <c r="OU19" s="42"/>
      <c r="OV19" s="42"/>
      <c r="OW19" s="42"/>
      <c r="OX19" s="42"/>
      <c r="OY19" s="42"/>
      <c r="OZ19" s="42"/>
      <c r="PA19" s="42"/>
      <c r="PB19" s="42"/>
      <c r="PC19" s="42"/>
      <c r="PD19" s="42"/>
      <c r="PE19" s="42"/>
      <c r="PF19" s="42"/>
      <c r="PG19" s="42"/>
      <c r="PH19" s="42"/>
      <c r="PI19" s="42"/>
      <c r="PJ19" s="42"/>
      <c r="PK19" s="42"/>
      <c r="PL19" s="42"/>
      <c r="PM19" s="42"/>
      <c r="PN19" s="42"/>
      <c r="PO19" s="42"/>
      <c r="PP19" s="42"/>
      <c r="PQ19" s="42"/>
      <c r="PR19" s="42"/>
      <c r="PS19" s="42"/>
      <c r="PT19" s="42"/>
      <c r="PU19" s="42"/>
      <c r="PV19" s="42"/>
      <c r="PW19" s="42"/>
      <c r="PX19" s="42"/>
      <c r="PY19" s="42"/>
      <c r="PZ19" s="42"/>
      <c r="QA19" s="42"/>
      <c r="QB19" s="42"/>
      <c r="QC19" s="42"/>
      <c r="QD19" s="42"/>
      <c r="QE19" s="42"/>
      <c r="QF19" s="42"/>
      <c r="QG19" s="42"/>
      <c r="QH19" s="42"/>
      <c r="QI19" s="42"/>
      <c r="QJ19" s="42"/>
      <c r="QK19" s="42"/>
      <c r="QL19" s="42"/>
      <c r="QM19" s="42"/>
      <c r="QN19" s="42"/>
      <c r="QO19" s="42"/>
      <c r="QP19" s="42"/>
      <c r="QQ19" s="42"/>
      <c r="QR19" s="42"/>
      <c r="QS19" s="42"/>
      <c r="QT19" s="42"/>
      <c r="QU19" s="42"/>
      <c r="QV19" s="42"/>
      <c r="QW19" s="42"/>
      <c r="QX19" s="42"/>
      <c r="QY19" s="42"/>
      <c r="QZ19" s="42"/>
      <c r="RA19" s="42"/>
      <c r="RB19" s="42"/>
      <c r="RC19" s="42"/>
      <c r="RD19" s="42"/>
      <c r="RE19" s="42"/>
      <c r="RF19" s="42"/>
      <c r="RG19" s="42"/>
      <c r="RH19" s="42"/>
      <c r="RI19" s="42"/>
      <c r="RJ19" s="42"/>
      <c r="RK19" s="42"/>
      <c r="RL19" s="42"/>
      <c r="RM19" s="42"/>
      <c r="RN19" s="42"/>
      <c r="RO19" s="42"/>
      <c r="RP19" s="42"/>
      <c r="RQ19" s="42"/>
      <c r="RR19" s="42"/>
      <c r="RS19" s="42"/>
      <c r="RT19" s="42"/>
      <c r="RU19" s="42"/>
      <c r="RV19" s="42"/>
      <c r="RW19" s="42"/>
      <c r="RX19" s="42"/>
      <c r="RY19" s="42"/>
      <c r="RZ19" s="42"/>
      <c r="SA19" s="42"/>
      <c r="SB19" s="42"/>
      <c r="SC19" s="42"/>
      <c r="SD19" s="42"/>
      <c r="SE19" s="42"/>
      <c r="SF19" s="42"/>
      <c r="SG19" s="42"/>
      <c r="SH19" s="42"/>
      <c r="SI19" s="42"/>
      <c r="SJ19" s="42"/>
      <c r="SK19" s="42"/>
      <c r="SL19" s="42"/>
      <c r="SM19" s="42"/>
      <c r="SN19" s="42"/>
      <c r="SO19" s="42"/>
      <c r="SP19" s="42"/>
      <c r="SQ19" s="42"/>
      <c r="SR19" s="42"/>
      <c r="SS19" s="42"/>
      <c r="ST19" s="42"/>
      <c r="SU19" s="42"/>
      <c r="SV19" s="42"/>
      <c r="SW19" s="42"/>
      <c r="SX19" s="42"/>
      <c r="SY19" s="42"/>
      <c r="SZ19" s="42"/>
      <c r="TA19" s="42"/>
      <c r="TB19" s="42"/>
      <c r="TC19" s="42"/>
      <c r="TD19" s="42"/>
      <c r="TE19" s="42"/>
      <c r="TF19" s="42"/>
      <c r="TG19" s="42"/>
      <c r="TH19" s="42"/>
      <c r="TI19" s="42"/>
      <c r="TJ19" s="42"/>
      <c r="TK19" s="42"/>
      <c r="TL19" s="42"/>
      <c r="TM19" s="42"/>
      <c r="TN19" s="42"/>
      <c r="TO19" s="42"/>
      <c r="TP19" s="42"/>
      <c r="TQ19" s="42"/>
      <c r="TR19" s="42"/>
      <c r="TS19" s="42"/>
      <c r="TT19" s="42"/>
      <c r="TU19" s="42"/>
      <c r="TV19" s="42"/>
      <c r="TW19" s="42"/>
      <c r="TX19" s="42"/>
      <c r="TY19" s="42"/>
      <c r="TZ19" s="42"/>
      <c r="UA19" s="42"/>
      <c r="UB19" s="42"/>
      <c r="UC19" s="42"/>
      <c r="UD19" s="42"/>
      <c r="UE19" s="42"/>
      <c r="UF19" s="42"/>
      <c r="UG19" s="42"/>
      <c r="UH19" s="42"/>
      <c r="UI19" s="42"/>
      <c r="UJ19" s="42"/>
      <c r="UK19" s="42"/>
      <c r="UL19" s="42"/>
      <c r="UM19" s="42"/>
      <c r="UN19" s="42"/>
      <c r="UO19" s="42"/>
      <c r="UP19" s="42"/>
      <c r="UQ19" s="42"/>
      <c r="UR19" s="42"/>
      <c r="US19" s="42"/>
      <c r="UT19" s="42"/>
      <c r="UU19" s="42"/>
      <c r="UV19" s="42"/>
      <c r="UW19" s="42"/>
      <c r="UX19" s="42"/>
      <c r="UY19" s="42"/>
      <c r="UZ19" s="42"/>
      <c r="VA19" s="42"/>
      <c r="VB19" s="42"/>
      <c r="VC19" s="42"/>
      <c r="VD19" s="42"/>
      <c r="VE19" s="42"/>
      <c r="VF19" s="42"/>
      <c r="VG19" s="42"/>
      <c r="VH19" s="42"/>
      <c r="VI19" s="42"/>
      <c r="VJ19" s="42"/>
      <c r="VK19" s="42"/>
      <c r="VL19" s="42"/>
      <c r="VM19" s="42"/>
      <c r="VN19" s="42"/>
      <c r="VO19" s="42"/>
      <c r="VP19" s="42"/>
      <c r="VQ19" s="42"/>
      <c r="VR19" s="42"/>
      <c r="VS19" s="42"/>
      <c r="VT19" s="42"/>
      <c r="VU19" s="42"/>
      <c r="VV19" s="42"/>
      <c r="VW19" s="42"/>
      <c r="VX19" s="42"/>
      <c r="VY19" s="42"/>
      <c r="VZ19" s="42"/>
      <c r="WA19" s="42"/>
      <c r="WB19" s="42"/>
      <c r="WC19" s="42"/>
      <c r="WD19" s="42"/>
      <c r="WE19" s="42"/>
      <c r="WF19" s="42"/>
      <c r="WG19" s="42"/>
      <c r="WH19" s="42"/>
      <c r="WI19" s="42"/>
      <c r="WJ19" s="42"/>
      <c r="WK19" s="42"/>
      <c r="WL19" s="42"/>
      <c r="WM19" s="42"/>
      <c r="WN19" s="42"/>
      <c r="WO19" s="42"/>
      <c r="WP19" s="42"/>
      <c r="WQ19" s="42"/>
      <c r="WR19" s="42"/>
      <c r="WS19" s="42"/>
      <c r="WT19" s="42"/>
      <c r="WU19" s="42"/>
      <c r="WV19" s="42"/>
      <c r="WW19" s="42"/>
      <c r="WX19" s="42"/>
      <c r="WY19" s="42"/>
      <c r="WZ19" s="42"/>
      <c r="XA19" s="42"/>
      <c r="XB19" s="42"/>
      <c r="XC19" s="42"/>
      <c r="XD19" s="42"/>
      <c r="XE19" s="42"/>
      <c r="XF19" s="42"/>
      <c r="XG19" s="42"/>
      <c r="XH19" s="42"/>
      <c r="XI19" s="42"/>
      <c r="XJ19" s="42"/>
      <c r="XK19" s="42"/>
      <c r="XL19" s="42"/>
      <c r="XM19" s="42"/>
      <c r="XN19" s="42"/>
      <c r="XO19" s="42"/>
      <c r="XP19" s="42"/>
      <c r="XQ19" s="42"/>
      <c r="XR19" s="42"/>
      <c r="XS19" s="42"/>
      <c r="XT19" s="42"/>
      <c r="XU19" s="42"/>
      <c r="XV19" s="42"/>
      <c r="XW19" s="42"/>
      <c r="XX19" s="42"/>
      <c r="XY19" s="42"/>
      <c r="XZ19" s="42"/>
      <c r="YA19" s="42"/>
      <c r="YB19" s="42"/>
      <c r="YC19" s="42"/>
      <c r="YD19" s="42"/>
      <c r="YE19" s="42"/>
      <c r="YF19" s="42"/>
      <c r="YG19" s="42"/>
      <c r="YH19" s="42"/>
      <c r="YI19" s="42"/>
      <c r="YJ19" s="42"/>
      <c r="YK19" s="42"/>
      <c r="YL19" s="42"/>
      <c r="YM19" s="42"/>
      <c r="YN19" s="42"/>
      <c r="YO19" s="42"/>
      <c r="YP19" s="42"/>
      <c r="YQ19" s="42"/>
      <c r="YR19" s="42"/>
      <c r="YS19" s="42"/>
      <c r="YT19" s="42"/>
      <c r="YU19" s="42"/>
      <c r="YV19" s="42"/>
      <c r="YW19" s="42"/>
      <c r="YX19" s="42"/>
      <c r="YY19" s="42"/>
      <c r="YZ19" s="42"/>
      <c r="ZA19" s="42"/>
      <c r="ZB19" s="42"/>
      <c r="ZC19" s="42"/>
      <c r="ZD19" s="42"/>
      <c r="ZE19" s="42"/>
      <c r="ZF19" s="42"/>
      <c r="ZG19" s="42"/>
      <c r="ZH19" s="42"/>
      <c r="ZI19" s="42"/>
      <c r="ZJ19" s="42"/>
      <c r="ZK19" s="42"/>
      <c r="ZL19" s="42"/>
      <c r="ZM19" s="42"/>
      <c r="ZN19" s="42"/>
      <c r="ZO19" s="42"/>
      <c r="ZP19" s="42"/>
      <c r="ZQ19" s="42"/>
      <c r="ZR19" s="42"/>
      <c r="ZS19" s="42"/>
      <c r="ZT19" s="42"/>
      <c r="ZU19" s="42"/>
      <c r="ZV19" s="42"/>
      <c r="ZW19" s="42"/>
      <c r="ZX19" s="42"/>
      <c r="ZY19" s="42"/>
      <c r="ZZ19" s="42"/>
      <c r="AAA19" s="42"/>
      <c r="AAB19" s="42"/>
      <c r="AAC19" s="42"/>
      <c r="AAD19" s="42"/>
      <c r="AAE19" s="42"/>
      <c r="AAF19" s="42"/>
      <c r="AAG19" s="42"/>
      <c r="AAH19" s="42"/>
      <c r="AAI19" s="42"/>
      <c r="AAJ19" s="42"/>
      <c r="AAK19" s="42"/>
      <c r="AAL19" s="42"/>
      <c r="AAM19" s="42"/>
      <c r="AAN19" s="42"/>
      <c r="AAO19" s="42"/>
      <c r="AAP19" s="42"/>
      <c r="AAQ19" s="42"/>
      <c r="AAR19" s="42"/>
      <c r="AAS19" s="42"/>
      <c r="AAT19" s="42"/>
      <c r="AAU19" s="42"/>
      <c r="AAV19" s="42"/>
      <c r="AAW19" s="42"/>
      <c r="AAX19" s="42"/>
      <c r="AAY19" s="42"/>
      <c r="AAZ19" s="42"/>
      <c r="ABA19" s="42"/>
      <c r="ABB19" s="42"/>
      <c r="ABC19" s="42"/>
      <c r="ABD19" s="42"/>
      <c r="ABE19" s="42"/>
      <c r="ABF19" s="42"/>
      <c r="ABG19" s="42"/>
      <c r="ABH19" s="42"/>
      <c r="ABI19" s="42"/>
      <c r="ABJ19" s="42"/>
      <c r="ABK19" s="42"/>
      <c r="ABL19" s="42"/>
      <c r="ABM19" s="42"/>
      <c r="ABN19" s="42"/>
      <c r="ABO19" s="42"/>
      <c r="ABP19" s="42"/>
      <c r="ABQ19" s="42"/>
      <c r="ABR19" s="42"/>
      <c r="ABS19" s="42"/>
      <c r="ABT19" s="42"/>
      <c r="ABU19" s="42"/>
      <c r="ABV19" s="42"/>
      <c r="ABW19" s="42"/>
      <c r="ABX19" s="42"/>
      <c r="ABY19" s="42"/>
      <c r="ABZ19" s="42"/>
      <c r="ACA19" s="42"/>
      <c r="ACB19" s="42"/>
      <c r="ACC19" s="42"/>
      <c r="ACD19" s="42"/>
      <c r="ACE19" s="42"/>
      <c r="ACF19" s="42"/>
      <c r="ACG19" s="42"/>
      <c r="ACH19" s="42"/>
      <c r="ACI19" s="42"/>
      <c r="ACJ19" s="42"/>
      <c r="ACK19" s="42"/>
      <c r="ACL19" s="42"/>
      <c r="ACM19" s="42"/>
      <c r="ACN19" s="42"/>
      <c r="ACO19" s="42"/>
      <c r="ACP19" s="42"/>
      <c r="ACQ19" s="42"/>
      <c r="ACR19" s="42"/>
      <c r="ACS19" s="42"/>
      <c r="ACT19" s="42"/>
      <c r="ACU19" s="42"/>
      <c r="ACV19" s="42"/>
      <c r="ACW19" s="42"/>
      <c r="ACX19" s="42"/>
      <c r="ACY19" s="42"/>
      <c r="ACZ19" s="42"/>
      <c r="ADA19" s="42"/>
      <c r="ADB19" s="42"/>
      <c r="ADC19" s="42"/>
      <c r="ADD19" s="42"/>
      <c r="ADE19" s="42"/>
      <c r="ADF19" s="42"/>
      <c r="ADG19" s="42"/>
      <c r="ADH19" s="42"/>
      <c r="ADI19" s="42"/>
      <c r="ADJ19" s="42"/>
      <c r="ADK19" s="42"/>
      <c r="ADL19" s="42"/>
      <c r="ADM19" s="42"/>
      <c r="ADN19" s="42"/>
      <c r="ADO19" s="42"/>
      <c r="ADP19" s="42"/>
      <c r="ADQ19" s="42"/>
      <c r="ADR19" s="42"/>
      <c r="ADS19" s="42"/>
      <c r="ADT19" s="42"/>
      <c r="ADU19" s="42"/>
      <c r="ADV19" s="42"/>
      <c r="ADW19" s="42"/>
      <c r="ADX19" s="42"/>
      <c r="ADY19" s="42"/>
      <c r="ADZ19" s="42"/>
      <c r="AEA19" s="42"/>
      <c r="AEB19" s="42"/>
      <c r="AEC19" s="42"/>
      <c r="AED19" s="42"/>
      <c r="AEE19" s="42"/>
      <c r="AEF19" s="42"/>
      <c r="AEG19" s="42"/>
      <c r="AEH19" s="42"/>
      <c r="AEI19" s="42"/>
      <c r="AEJ19" s="42"/>
      <c r="AEK19" s="42"/>
      <c r="AEL19" s="42"/>
      <c r="AEM19" s="42"/>
      <c r="AEN19" s="42"/>
      <c r="AEO19" s="42"/>
      <c r="AEP19" s="42"/>
      <c r="AEQ19" s="42"/>
      <c r="AER19" s="42"/>
      <c r="AES19" s="42"/>
      <c r="AET19" s="42"/>
      <c r="AEU19" s="42"/>
      <c r="AEV19" s="42"/>
      <c r="AEW19" s="42"/>
      <c r="AEX19" s="42"/>
      <c r="AEY19" s="42"/>
      <c r="AEZ19" s="42"/>
      <c r="AFA19" s="42"/>
      <c r="AFB19" s="42"/>
      <c r="AFC19" s="42"/>
      <c r="AFD19" s="42"/>
      <c r="AFE19" s="42"/>
      <c r="AFF19" s="42"/>
      <c r="AFG19" s="42"/>
      <c r="AFH19" s="42"/>
      <c r="AFI19" s="42"/>
      <c r="AFJ19" s="42"/>
      <c r="AFK19" s="42"/>
      <c r="AFL19" s="42"/>
      <c r="AFM19" s="42"/>
      <c r="AFN19" s="42"/>
      <c r="AFO19" s="42"/>
      <c r="AFP19" s="42"/>
      <c r="AFQ19" s="42"/>
      <c r="AFR19" s="42"/>
      <c r="AFS19" s="42"/>
      <c r="AFT19" s="42"/>
      <c r="AFU19" s="42"/>
      <c r="AFV19" s="42"/>
      <c r="AFW19" s="42"/>
      <c r="AFX19" s="42"/>
      <c r="AFY19" s="42"/>
      <c r="AFZ19" s="42"/>
      <c r="AGA19" s="42"/>
      <c r="AGB19" s="42"/>
      <c r="AGC19" s="42"/>
      <c r="AGD19" s="42"/>
      <c r="AGE19" s="42"/>
      <c r="AGF19" s="42"/>
      <c r="AGG19" s="42"/>
      <c r="AGH19" s="42"/>
      <c r="AGI19" s="42"/>
      <c r="AGJ19" s="42"/>
      <c r="AGK19" s="42"/>
      <c r="AGL19" s="42"/>
      <c r="AGM19" s="42"/>
      <c r="AGN19" s="42"/>
      <c r="AGO19" s="42"/>
      <c r="AGP19" s="42"/>
      <c r="AGQ19" s="42"/>
      <c r="AGR19" s="42"/>
      <c r="AGS19" s="42"/>
      <c r="AGT19" s="42"/>
      <c r="AGU19" s="42"/>
      <c r="AGV19" s="42"/>
      <c r="AGW19" s="42"/>
      <c r="AGX19" s="42"/>
      <c r="AGY19" s="42"/>
      <c r="AGZ19" s="42"/>
      <c r="AHA19" s="42"/>
      <c r="AHB19" s="42"/>
      <c r="AHC19" s="42"/>
      <c r="AHD19" s="42"/>
      <c r="AHE19" s="42"/>
      <c r="AHF19" s="42"/>
      <c r="AHG19" s="42"/>
      <c r="AHH19" s="42"/>
      <c r="AHI19" s="42"/>
      <c r="AHJ19" s="42"/>
      <c r="AHK19" s="42"/>
      <c r="AHL19" s="42"/>
      <c r="AHM19" s="42"/>
      <c r="AHN19" s="42"/>
      <c r="AHO19" s="42"/>
      <c r="AHP19" s="42"/>
      <c r="AHQ19" s="42"/>
      <c r="AHR19" s="42"/>
      <c r="AHS19" s="42"/>
      <c r="AHT19" s="42"/>
      <c r="AHU19" s="42"/>
      <c r="AHV19" s="42"/>
      <c r="AHW19" s="42"/>
      <c r="AHX19" s="42"/>
      <c r="AHY19" s="42"/>
      <c r="AHZ19" s="42"/>
      <c r="AIA19" s="42"/>
      <c r="AIB19" s="42"/>
      <c r="AIC19" s="42"/>
      <c r="AID19" s="42"/>
      <c r="AIE19" s="42"/>
      <c r="AIF19" s="42"/>
      <c r="AIG19" s="42"/>
      <c r="AIH19" s="42"/>
      <c r="AII19" s="42"/>
      <c r="AIJ19" s="42"/>
      <c r="AIK19" s="42"/>
      <c r="AIL19" s="42"/>
      <c r="AIM19" s="42"/>
      <c r="AIN19" s="42"/>
      <c r="AIO19" s="42"/>
      <c r="AIP19" s="42"/>
      <c r="AIQ19" s="42"/>
      <c r="AIR19" s="42"/>
      <c r="AIS19" s="42"/>
      <c r="AIT19" s="42"/>
      <c r="AIU19" s="42"/>
      <c r="AIV19" s="42"/>
      <c r="AIW19" s="42"/>
      <c r="AIX19" s="42"/>
      <c r="AIY19" s="42"/>
      <c r="AIZ19" s="42"/>
      <c r="AJA19" s="42"/>
      <c r="AJB19" s="42"/>
      <c r="AJC19" s="42"/>
      <c r="AJD19" s="42"/>
      <c r="AJE19" s="42"/>
      <c r="AJF19" s="42"/>
      <c r="AJG19" s="42"/>
      <c r="AJH19" s="42"/>
      <c r="AJI19" s="42"/>
      <c r="AJJ19" s="42"/>
      <c r="AJK19" s="42"/>
      <c r="AJL19" s="42"/>
      <c r="AJM19" s="42"/>
      <c r="AJN19" s="42"/>
      <c r="AJO19" s="42"/>
      <c r="AJP19" s="42"/>
      <c r="AJQ19" s="42"/>
      <c r="AJR19" s="42"/>
      <c r="AJS19" s="42"/>
      <c r="AJT19" s="42"/>
      <c r="AJU19" s="42"/>
      <c r="AJV19" s="42"/>
      <c r="AJW19" s="42"/>
      <c r="AJX19" s="42"/>
      <c r="AJY19" s="42"/>
      <c r="AJZ19" s="42"/>
      <c r="AKA19" s="42"/>
      <c r="AKB19" s="42"/>
      <c r="AKC19" s="42"/>
      <c r="AKD19" s="42"/>
      <c r="AKE19" s="42"/>
      <c r="AKF19" s="42"/>
      <c r="AKG19" s="42"/>
      <c r="AKH19" s="42"/>
      <c r="AKI19" s="42"/>
      <c r="AKJ19" s="42"/>
      <c r="AKK19" s="42"/>
      <c r="AKL19" s="42"/>
      <c r="AKM19" s="42"/>
      <c r="AKN19" s="42"/>
      <c r="AKO19" s="42"/>
      <c r="AKP19" s="42"/>
      <c r="AKQ19" s="42"/>
      <c r="AKR19" s="42"/>
      <c r="AKS19" s="42"/>
      <c r="AKT19" s="42"/>
      <c r="AKU19" s="42"/>
      <c r="AKV19" s="42"/>
      <c r="AKW19" s="42"/>
      <c r="AKX19" s="42"/>
      <c r="AKY19" s="42"/>
      <c r="AKZ19" s="42"/>
      <c r="ALA19" s="42"/>
      <c r="ALB19" s="42"/>
      <c r="ALC19" s="42"/>
      <c r="ALD19" s="42"/>
      <c r="ALE19" s="42"/>
      <c r="ALF19" s="42"/>
      <c r="ALG19" s="42"/>
      <c r="ALH19" s="42"/>
      <c r="ALI19" s="42"/>
      <c r="ALJ19" s="42"/>
      <c r="ALK19" s="42"/>
      <c r="ALL19" s="42"/>
      <c r="ALM19" s="42"/>
      <c r="ALN19" s="42"/>
      <c r="ALO19" s="42"/>
      <c r="ALP19" s="42"/>
      <c r="ALQ19" s="42"/>
      <c r="ALR19" s="42"/>
      <c r="ALS19" s="42"/>
      <c r="ALT19" s="42"/>
      <c r="ALU19" s="42"/>
      <c r="ALV19" s="42"/>
      <c r="ALW19" s="42"/>
      <c r="ALX19" s="42"/>
      <c r="ALY19" s="42"/>
      <c r="ALZ19" s="42"/>
      <c r="AMA19" s="42"/>
      <c r="AMB19" s="42"/>
      <c r="AMC19" s="42"/>
      <c r="AMD19" s="42"/>
      <c r="AME19" s="42"/>
      <c r="AMF19" s="42"/>
      <c r="AMG19" s="42"/>
      <c r="AMH19" s="42"/>
      <c r="AMI19" s="42"/>
      <c r="AMJ19" s="42"/>
      <c r="AMK19" s="42"/>
      <c r="AML19" s="42"/>
      <c r="AMM19" s="42"/>
      <c r="AMN19" s="42"/>
      <c r="AMO19" s="42"/>
      <c r="AMP19" s="42"/>
      <c r="AMQ19" s="42"/>
      <c r="AMR19" s="42"/>
      <c r="AMS19" s="42"/>
      <c r="AMT19" s="42"/>
      <c r="AMU19" s="42"/>
      <c r="AMV19" s="42"/>
      <c r="AMW19" s="42"/>
      <c r="AMX19" s="42"/>
      <c r="AMY19" s="42"/>
      <c r="AMZ19" s="42"/>
      <c r="ANA19" s="42"/>
      <c r="ANB19" s="42"/>
      <c r="ANC19" s="42"/>
      <c r="AND19" s="42"/>
      <c r="ANE19" s="42"/>
      <c r="ANF19" s="42"/>
      <c r="ANG19" s="42"/>
      <c r="ANH19" s="42"/>
      <c r="ANI19" s="42"/>
      <c r="ANJ19" s="42"/>
      <c r="ANK19" s="42"/>
      <c r="ANL19" s="42"/>
      <c r="ANM19" s="42"/>
      <c r="ANN19" s="42"/>
      <c r="ANO19" s="42"/>
      <c r="ANP19" s="42"/>
      <c r="ANQ19" s="42"/>
      <c r="ANR19" s="42"/>
      <c r="ANS19" s="42"/>
      <c r="ANT19" s="42"/>
      <c r="ANU19" s="42"/>
      <c r="ANV19" s="42"/>
      <c r="ANW19" s="42"/>
      <c r="ANX19" s="42"/>
      <c r="ANY19" s="42"/>
      <c r="ANZ19" s="42"/>
      <c r="AOA19" s="42"/>
      <c r="AOB19" s="42"/>
      <c r="AOC19" s="42"/>
      <c r="AOD19" s="42"/>
      <c r="AOE19" s="42"/>
      <c r="AOF19" s="42"/>
      <c r="AOG19" s="42"/>
      <c r="AOH19" s="42"/>
      <c r="AOI19" s="42"/>
      <c r="AOJ19" s="42"/>
      <c r="AOK19" s="42"/>
      <c r="AOL19" s="42"/>
      <c r="AOM19" s="42"/>
      <c r="AON19" s="42"/>
      <c r="AOO19" s="42"/>
      <c r="AOP19" s="42"/>
      <c r="AOQ19" s="42"/>
      <c r="AOR19" s="42"/>
      <c r="AOS19" s="42"/>
      <c r="AOT19" s="42"/>
      <c r="AOU19" s="42"/>
      <c r="AOV19" s="42"/>
      <c r="AOW19" s="42"/>
      <c r="AOX19" s="42"/>
      <c r="AOY19" s="42"/>
      <c r="AOZ19" s="42"/>
      <c r="APA19" s="42"/>
      <c r="APB19" s="42"/>
      <c r="APC19" s="42"/>
      <c r="APD19" s="42"/>
      <c r="APE19" s="42"/>
      <c r="APF19" s="42"/>
      <c r="APG19" s="42"/>
      <c r="APH19" s="42"/>
      <c r="API19" s="42"/>
      <c r="APJ19" s="42"/>
      <c r="APK19" s="42"/>
      <c r="APL19" s="42"/>
      <c r="APM19" s="42"/>
      <c r="APN19" s="42"/>
      <c r="APO19" s="42"/>
      <c r="APP19" s="42"/>
      <c r="APQ19" s="42"/>
      <c r="APR19" s="42"/>
      <c r="APS19" s="42"/>
      <c r="APT19" s="42"/>
      <c r="APU19" s="42"/>
      <c r="APV19" s="42"/>
      <c r="APW19" s="42"/>
      <c r="APX19" s="42"/>
      <c r="APY19" s="42"/>
      <c r="APZ19" s="42"/>
      <c r="AQA19" s="42"/>
      <c r="AQB19" s="42"/>
      <c r="AQC19" s="42"/>
      <c r="AQD19" s="42"/>
      <c r="AQE19" s="42"/>
      <c r="AQF19" s="42"/>
      <c r="AQG19" s="42"/>
      <c r="AQH19" s="42"/>
      <c r="AQI19" s="42"/>
      <c r="AQJ19" s="42"/>
      <c r="AQK19" s="42"/>
      <c r="AQL19" s="42"/>
      <c r="AQM19" s="42"/>
      <c r="AQN19" s="42"/>
      <c r="AQO19" s="42"/>
      <c r="AQP19" s="42"/>
      <c r="AQQ19" s="42"/>
      <c r="AQR19" s="42"/>
      <c r="AQS19" s="42"/>
      <c r="AQT19" s="42"/>
      <c r="AQU19" s="42"/>
      <c r="AQV19" s="42"/>
      <c r="AQW19" s="42"/>
      <c r="AQX19" s="42"/>
      <c r="AQY19" s="42"/>
      <c r="AQZ19" s="42"/>
      <c r="ARA19" s="42"/>
      <c r="ARB19" s="42"/>
      <c r="ARC19" s="42"/>
      <c r="ARD19" s="42"/>
      <c r="ARE19" s="42"/>
      <c r="ARF19" s="42"/>
      <c r="ARG19" s="42"/>
      <c r="ARH19" s="42"/>
      <c r="ARI19" s="42"/>
      <c r="ARJ19" s="42"/>
      <c r="ARK19" s="42"/>
      <c r="ARL19" s="42"/>
      <c r="ARM19" s="42"/>
      <c r="ARN19" s="42"/>
      <c r="ARO19" s="42"/>
      <c r="ARP19" s="42"/>
      <c r="ARQ19" s="42"/>
      <c r="ARR19" s="42"/>
      <c r="ARS19" s="42"/>
      <c r="ART19" s="42"/>
      <c r="ARU19" s="42"/>
      <c r="ARV19" s="42"/>
      <c r="ARW19" s="42"/>
      <c r="ARX19" s="42"/>
      <c r="ARY19" s="42"/>
      <c r="ARZ19" s="42"/>
      <c r="ASA19" s="42"/>
      <c r="ASB19" s="42"/>
      <c r="ASC19" s="42"/>
      <c r="ASD19" s="42"/>
      <c r="ASE19" s="42"/>
      <c r="ASF19" s="42"/>
      <c r="ASG19" s="42"/>
      <c r="ASH19" s="42"/>
      <c r="ASI19" s="42"/>
      <c r="ASJ19" s="42"/>
      <c r="ASK19" s="42"/>
      <c r="ASL19" s="42"/>
      <c r="ASM19" s="42"/>
      <c r="ASN19" s="42"/>
      <c r="ASO19" s="42"/>
      <c r="ASP19" s="42"/>
      <c r="ASQ19" s="42"/>
      <c r="ASR19" s="42"/>
      <c r="ASS19" s="42"/>
      <c r="AST19" s="42"/>
      <c r="ASU19" s="42"/>
      <c r="ASV19" s="42"/>
      <c r="ASW19" s="42"/>
      <c r="ASX19" s="42"/>
      <c r="ASY19" s="42"/>
      <c r="ASZ19" s="42"/>
      <c r="ATA19" s="42"/>
      <c r="ATB19" s="42"/>
      <c r="ATC19" s="42"/>
      <c r="ATD19" s="42"/>
      <c r="ATE19" s="42"/>
      <c r="ATF19" s="42"/>
      <c r="ATG19" s="42"/>
      <c r="ATH19" s="42"/>
      <c r="ATI19" s="42"/>
      <c r="ATJ19" s="42"/>
      <c r="ATK19" s="42"/>
      <c r="ATL19" s="42"/>
      <c r="ATM19" s="42"/>
      <c r="ATN19" s="42"/>
      <c r="ATO19" s="42"/>
      <c r="ATP19" s="42"/>
      <c r="ATQ19" s="42"/>
      <c r="ATR19" s="42"/>
      <c r="ATS19" s="42"/>
      <c r="ATT19" s="42"/>
      <c r="ATU19" s="42"/>
      <c r="ATV19" s="42"/>
      <c r="ATW19" s="42"/>
      <c r="ATX19" s="42"/>
      <c r="ATY19" s="42"/>
      <c r="ATZ19" s="42"/>
      <c r="AUA19" s="42"/>
      <c r="AUB19" s="42"/>
      <c r="AUC19" s="42"/>
      <c r="AUD19" s="42"/>
      <c r="AUE19" s="42"/>
      <c r="AUF19" s="42"/>
      <c r="AUG19" s="42"/>
      <c r="AUH19" s="42"/>
      <c r="AUI19" s="42"/>
      <c r="AUJ19" s="42"/>
      <c r="AUK19" s="42"/>
      <c r="AUL19" s="42"/>
      <c r="AUM19" s="42"/>
      <c r="AUN19" s="42"/>
      <c r="AUO19" s="42"/>
      <c r="AUP19" s="42"/>
      <c r="AUQ19" s="42"/>
      <c r="AUR19" s="42"/>
      <c r="AUS19" s="42"/>
      <c r="AUT19" s="42"/>
      <c r="AUU19" s="42"/>
      <c r="AUV19" s="42"/>
      <c r="AUW19" s="42"/>
      <c r="AUX19" s="42"/>
      <c r="AUY19" s="42"/>
      <c r="AUZ19" s="42"/>
      <c r="AVA19" s="42"/>
      <c r="AVB19" s="42"/>
      <c r="AVC19" s="42"/>
      <c r="AVD19" s="42"/>
      <c r="AVE19" s="42"/>
      <c r="AVF19" s="42"/>
      <c r="AVG19" s="42"/>
      <c r="AVH19" s="42"/>
      <c r="AVI19" s="42"/>
      <c r="AVJ19" s="42"/>
      <c r="AVK19" s="42"/>
      <c r="AVL19" s="42"/>
      <c r="AVM19" s="42"/>
      <c r="AVN19" s="42"/>
      <c r="AVO19" s="42"/>
      <c r="AVP19" s="42"/>
      <c r="AVQ19" s="42"/>
      <c r="AVR19" s="42"/>
      <c r="AVS19" s="42"/>
      <c r="AVT19" s="42"/>
      <c r="AVU19" s="42"/>
      <c r="AVV19" s="42"/>
      <c r="AVW19" s="42"/>
      <c r="AVX19" s="42"/>
      <c r="AVY19" s="42"/>
      <c r="AVZ19" s="42"/>
      <c r="AWA19" s="42"/>
      <c r="AWB19" s="42"/>
      <c r="AWC19" s="42"/>
      <c r="AWD19" s="42"/>
      <c r="AWE19" s="42"/>
      <c r="AWF19" s="42"/>
      <c r="AWG19" s="42"/>
      <c r="AWH19" s="42"/>
      <c r="AWI19" s="42"/>
      <c r="AWJ19" s="42"/>
      <c r="AWK19" s="42"/>
      <c r="AWL19" s="42"/>
      <c r="AWM19" s="42"/>
      <c r="AWN19" s="42"/>
      <c r="AWO19" s="42"/>
      <c r="AWP19" s="42"/>
      <c r="AWQ19" s="42"/>
      <c r="AWR19" s="42"/>
      <c r="AWS19" s="42"/>
      <c r="AWT19" s="42"/>
      <c r="AWU19" s="42"/>
      <c r="AWV19" s="42"/>
      <c r="AWW19" s="42"/>
      <c r="AWX19" s="42"/>
      <c r="AWY19" s="42"/>
      <c r="AWZ19" s="42"/>
      <c r="AXA19" s="42"/>
      <c r="AXB19" s="42"/>
      <c r="AXC19" s="42"/>
      <c r="AXD19" s="42"/>
      <c r="AXE19" s="42"/>
      <c r="AXF19" s="42"/>
      <c r="AXG19" s="42"/>
      <c r="AXH19" s="42"/>
      <c r="AXI19" s="42"/>
      <c r="AXJ19" s="42"/>
      <c r="AXK19" s="42"/>
      <c r="AXL19" s="42"/>
      <c r="AXM19" s="42"/>
      <c r="AXN19" s="42"/>
      <c r="AXO19" s="42"/>
      <c r="AXP19" s="42"/>
      <c r="AXQ19" s="42"/>
      <c r="AXR19" s="42"/>
      <c r="AXS19" s="42"/>
      <c r="AXT19" s="42"/>
      <c r="AXU19" s="42"/>
      <c r="AXV19" s="42"/>
      <c r="AXW19" s="42"/>
      <c r="AXX19" s="42"/>
      <c r="AXY19" s="42"/>
      <c r="AXZ19" s="42"/>
      <c r="AYA19" s="42"/>
      <c r="AYB19" s="42"/>
      <c r="AYC19" s="42"/>
      <c r="AYD19" s="42"/>
      <c r="AYE19" s="42"/>
      <c r="AYF19" s="42"/>
      <c r="AYG19" s="42"/>
      <c r="AYH19" s="42"/>
      <c r="AYI19" s="42"/>
      <c r="AYJ19" s="42"/>
      <c r="AYK19" s="42"/>
      <c r="AYL19" s="42"/>
      <c r="AYM19" s="42"/>
      <c r="AYN19" s="42"/>
      <c r="AYO19" s="42"/>
      <c r="AYP19" s="42"/>
      <c r="AYQ19" s="42"/>
      <c r="AYR19" s="42"/>
      <c r="AYS19" s="42"/>
      <c r="AYT19" s="42"/>
      <c r="AYU19" s="42"/>
      <c r="AYV19" s="42"/>
      <c r="AYW19" s="42"/>
      <c r="AYX19" s="42"/>
      <c r="AYY19" s="42"/>
      <c r="AYZ19" s="42"/>
      <c r="AZA19" s="42"/>
      <c r="AZB19" s="42"/>
      <c r="AZC19" s="42"/>
      <c r="AZD19" s="42"/>
      <c r="AZE19" s="42"/>
      <c r="AZF19" s="42"/>
      <c r="AZG19" s="42"/>
      <c r="AZH19" s="42"/>
      <c r="AZI19" s="42"/>
      <c r="AZJ19" s="42"/>
      <c r="AZK19" s="42"/>
      <c r="AZL19" s="42"/>
      <c r="AZM19" s="42"/>
      <c r="AZN19" s="42"/>
      <c r="AZO19" s="42"/>
      <c r="AZP19" s="42"/>
      <c r="AZQ19" s="42"/>
      <c r="AZR19" s="42"/>
      <c r="AZS19" s="42"/>
      <c r="AZT19" s="42"/>
      <c r="AZU19" s="42"/>
      <c r="AZV19" s="42"/>
      <c r="AZW19" s="42"/>
      <c r="AZX19" s="42"/>
      <c r="AZY19" s="42"/>
      <c r="AZZ19" s="42"/>
      <c r="BAA19" s="42"/>
      <c r="BAB19" s="42"/>
      <c r="BAC19" s="42"/>
      <c r="BAD19" s="42"/>
      <c r="BAE19" s="42"/>
      <c r="BAF19" s="42"/>
      <c r="BAG19" s="42"/>
      <c r="BAH19" s="42"/>
      <c r="BAI19" s="42"/>
      <c r="BAJ19" s="42"/>
      <c r="BAK19" s="42"/>
      <c r="BAL19" s="42"/>
      <c r="BAM19" s="42"/>
      <c r="BAN19" s="42"/>
      <c r="BAO19" s="42"/>
      <c r="BAP19" s="42"/>
      <c r="BAQ19" s="42"/>
      <c r="BAR19" s="42"/>
      <c r="BAS19" s="42"/>
      <c r="BAT19" s="42"/>
      <c r="BAU19" s="42"/>
      <c r="BAV19" s="42"/>
      <c r="BAW19" s="42"/>
      <c r="BAX19" s="42"/>
      <c r="BAY19" s="42"/>
      <c r="BAZ19" s="42"/>
      <c r="BBA19" s="42"/>
      <c r="BBB19" s="42"/>
      <c r="BBC19" s="42"/>
      <c r="BBD19" s="42"/>
      <c r="BBE19" s="42"/>
      <c r="BBF19" s="42"/>
      <c r="BBG19" s="42"/>
      <c r="BBH19" s="42"/>
      <c r="BBI19" s="42"/>
      <c r="BBJ19" s="42"/>
      <c r="BBK19" s="42"/>
      <c r="BBL19" s="42"/>
      <c r="BBM19" s="42"/>
      <c r="BBN19" s="42"/>
      <c r="BBO19" s="42"/>
      <c r="BBP19" s="42"/>
      <c r="BBQ19" s="42"/>
      <c r="BBR19" s="42"/>
      <c r="BBS19" s="42"/>
      <c r="BBT19" s="42"/>
      <c r="BBU19" s="42"/>
      <c r="BBV19" s="42"/>
      <c r="BBW19" s="42"/>
      <c r="BBX19" s="42"/>
      <c r="BBY19" s="42"/>
      <c r="BBZ19" s="42"/>
      <c r="BCA19" s="42"/>
      <c r="BCB19" s="42"/>
      <c r="BCC19" s="42"/>
      <c r="BCD19" s="42"/>
      <c r="BCE19" s="42"/>
      <c r="BCF19" s="42"/>
      <c r="BCG19" s="42"/>
      <c r="BCH19" s="42"/>
      <c r="BCI19" s="42"/>
      <c r="BCJ19" s="42"/>
      <c r="BCK19" s="42"/>
      <c r="BCL19" s="42"/>
      <c r="BCM19" s="42"/>
      <c r="BCN19" s="42"/>
      <c r="BCO19" s="42"/>
      <c r="BCP19" s="42"/>
      <c r="BCQ19" s="42"/>
      <c r="BCR19" s="42"/>
      <c r="BCS19" s="42"/>
      <c r="BCT19" s="42"/>
      <c r="BCU19" s="42"/>
      <c r="BCV19" s="42"/>
      <c r="BCW19" s="42"/>
      <c r="BCX19" s="42"/>
    </row>
    <row r="20" spans="1:1454" s="49" customFormat="1" x14ac:dyDescent="0.25">
      <c r="A20" s="80">
        <v>2</v>
      </c>
      <c r="B20" s="76" t="str">
        <f>线路!B17</f>
        <v>IP12</v>
      </c>
      <c r="C20" s="81">
        <f>线路!E17</f>
        <v>451332.33880000003</v>
      </c>
      <c r="D20" s="81">
        <f>线路!F17</f>
        <v>3047314.4580000001</v>
      </c>
      <c r="E20" s="85">
        <f>线路!G17</f>
        <v>13</v>
      </c>
      <c r="F20" s="85">
        <f>线路!H17</f>
        <v>30.472999999999999</v>
      </c>
      <c r="G20" s="86">
        <f>线路!L17</f>
        <v>1047.866455285792</v>
      </c>
      <c r="H20" s="86">
        <f>线路!M17</f>
        <v>1051.3235074750335</v>
      </c>
      <c r="I20" s="86">
        <f>线路!N17</f>
        <v>1054.780559664275</v>
      </c>
      <c r="J20" s="83">
        <f t="shared" si="0"/>
        <v>6.914104378482989</v>
      </c>
      <c r="K20" s="83">
        <f t="shared" si="13"/>
        <v>43.55123907229347</v>
      </c>
      <c r="L20" s="83">
        <f>IF(A20=1,断面设计!$D$7,IF(A20=2,断面设计!$D$8,IF(A20=3,断面设计!$D$9,IF(A20=4,断面设计!$D$10,IF(A20=5,断面设计!$D$11,IF(A20=6,断面设计!$D$12,IF(A20=7,断面设计!$D$13,IF(A20=8,断面设计!$D$14,IF(A20=9,断面设计!$D$15,IF(A20=10,断面设计!$D$16))))))))))</f>
        <v>1.5</v>
      </c>
      <c r="M20" s="83">
        <f t="shared" si="14"/>
        <v>1.2</v>
      </c>
      <c r="N20" s="110">
        <f t="shared" si="1"/>
        <v>1.4999999999999999E-2</v>
      </c>
      <c r="O20" s="83">
        <f>IF(A20=1,断面设计!$J$7,IF(A20=2,断面设计!$J$8,IF(A20=3,断面设计!$J$9,IF(A20=4,断面设计!$J$10,IF(A20=5,断面设计!$J$11,IF(A20=6,断面设计!$J$12,IF(A20=7,断面设计!$J$13,IF(A20=8,断面设计!$J$14,IF(A20=9,断面设计!$J$15,IF(A20=10,断面设计!$J$16))))))))))</f>
        <v>5000</v>
      </c>
      <c r="P20" s="111">
        <f>IF(A20=1,断面设计!$K$7,IF(A20=2,断面设计!$K$8,IF(A20=3,断面设计!$K$9,IF(A20=4,断面设计!$K$10,IF(A20=5,断面设计!$K$11,IF(A20=6,断面设计!$K$12,IF(A20=7,断面设计!$K$13,IF(A20=8,断面设计!$K$14,IF(A20=9,断面设计!$K$15,IF(A20=10,断面设计!$K$16))))))))))</f>
        <v>4.4993914540329225</v>
      </c>
      <c r="Q20" s="110">
        <f>IF(A20=1,断面设计!$C$7,IF(A20=2,断面设计!$C$8,IF(A20=3,断面设计!$C$9,IF(A20=4,断面设计!$C$10,IF(A20=5,断面设计!$C$11,IF(A20=6,断面设计!$C$12,IF(A20=7,断面设计!$C$13,IF(A20=8,断面设计!$C$14,IF(A20=9,断面设计!$C$15,IF(A20=10,断面设计!$C$16))))))))))</f>
        <v>1.58308906639964</v>
      </c>
      <c r="R20" s="83">
        <f>IF(A20=1,断面设计!$F$7,IF(A20=2,断面设计!$F$8,IF(A20=3,断面设计!$F$9,IF(A20=4,断面设计!$F$10,IF(A20=5,断面设计!$F$11,IF(A20=6,断面设计!$F$12,IF(A20=7,断面设计!$F$13,IF(A20=8,断面设计!$F$14,IF(A20=9,断面设计!$F$15,IF(A20=10,断面设计!$F$16))))))))))</f>
        <v>5.3820387901843603</v>
      </c>
      <c r="S20" s="83">
        <f>IF(A20=1,断面设计!$G$7,IF(A20=2,断面设计!$G$8,IF(A20=3,断面设计!$G$9,IF(A20=4,断面设计!$G$10,IF(A20=5,断面设计!$G$11,IF(A20=6,断面设计!$G$12,IF(A20=7,断面设计!$G$13,IF(A20=8,断面设计!$G$14,IF(A20=9,断面设计!$G$15,IF(A20=10,断面设计!$G$16))))))))))</f>
        <v>6.445728347111662</v>
      </c>
      <c r="T20" s="83">
        <f t="shared" si="15"/>
        <v>0.83497760072312976</v>
      </c>
      <c r="U20" s="83">
        <f t="shared" si="16"/>
        <v>0.8360013053489711</v>
      </c>
      <c r="V20" s="123">
        <f t="shared" si="17"/>
        <v>7.2991577424701896E-4</v>
      </c>
      <c r="W20" s="110"/>
      <c r="X20" s="110">
        <f>IF(AN20=0,IF(AN19=2,(H20-H19-AE19)/O20,(H20-H19)/O20),IF(AN20=1,IF(AN19=2,IF(AE20&lt;9,(H20-H19-AE20-AE19)/断面设计!$J$7,(H20-H19-AE20-AE19)/断面设计!$J$7),(H20-H19-AE20)/O19),(H20-H19)/O20))</f>
        <v>8.710247814458694E-3</v>
      </c>
      <c r="Y20" s="133">
        <v>0</v>
      </c>
      <c r="Z20" s="134">
        <f t="shared" si="26"/>
        <v>0</v>
      </c>
      <c r="AA20" s="83"/>
      <c r="AB20" s="133">
        <f t="shared" si="4"/>
        <v>1.58308906639964</v>
      </c>
      <c r="AC20" s="110">
        <f t="shared" si="5"/>
        <v>9.4401635887057123E-3</v>
      </c>
      <c r="AD20" s="110">
        <f t="shared" ca="1" si="18"/>
        <v>2391.6175333002611</v>
      </c>
      <c r="AE20" s="82">
        <f t="shared" si="19"/>
        <v>0</v>
      </c>
      <c r="AF20" s="110" t="str">
        <f t="shared" si="6"/>
        <v xml:space="preserve"> </v>
      </c>
      <c r="AG20" s="110" t="str">
        <f>IF(AE20=0," ",AF20-断面设计!$C$7)</f>
        <v xml:space="preserve"> </v>
      </c>
      <c r="AH20" s="110">
        <f t="shared" ca="1" si="7"/>
        <v>2391.6189546264732</v>
      </c>
      <c r="AI20" s="110">
        <f t="shared" ca="1" si="8"/>
        <v>2390.0358655600735</v>
      </c>
      <c r="AJ20" s="110">
        <f t="shared" ca="1" si="9"/>
        <v>2391.6168418898233</v>
      </c>
      <c r="AK20" s="110">
        <f t="shared" ca="1" si="10"/>
        <v>2390.0337528234236</v>
      </c>
      <c r="AL20" s="110">
        <f t="shared" ca="1" si="11"/>
        <v>2391.6178982581482</v>
      </c>
      <c r="AM20" s="110">
        <f t="shared" ca="1" si="12"/>
        <v>2390.0348091917485</v>
      </c>
      <c r="AN20" s="80"/>
      <c r="AO20" s="80">
        <v>0</v>
      </c>
      <c r="AP20" s="161"/>
      <c r="AQ20" s="42"/>
      <c r="AR20" s="42"/>
      <c r="AS20" s="42"/>
      <c r="AT20" s="42"/>
      <c r="AU20" s="64" t="str">
        <f t="shared" ca="1" si="20"/>
        <v>1051.32350747503,2390.03480919175</v>
      </c>
      <c r="AV20" s="64" t="str">
        <f t="shared" ca="1" si="21"/>
        <v>1051.32350747503,2391.61789825815</v>
      </c>
      <c r="AW20" s="169" t="str">
        <f t="shared" si="22"/>
        <v xml:space="preserve">pl 1051.32350747503,0 1051.32350747503,76 </v>
      </c>
      <c r="AX20" s="161" t="str">
        <f t="shared" ca="1" si="23"/>
        <v>-text 1051.32350747503,48 3.5 90 2390.035</v>
      </c>
      <c r="AY20" s="161" t="str">
        <f t="shared" ca="1" si="24"/>
        <v>-text 1051.32350747503,62.5 3.5 90 2391.618</v>
      </c>
      <c r="AZ20" s="42" t="str">
        <f t="shared" si="25"/>
        <v>-text 1051.32350747503,23.5 3.5 90 马分1+051.32</v>
      </c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  <c r="GT20" s="42"/>
      <c r="GU20" s="42"/>
      <c r="GV20" s="42"/>
      <c r="GW20" s="42"/>
      <c r="GX20" s="42"/>
      <c r="GY20" s="42"/>
      <c r="GZ20" s="42"/>
      <c r="HA20" s="42"/>
      <c r="HB20" s="42"/>
      <c r="HC20" s="42"/>
      <c r="HD20" s="42"/>
      <c r="HE20" s="42"/>
      <c r="HF20" s="42"/>
      <c r="HG20" s="42"/>
      <c r="HH20" s="42"/>
      <c r="HI20" s="42"/>
      <c r="HJ20" s="42"/>
      <c r="HK20" s="42"/>
      <c r="HL20" s="42"/>
      <c r="HM20" s="42"/>
      <c r="HN20" s="42"/>
      <c r="HO20" s="42"/>
      <c r="HP20" s="42"/>
      <c r="HQ20" s="42"/>
      <c r="HR20" s="42"/>
      <c r="HS20" s="42"/>
      <c r="HT20" s="42"/>
      <c r="HU20" s="42"/>
      <c r="HV20" s="42"/>
      <c r="HW20" s="42"/>
      <c r="HX20" s="42"/>
      <c r="HY20" s="42"/>
      <c r="HZ20" s="42"/>
      <c r="IA20" s="42"/>
      <c r="IB20" s="42"/>
      <c r="IC20" s="42"/>
      <c r="ID20" s="42"/>
      <c r="IE20" s="42"/>
      <c r="IF20" s="42"/>
      <c r="IG20" s="42"/>
      <c r="IH20" s="42"/>
      <c r="II20" s="42"/>
      <c r="IJ20" s="42"/>
      <c r="IK20" s="42"/>
      <c r="IL20" s="42"/>
      <c r="IM20" s="42"/>
      <c r="IN20" s="42"/>
      <c r="IO20" s="42"/>
      <c r="IP20" s="42"/>
      <c r="IQ20" s="42"/>
      <c r="IR20" s="42"/>
      <c r="IS20" s="42"/>
      <c r="IT20" s="42"/>
      <c r="IU20" s="42"/>
      <c r="IV20" s="42"/>
      <c r="IW20" s="42"/>
      <c r="IX20" s="42"/>
      <c r="IY20" s="42"/>
      <c r="IZ20" s="42"/>
      <c r="JA20" s="42"/>
      <c r="JB20" s="42"/>
      <c r="JC20" s="42"/>
      <c r="JD20" s="42"/>
      <c r="JE20" s="42"/>
      <c r="JF20" s="42"/>
      <c r="JG20" s="42"/>
      <c r="JH20" s="42"/>
      <c r="JI20" s="42"/>
      <c r="JJ20" s="42"/>
      <c r="JK20" s="42"/>
      <c r="JL20" s="42"/>
      <c r="JM20" s="42"/>
      <c r="JN20" s="42"/>
      <c r="JO20" s="42"/>
      <c r="JP20" s="42"/>
      <c r="JQ20" s="42"/>
      <c r="JR20" s="42"/>
      <c r="JS20" s="42"/>
      <c r="JT20" s="42"/>
      <c r="JU20" s="42"/>
      <c r="JV20" s="42"/>
      <c r="JW20" s="42"/>
      <c r="JX20" s="42"/>
      <c r="JY20" s="42"/>
      <c r="JZ20" s="42"/>
      <c r="KA20" s="42"/>
      <c r="KB20" s="42"/>
      <c r="KC20" s="42"/>
      <c r="KD20" s="42"/>
      <c r="KE20" s="42"/>
      <c r="KF20" s="42"/>
      <c r="KG20" s="42"/>
      <c r="KH20" s="42"/>
      <c r="KI20" s="42"/>
      <c r="KJ20" s="42"/>
      <c r="KK20" s="42"/>
      <c r="KL20" s="42"/>
      <c r="KM20" s="42"/>
      <c r="KN20" s="42"/>
      <c r="KO20" s="42"/>
      <c r="KP20" s="42"/>
      <c r="KQ20" s="42"/>
      <c r="KR20" s="42"/>
      <c r="KS20" s="42"/>
      <c r="KT20" s="42"/>
      <c r="KU20" s="42"/>
      <c r="KV20" s="42"/>
      <c r="KW20" s="42"/>
      <c r="KX20" s="42"/>
      <c r="KY20" s="42"/>
      <c r="KZ20" s="42"/>
      <c r="LA20" s="42"/>
      <c r="LB20" s="42"/>
      <c r="LC20" s="42"/>
      <c r="LD20" s="42"/>
      <c r="LE20" s="42"/>
      <c r="LF20" s="42"/>
      <c r="LG20" s="42"/>
      <c r="LH20" s="42"/>
      <c r="LI20" s="42"/>
      <c r="LJ20" s="42"/>
      <c r="LK20" s="42"/>
      <c r="LL20" s="42"/>
      <c r="LM20" s="42"/>
      <c r="LN20" s="42"/>
      <c r="LO20" s="42"/>
      <c r="LP20" s="42"/>
      <c r="LQ20" s="42"/>
      <c r="LR20" s="42"/>
      <c r="LS20" s="42"/>
      <c r="LT20" s="42"/>
      <c r="LU20" s="42"/>
      <c r="LV20" s="42"/>
      <c r="LW20" s="42"/>
      <c r="LX20" s="42"/>
      <c r="LY20" s="42"/>
      <c r="LZ20" s="42"/>
      <c r="MA20" s="42"/>
      <c r="MB20" s="42"/>
      <c r="MC20" s="42"/>
      <c r="MD20" s="42"/>
      <c r="ME20" s="42"/>
      <c r="MF20" s="42"/>
      <c r="MG20" s="42"/>
      <c r="MH20" s="42"/>
      <c r="MI20" s="42"/>
      <c r="MJ20" s="42"/>
      <c r="MK20" s="42"/>
      <c r="ML20" s="42"/>
      <c r="MM20" s="42"/>
      <c r="MN20" s="42"/>
      <c r="MO20" s="42"/>
      <c r="MP20" s="42"/>
      <c r="MQ20" s="42"/>
      <c r="MR20" s="42"/>
      <c r="MS20" s="42"/>
      <c r="MT20" s="42"/>
      <c r="MU20" s="42"/>
      <c r="MV20" s="42"/>
      <c r="MW20" s="42"/>
      <c r="MX20" s="42"/>
      <c r="MY20" s="42"/>
      <c r="MZ20" s="42"/>
      <c r="NA20" s="42"/>
      <c r="NB20" s="42"/>
      <c r="NC20" s="42"/>
      <c r="ND20" s="42"/>
      <c r="NE20" s="42"/>
      <c r="NF20" s="42"/>
      <c r="NG20" s="42"/>
      <c r="NH20" s="42"/>
      <c r="NI20" s="42"/>
      <c r="NJ20" s="42"/>
      <c r="NK20" s="42"/>
      <c r="NL20" s="42"/>
      <c r="NM20" s="42"/>
      <c r="NN20" s="42"/>
      <c r="NO20" s="42"/>
      <c r="NP20" s="42"/>
      <c r="NQ20" s="42"/>
      <c r="NR20" s="42"/>
      <c r="NS20" s="42"/>
      <c r="NT20" s="42"/>
      <c r="NU20" s="42"/>
      <c r="NV20" s="42"/>
      <c r="NW20" s="42"/>
      <c r="NX20" s="42"/>
      <c r="NY20" s="42"/>
      <c r="NZ20" s="42"/>
      <c r="OA20" s="42"/>
      <c r="OB20" s="42"/>
      <c r="OC20" s="42"/>
      <c r="OD20" s="42"/>
      <c r="OE20" s="42"/>
      <c r="OF20" s="42"/>
      <c r="OG20" s="42"/>
      <c r="OH20" s="42"/>
      <c r="OI20" s="42"/>
      <c r="OJ20" s="42"/>
      <c r="OK20" s="42"/>
      <c r="OL20" s="42"/>
      <c r="OM20" s="42"/>
      <c r="ON20" s="42"/>
      <c r="OO20" s="42"/>
      <c r="OP20" s="42"/>
      <c r="OQ20" s="42"/>
      <c r="OR20" s="42"/>
      <c r="OS20" s="42"/>
      <c r="OT20" s="42"/>
      <c r="OU20" s="42"/>
      <c r="OV20" s="42"/>
      <c r="OW20" s="42"/>
      <c r="OX20" s="42"/>
      <c r="OY20" s="42"/>
      <c r="OZ20" s="42"/>
      <c r="PA20" s="42"/>
      <c r="PB20" s="42"/>
      <c r="PC20" s="42"/>
      <c r="PD20" s="42"/>
      <c r="PE20" s="42"/>
      <c r="PF20" s="42"/>
      <c r="PG20" s="42"/>
      <c r="PH20" s="42"/>
      <c r="PI20" s="42"/>
      <c r="PJ20" s="42"/>
      <c r="PK20" s="42"/>
      <c r="PL20" s="42"/>
      <c r="PM20" s="42"/>
      <c r="PN20" s="42"/>
      <c r="PO20" s="42"/>
      <c r="PP20" s="42"/>
      <c r="PQ20" s="42"/>
      <c r="PR20" s="42"/>
      <c r="PS20" s="42"/>
      <c r="PT20" s="42"/>
      <c r="PU20" s="42"/>
      <c r="PV20" s="42"/>
      <c r="PW20" s="42"/>
      <c r="PX20" s="42"/>
      <c r="PY20" s="42"/>
      <c r="PZ20" s="42"/>
      <c r="QA20" s="42"/>
      <c r="QB20" s="42"/>
      <c r="QC20" s="42"/>
      <c r="QD20" s="42"/>
      <c r="QE20" s="42"/>
      <c r="QF20" s="42"/>
      <c r="QG20" s="42"/>
      <c r="QH20" s="42"/>
      <c r="QI20" s="42"/>
      <c r="QJ20" s="42"/>
      <c r="QK20" s="42"/>
      <c r="QL20" s="42"/>
      <c r="QM20" s="42"/>
      <c r="QN20" s="42"/>
      <c r="QO20" s="42"/>
      <c r="QP20" s="42"/>
      <c r="QQ20" s="42"/>
      <c r="QR20" s="42"/>
      <c r="QS20" s="42"/>
      <c r="QT20" s="42"/>
      <c r="QU20" s="42"/>
      <c r="QV20" s="42"/>
      <c r="QW20" s="42"/>
      <c r="QX20" s="42"/>
      <c r="QY20" s="42"/>
      <c r="QZ20" s="42"/>
      <c r="RA20" s="42"/>
      <c r="RB20" s="42"/>
      <c r="RC20" s="42"/>
      <c r="RD20" s="42"/>
      <c r="RE20" s="42"/>
      <c r="RF20" s="42"/>
      <c r="RG20" s="42"/>
      <c r="RH20" s="42"/>
      <c r="RI20" s="42"/>
      <c r="RJ20" s="42"/>
      <c r="RK20" s="42"/>
      <c r="RL20" s="42"/>
      <c r="RM20" s="42"/>
      <c r="RN20" s="42"/>
      <c r="RO20" s="42"/>
      <c r="RP20" s="42"/>
      <c r="RQ20" s="42"/>
      <c r="RR20" s="42"/>
      <c r="RS20" s="42"/>
      <c r="RT20" s="42"/>
      <c r="RU20" s="42"/>
      <c r="RV20" s="42"/>
      <c r="RW20" s="42"/>
      <c r="RX20" s="42"/>
      <c r="RY20" s="42"/>
      <c r="RZ20" s="42"/>
      <c r="SA20" s="42"/>
      <c r="SB20" s="42"/>
      <c r="SC20" s="42"/>
      <c r="SD20" s="42"/>
      <c r="SE20" s="42"/>
      <c r="SF20" s="42"/>
      <c r="SG20" s="42"/>
      <c r="SH20" s="42"/>
      <c r="SI20" s="42"/>
      <c r="SJ20" s="42"/>
      <c r="SK20" s="42"/>
      <c r="SL20" s="42"/>
      <c r="SM20" s="42"/>
      <c r="SN20" s="42"/>
      <c r="SO20" s="42"/>
      <c r="SP20" s="42"/>
      <c r="SQ20" s="42"/>
      <c r="SR20" s="42"/>
      <c r="SS20" s="42"/>
      <c r="ST20" s="42"/>
      <c r="SU20" s="42"/>
      <c r="SV20" s="42"/>
      <c r="SW20" s="42"/>
      <c r="SX20" s="42"/>
      <c r="SY20" s="42"/>
      <c r="SZ20" s="42"/>
      <c r="TA20" s="42"/>
      <c r="TB20" s="42"/>
      <c r="TC20" s="42"/>
      <c r="TD20" s="42"/>
      <c r="TE20" s="42"/>
      <c r="TF20" s="42"/>
      <c r="TG20" s="42"/>
      <c r="TH20" s="42"/>
      <c r="TI20" s="42"/>
      <c r="TJ20" s="42"/>
      <c r="TK20" s="42"/>
      <c r="TL20" s="42"/>
      <c r="TM20" s="42"/>
      <c r="TN20" s="42"/>
      <c r="TO20" s="42"/>
      <c r="TP20" s="42"/>
      <c r="TQ20" s="42"/>
      <c r="TR20" s="42"/>
      <c r="TS20" s="42"/>
      <c r="TT20" s="42"/>
      <c r="TU20" s="42"/>
      <c r="TV20" s="42"/>
      <c r="TW20" s="42"/>
      <c r="TX20" s="42"/>
      <c r="TY20" s="42"/>
      <c r="TZ20" s="42"/>
      <c r="UA20" s="42"/>
      <c r="UB20" s="42"/>
      <c r="UC20" s="42"/>
      <c r="UD20" s="42"/>
      <c r="UE20" s="42"/>
      <c r="UF20" s="42"/>
      <c r="UG20" s="42"/>
      <c r="UH20" s="42"/>
      <c r="UI20" s="42"/>
      <c r="UJ20" s="42"/>
      <c r="UK20" s="42"/>
      <c r="UL20" s="42"/>
      <c r="UM20" s="42"/>
      <c r="UN20" s="42"/>
      <c r="UO20" s="42"/>
      <c r="UP20" s="42"/>
      <c r="UQ20" s="42"/>
      <c r="UR20" s="42"/>
      <c r="US20" s="42"/>
      <c r="UT20" s="42"/>
      <c r="UU20" s="42"/>
      <c r="UV20" s="42"/>
      <c r="UW20" s="42"/>
      <c r="UX20" s="42"/>
      <c r="UY20" s="42"/>
      <c r="UZ20" s="42"/>
      <c r="VA20" s="42"/>
      <c r="VB20" s="42"/>
      <c r="VC20" s="42"/>
      <c r="VD20" s="42"/>
      <c r="VE20" s="42"/>
      <c r="VF20" s="42"/>
      <c r="VG20" s="42"/>
      <c r="VH20" s="42"/>
      <c r="VI20" s="42"/>
      <c r="VJ20" s="42"/>
      <c r="VK20" s="42"/>
      <c r="VL20" s="42"/>
      <c r="VM20" s="42"/>
      <c r="VN20" s="42"/>
      <c r="VO20" s="42"/>
      <c r="VP20" s="42"/>
      <c r="VQ20" s="42"/>
      <c r="VR20" s="42"/>
      <c r="VS20" s="42"/>
      <c r="VT20" s="42"/>
      <c r="VU20" s="42"/>
      <c r="VV20" s="42"/>
      <c r="VW20" s="42"/>
      <c r="VX20" s="42"/>
      <c r="VY20" s="42"/>
      <c r="VZ20" s="42"/>
      <c r="WA20" s="42"/>
      <c r="WB20" s="42"/>
      <c r="WC20" s="42"/>
      <c r="WD20" s="42"/>
      <c r="WE20" s="42"/>
      <c r="WF20" s="42"/>
      <c r="WG20" s="42"/>
      <c r="WH20" s="42"/>
      <c r="WI20" s="42"/>
      <c r="WJ20" s="42"/>
      <c r="WK20" s="42"/>
      <c r="WL20" s="42"/>
      <c r="WM20" s="42"/>
      <c r="WN20" s="42"/>
      <c r="WO20" s="42"/>
      <c r="WP20" s="42"/>
      <c r="WQ20" s="42"/>
      <c r="WR20" s="42"/>
      <c r="WS20" s="42"/>
      <c r="WT20" s="42"/>
      <c r="WU20" s="42"/>
      <c r="WV20" s="42"/>
      <c r="WW20" s="42"/>
      <c r="WX20" s="42"/>
      <c r="WY20" s="42"/>
      <c r="WZ20" s="42"/>
      <c r="XA20" s="42"/>
      <c r="XB20" s="42"/>
      <c r="XC20" s="42"/>
      <c r="XD20" s="42"/>
      <c r="XE20" s="42"/>
      <c r="XF20" s="42"/>
      <c r="XG20" s="42"/>
      <c r="XH20" s="42"/>
      <c r="XI20" s="42"/>
      <c r="XJ20" s="42"/>
      <c r="XK20" s="42"/>
      <c r="XL20" s="42"/>
      <c r="XM20" s="42"/>
      <c r="XN20" s="42"/>
      <c r="XO20" s="42"/>
      <c r="XP20" s="42"/>
      <c r="XQ20" s="42"/>
      <c r="XR20" s="42"/>
      <c r="XS20" s="42"/>
      <c r="XT20" s="42"/>
      <c r="XU20" s="42"/>
      <c r="XV20" s="42"/>
      <c r="XW20" s="42"/>
      <c r="XX20" s="42"/>
      <c r="XY20" s="42"/>
      <c r="XZ20" s="42"/>
      <c r="YA20" s="42"/>
      <c r="YB20" s="42"/>
      <c r="YC20" s="42"/>
      <c r="YD20" s="42"/>
      <c r="YE20" s="42"/>
      <c r="YF20" s="42"/>
      <c r="YG20" s="42"/>
      <c r="YH20" s="42"/>
      <c r="YI20" s="42"/>
      <c r="YJ20" s="42"/>
      <c r="YK20" s="42"/>
      <c r="YL20" s="42"/>
      <c r="YM20" s="42"/>
      <c r="YN20" s="42"/>
      <c r="YO20" s="42"/>
      <c r="YP20" s="42"/>
      <c r="YQ20" s="42"/>
      <c r="YR20" s="42"/>
      <c r="YS20" s="42"/>
      <c r="YT20" s="42"/>
      <c r="YU20" s="42"/>
      <c r="YV20" s="42"/>
      <c r="YW20" s="42"/>
      <c r="YX20" s="42"/>
      <c r="YY20" s="42"/>
      <c r="YZ20" s="42"/>
      <c r="ZA20" s="42"/>
      <c r="ZB20" s="42"/>
      <c r="ZC20" s="42"/>
      <c r="ZD20" s="42"/>
      <c r="ZE20" s="42"/>
      <c r="ZF20" s="42"/>
      <c r="ZG20" s="42"/>
      <c r="ZH20" s="42"/>
      <c r="ZI20" s="42"/>
      <c r="ZJ20" s="42"/>
      <c r="ZK20" s="42"/>
      <c r="ZL20" s="42"/>
      <c r="ZM20" s="42"/>
      <c r="ZN20" s="42"/>
      <c r="ZO20" s="42"/>
      <c r="ZP20" s="42"/>
      <c r="ZQ20" s="42"/>
      <c r="ZR20" s="42"/>
      <c r="ZS20" s="42"/>
      <c r="ZT20" s="42"/>
      <c r="ZU20" s="42"/>
      <c r="ZV20" s="42"/>
      <c r="ZW20" s="42"/>
      <c r="ZX20" s="42"/>
      <c r="ZY20" s="42"/>
      <c r="ZZ20" s="42"/>
      <c r="AAA20" s="42"/>
      <c r="AAB20" s="42"/>
      <c r="AAC20" s="42"/>
      <c r="AAD20" s="42"/>
      <c r="AAE20" s="42"/>
      <c r="AAF20" s="42"/>
      <c r="AAG20" s="42"/>
      <c r="AAH20" s="42"/>
      <c r="AAI20" s="42"/>
      <c r="AAJ20" s="42"/>
      <c r="AAK20" s="42"/>
      <c r="AAL20" s="42"/>
      <c r="AAM20" s="42"/>
      <c r="AAN20" s="42"/>
      <c r="AAO20" s="42"/>
      <c r="AAP20" s="42"/>
      <c r="AAQ20" s="42"/>
      <c r="AAR20" s="42"/>
      <c r="AAS20" s="42"/>
      <c r="AAT20" s="42"/>
      <c r="AAU20" s="42"/>
      <c r="AAV20" s="42"/>
      <c r="AAW20" s="42"/>
      <c r="AAX20" s="42"/>
      <c r="AAY20" s="42"/>
      <c r="AAZ20" s="42"/>
      <c r="ABA20" s="42"/>
      <c r="ABB20" s="42"/>
      <c r="ABC20" s="42"/>
      <c r="ABD20" s="42"/>
      <c r="ABE20" s="42"/>
      <c r="ABF20" s="42"/>
      <c r="ABG20" s="42"/>
      <c r="ABH20" s="42"/>
      <c r="ABI20" s="42"/>
      <c r="ABJ20" s="42"/>
      <c r="ABK20" s="42"/>
      <c r="ABL20" s="42"/>
      <c r="ABM20" s="42"/>
      <c r="ABN20" s="42"/>
      <c r="ABO20" s="42"/>
      <c r="ABP20" s="42"/>
      <c r="ABQ20" s="42"/>
      <c r="ABR20" s="42"/>
      <c r="ABS20" s="42"/>
      <c r="ABT20" s="42"/>
      <c r="ABU20" s="42"/>
      <c r="ABV20" s="42"/>
      <c r="ABW20" s="42"/>
      <c r="ABX20" s="42"/>
      <c r="ABY20" s="42"/>
      <c r="ABZ20" s="42"/>
      <c r="ACA20" s="42"/>
      <c r="ACB20" s="42"/>
      <c r="ACC20" s="42"/>
      <c r="ACD20" s="42"/>
      <c r="ACE20" s="42"/>
      <c r="ACF20" s="42"/>
      <c r="ACG20" s="42"/>
      <c r="ACH20" s="42"/>
      <c r="ACI20" s="42"/>
      <c r="ACJ20" s="42"/>
      <c r="ACK20" s="42"/>
      <c r="ACL20" s="42"/>
      <c r="ACM20" s="42"/>
      <c r="ACN20" s="42"/>
      <c r="ACO20" s="42"/>
      <c r="ACP20" s="42"/>
      <c r="ACQ20" s="42"/>
      <c r="ACR20" s="42"/>
      <c r="ACS20" s="42"/>
      <c r="ACT20" s="42"/>
      <c r="ACU20" s="42"/>
      <c r="ACV20" s="42"/>
      <c r="ACW20" s="42"/>
      <c r="ACX20" s="42"/>
      <c r="ACY20" s="42"/>
      <c r="ACZ20" s="42"/>
      <c r="ADA20" s="42"/>
      <c r="ADB20" s="42"/>
      <c r="ADC20" s="42"/>
      <c r="ADD20" s="42"/>
      <c r="ADE20" s="42"/>
      <c r="ADF20" s="42"/>
      <c r="ADG20" s="42"/>
      <c r="ADH20" s="42"/>
      <c r="ADI20" s="42"/>
      <c r="ADJ20" s="42"/>
      <c r="ADK20" s="42"/>
      <c r="ADL20" s="42"/>
      <c r="ADM20" s="42"/>
      <c r="ADN20" s="42"/>
      <c r="ADO20" s="42"/>
      <c r="ADP20" s="42"/>
      <c r="ADQ20" s="42"/>
      <c r="ADR20" s="42"/>
      <c r="ADS20" s="42"/>
      <c r="ADT20" s="42"/>
      <c r="ADU20" s="42"/>
      <c r="ADV20" s="42"/>
      <c r="ADW20" s="42"/>
      <c r="ADX20" s="42"/>
      <c r="ADY20" s="42"/>
      <c r="ADZ20" s="42"/>
      <c r="AEA20" s="42"/>
      <c r="AEB20" s="42"/>
      <c r="AEC20" s="42"/>
      <c r="AED20" s="42"/>
      <c r="AEE20" s="42"/>
      <c r="AEF20" s="42"/>
      <c r="AEG20" s="42"/>
      <c r="AEH20" s="42"/>
      <c r="AEI20" s="42"/>
      <c r="AEJ20" s="42"/>
      <c r="AEK20" s="42"/>
      <c r="AEL20" s="42"/>
      <c r="AEM20" s="42"/>
      <c r="AEN20" s="42"/>
      <c r="AEO20" s="42"/>
      <c r="AEP20" s="42"/>
      <c r="AEQ20" s="42"/>
      <c r="AER20" s="42"/>
      <c r="AES20" s="42"/>
      <c r="AET20" s="42"/>
      <c r="AEU20" s="42"/>
      <c r="AEV20" s="42"/>
      <c r="AEW20" s="42"/>
      <c r="AEX20" s="42"/>
      <c r="AEY20" s="42"/>
      <c r="AEZ20" s="42"/>
      <c r="AFA20" s="42"/>
      <c r="AFB20" s="42"/>
      <c r="AFC20" s="42"/>
      <c r="AFD20" s="42"/>
      <c r="AFE20" s="42"/>
      <c r="AFF20" s="42"/>
      <c r="AFG20" s="42"/>
      <c r="AFH20" s="42"/>
      <c r="AFI20" s="42"/>
      <c r="AFJ20" s="42"/>
      <c r="AFK20" s="42"/>
      <c r="AFL20" s="42"/>
      <c r="AFM20" s="42"/>
      <c r="AFN20" s="42"/>
      <c r="AFO20" s="42"/>
      <c r="AFP20" s="42"/>
      <c r="AFQ20" s="42"/>
      <c r="AFR20" s="42"/>
      <c r="AFS20" s="42"/>
      <c r="AFT20" s="42"/>
      <c r="AFU20" s="42"/>
      <c r="AFV20" s="42"/>
      <c r="AFW20" s="42"/>
      <c r="AFX20" s="42"/>
      <c r="AFY20" s="42"/>
      <c r="AFZ20" s="42"/>
      <c r="AGA20" s="42"/>
      <c r="AGB20" s="42"/>
      <c r="AGC20" s="42"/>
      <c r="AGD20" s="42"/>
      <c r="AGE20" s="42"/>
      <c r="AGF20" s="42"/>
      <c r="AGG20" s="42"/>
      <c r="AGH20" s="42"/>
      <c r="AGI20" s="42"/>
      <c r="AGJ20" s="42"/>
      <c r="AGK20" s="42"/>
      <c r="AGL20" s="42"/>
      <c r="AGM20" s="42"/>
      <c r="AGN20" s="42"/>
      <c r="AGO20" s="42"/>
      <c r="AGP20" s="42"/>
      <c r="AGQ20" s="42"/>
      <c r="AGR20" s="42"/>
      <c r="AGS20" s="42"/>
      <c r="AGT20" s="42"/>
      <c r="AGU20" s="42"/>
      <c r="AGV20" s="42"/>
      <c r="AGW20" s="42"/>
      <c r="AGX20" s="42"/>
      <c r="AGY20" s="42"/>
      <c r="AGZ20" s="42"/>
      <c r="AHA20" s="42"/>
      <c r="AHB20" s="42"/>
      <c r="AHC20" s="42"/>
      <c r="AHD20" s="42"/>
      <c r="AHE20" s="42"/>
      <c r="AHF20" s="42"/>
      <c r="AHG20" s="42"/>
      <c r="AHH20" s="42"/>
      <c r="AHI20" s="42"/>
      <c r="AHJ20" s="42"/>
      <c r="AHK20" s="42"/>
      <c r="AHL20" s="42"/>
      <c r="AHM20" s="42"/>
      <c r="AHN20" s="42"/>
      <c r="AHO20" s="42"/>
      <c r="AHP20" s="42"/>
      <c r="AHQ20" s="42"/>
      <c r="AHR20" s="42"/>
      <c r="AHS20" s="42"/>
      <c r="AHT20" s="42"/>
      <c r="AHU20" s="42"/>
      <c r="AHV20" s="42"/>
      <c r="AHW20" s="42"/>
      <c r="AHX20" s="42"/>
      <c r="AHY20" s="42"/>
      <c r="AHZ20" s="42"/>
      <c r="AIA20" s="42"/>
      <c r="AIB20" s="42"/>
      <c r="AIC20" s="42"/>
      <c r="AID20" s="42"/>
      <c r="AIE20" s="42"/>
      <c r="AIF20" s="42"/>
      <c r="AIG20" s="42"/>
      <c r="AIH20" s="42"/>
      <c r="AII20" s="42"/>
      <c r="AIJ20" s="42"/>
      <c r="AIK20" s="42"/>
      <c r="AIL20" s="42"/>
      <c r="AIM20" s="42"/>
      <c r="AIN20" s="42"/>
      <c r="AIO20" s="42"/>
      <c r="AIP20" s="42"/>
      <c r="AIQ20" s="42"/>
      <c r="AIR20" s="42"/>
      <c r="AIS20" s="42"/>
      <c r="AIT20" s="42"/>
      <c r="AIU20" s="42"/>
      <c r="AIV20" s="42"/>
      <c r="AIW20" s="42"/>
      <c r="AIX20" s="42"/>
      <c r="AIY20" s="42"/>
      <c r="AIZ20" s="42"/>
      <c r="AJA20" s="42"/>
      <c r="AJB20" s="42"/>
      <c r="AJC20" s="42"/>
      <c r="AJD20" s="42"/>
      <c r="AJE20" s="42"/>
      <c r="AJF20" s="42"/>
      <c r="AJG20" s="42"/>
      <c r="AJH20" s="42"/>
      <c r="AJI20" s="42"/>
      <c r="AJJ20" s="42"/>
      <c r="AJK20" s="42"/>
      <c r="AJL20" s="42"/>
      <c r="AJM20" s="42"/>
      <c r="AJN20" s="42"/>
      <c r="AJO20" s="42"/>
      <c r="AJP20" s="42"/>
      <c r="AJQ20" s="42"/>
      <c r="AJR20" s="42"/>
      <c r="AJS20" s="42"/>
      <c r="AJT20" s="42"/>
      <c r="AJU20" s="42"/>
      <c r="AJV20" s="42"/>
      <c r="AJW20" s="42"/>
      <c r="AJX20" s="42"/>
      <c r="AJY20" s="42"/>
      <c r="AJZ20" s="42"/>
      <c r="AKA20" s="42"/>
      <c r="AKB20" s="42"/>
      <c r="AKC20" s="42"/>
      <c r="AKD20" s="42"/>
      <c r="AKE20" s="42"/>
      <c r="AKF20" s="42"/>
      <c r="AKG20" s="42"/>
      <c r="AKH20" s="42"/>
      <c r="AKI20" s="42"/>
      <c r="AKJ20" s="42"/>
      <c r="AKK20" s="42"/>
      <c r="AKL20" s="42"/>
      <c r="AKM20" s="42"/>
      <c r="AKN20" s="42"/>
      <c r="AKO20" s="42"/>
      <c r="AKP20" s="42"/>
      <c r="AKQ20" s="42"/>
      <c r="AKR20" s="42"/>
      <c r="AKS20" s="42"/>
      <c r="AKT20" s="42"/>
      <c r="AKU20" s="42"/>
      <c r="AKV20" s="42"/>
      <c r="AKW20" s="42"/>
      <c r="AKX20" s="42"/>
      <c r="AKY20" s="42"/>
      <c r="AKZ20" s="42"/>
      <c r="ALA20" s="42"/>
      <c r="ALB20" s="42"/>
      <c r="ALC20" s="42"/>
      <c r="ALD20" s="42"/>
      <c r="ALE20" s="42"/>
      <c r="ALF20" s="42"/>
      <c r="ALG20" s="42"/>
      <c r="ALH20" s="42"/>
      <c r="ALI20" s="42"/>
      <c r="ALJ20" s="42"/>
      <c r="ALK20" s="42"/>
      <c r="ALL20" s="42"/>
      <c r="ALM20" s="42"/>
      <c r="ALN20" s="42"/>
      <c r="ALO20" s="42"/>
      <c r="ALP20" s="42"/>
      <c r="ALQ20" s="42"/>
      <c r="ALR20" s="42"/>
      <c r="ALS20" s="42"/>
      <c r="ALT20" s="42"/>
      <c r="ALU20" s="42"/>
      <c r="ALV20" s="42"/>
      <c r="ALW20" s="42"/>
      <c r="ALX20" s="42"/>
      <c r="ALY20" s="42"/>
      <c r="ALZ20" s="42"/>
      <c r="AMA20" s="42"/>
      <c r="AMB20" s="42"/>
      <c r="AMC20" s="42"/>
      <c r="AMD20" s="42"/>
      <c r="AME20" s="42"/>
      <c r="AMF20" s="42"/>
      <c r="AMG20" s="42"/>
      <c r="AMH20" s="42"/>
      <c r="AMI20" s="42"/>
      <c r="AMJ20" s="42"/>
      <c r="AMK20" s="42"/>
      <c r="AML20" s="42"/>
      <c r="AMM20" s="42"/>
      <c r="AMN20" s="42"/>
      <c r="AMO20" s="42"/>
      <c r="AMP20" s="42"/>
      <c r="AMQ20" s="42"/>
      <c r="AMR20" s="42"/>
      <c r="AMS20" s="42"/>
      <c r="AMT20" s="42"/>
      <c r="AMU20" s="42"/>
      <c r="AMV20" s="42"/>
      <c r="AMW20" s="42"/>
      <c r="AMX20" s="42"/>
      <c r="AMY20" s="42"/>
      <c r="AMZ20" s="42"/>
      <c r="ANA20" s="42"/>
      <c r="ANB20" s="42"/>
      <c r="ANC20" s="42"/>
      <c r="AND20" s="42"/>
      <c r="ANE20" s="42"/>
      <c r="ANF20" s="42"/>
      <c r="ANG20" s="42"/>
      <c r="ANH20" s="42"/>
      <c r="ANI20" s="42"/>
      <c r="ANJ20" s="42"/>
      <c r="ANK20" s="42"/>
      <c r="ANL20" s="42"/>
      <c r="ANM20" s="42"/>
      <c r="ANN20" s="42"/>
      <c r="ANO20" s="42"/>
      <c r="ANP20" s="42"/>
      <c r="ANQ20" s="42"/>
      <c r="ANR20" s="42"/>
      <c r="ANS20" s="42"/>
      <c r="ANT20" s="42"/>
      <c r="ANU20" s="42"/>
      <c r="ANV20" s="42"/>
      <c r="ANW20" s="42"/>
      <c r="ANX20" s="42"/>
      <c r="ANY20" s="42"/>
      <c r="ANZ20" s="42"/>
      <c r="AOA20" s="42"/>
      <c r="AOB20" s="42"/>
      <c r="AOC20" s="42"/>
      <c r="AOD20" s="42"/>
      <c r="AOE20" s="42"/>
      <c r="AOF20" s="42"/>
      <c r="AOG20" s="42"/>
      <c r="AOH20" s="42"/>
      <c r="AOI20" s="42"/>
      <c r="AOJ20" s="42"/>
      <c r="AOK20" s="42"/>
      <c r="AOL20" s="42"/>
      <c r="AOM20" s="42"/>
      <c r="AON20" s="42"/>
      <c r="AOO20" s="42"/>
      <c r="AOP20" s="42"/>
      <c r="AOQ20" s="42"/>
      <c r="AOR20" s="42"/>
      <c r="AOS20" s="42"/>
      <c r="AOT20" s="42"/>
      <c r="AOU20" s="42"/>
      <c r="AOV20" s="42"/>
      <c r="AOW20" s="42"/>
      <c r="AOX20" s="42"/>
      <c r="AOY20" s="42"/>
      <c r="AOZ20" s="42"/>
      <c r="APA20" s="42"/>
      <c r="APB20" s="42"/>
      <c r="APC20" s="42"/>
      <c r="APD20" s="42"/>
      <c r="APE20" s="42"/>
      <c r="APF20" s="42"/>
      <c r="APG20" s="42"/>
      <c r="APH20" s="42"/>
      <c r="API20" s="42"/>
      <c r="APJ20" s="42"/>
      <c r="APK20" s="42"/>
      <c r="APL20" s="42"/>
      <c r="APM20" s="42"/>
      <c r="APN20" s="42"/>
      <c r="APO20" s="42"/>
      <c r="APP20" s="42"/>
      <c r="APQ20" s="42"/>
      <c r="APR20" s="42"/>
      <c r="APS20" s="42"/>
      <c r="APT20" s="42"/>
      <c r="APU20" s="42"/>
      <c r="APV20" s="42"/>
      <c r="APW20" s="42"/>
      <c r="APX20" s="42"/>
      <c r="APY20" s="42"/>
      <c r="APZ20" s="42"/>
      <c r="AQA20" s="42"/>
      <c r="AQB20" s="42"/>
      <c r="AQC20" s="42"/>
      <c r="AQD20" s="42"/>
      <c r="AQE20" s="42"/>
      <c r="AQF20" s="42"/>
      <c r="AQG20" s="42"/>
      <c r="AQH20" s="42"/>
      <c r="AQI20" s="42"/>
      <c r="AQJ20" s="42"/>
      <c r="AQK20" s="42"/>
      <c r="AQL20" s="42"/>
      <c r="AQM20" s="42"/>
      <c r="AQN20" s="42"/>
      <c r="AQO20" s="42"/>
      <c r="AQP20" s="42"/>
      <c r="AQQ20" s="42"/>
      <c r="AQR20" s="42"/>
      <c r="AQS20" s="42"/>
      <c r="AQT20" s="42"/>
      <c r="AQU20" s="42"/>
      <c r="AQV20" s="42"/>
      <c r="AQW20" s="42"/>
      <c r="AQX20" s="42"/>
      <c r="AQY20" s="42"/>
      <c r="AQZ20" s="42"/>
      <c r="ARA20" s="42"/>
      <c r="ARB20" s="42"/>
      <c r="ARC20" s="42"/>
      <c r="ARD20" s="42"/>
      <c r="ARE20" s="42"/>
      <c r="ARF20" s="42"/>
      <c r="ARG20" s="42"/>
      <c r="ARH20" s="42"/>
      <c r="ARI20" s="42"/>
      <c r="ARJ20" s="42"/>
      <c r="ARK20" s="42"/>
      <c r="ARL20" s="42"/>
      <c r="ARM20" s="42"/>
      <c r="ARN20" s="42"/>
      <c r="ARO20" s="42"/>
      <c r="ARP20" s="42"/>
      <c r="ARQ20" s="42"/>
      <c r="ARR20" s="42"/>
      <c r="ARS20" s="42"/>
      <c r="ART20" s="42"/>
      <c r="ARU20" s="42"/>
      <c r="ARV20" s="42"/>
      <c r="ARW20" s="42"/>
      <c r="ARX20" s="42"/>
      <c r="ARY20" s="42"/>
      <c r="ARZ20" s="42"/>
      <c r="ASA20" s="42"/>
      <c r="ASB20" s="42"/>
      <c r="ASC20" s="42"/>
      <c r="ASD20" s="42"/>
      <c r="ASE20" s="42"/>
      <c r="ASF20" s="42"/>
      <c r="ASG20" s="42"/>
      <c r="ASH20" s="42"/>
      <c r="ASI20" s="42"/>
      <c r="ASJ20" s="42"/>
      <c r="ASK20" s="42"/>
      <c r="ASL20" s="42"/>
      <c r="ASM20" s="42"/>
      <c r="ASN20" s="42"/>
      <c r="ASO20" s="42"/>
      <c r="ASP20" s="42"/>
      <c r="ASQ20" s="42"/>
      <c r="ASR20" s="42"/>
      <c r="ASS20" s="42"/>
      <c r="AST20" s="42"/>
      <c r="ASU20" s="42"/>
      <c r="ASV20" s="42"/>
      <c r="ASW20" s="42"/>
      <c r="ASX20" s="42"/>
      <c r="ASY20" s="42"/>
      <c r="ASZ20" s="42"/>
      <c r="ATA20" s="42"/>
      <c r="ATB20" s="42"/>
      <c r="ATC20" s="42"/>
      <c r="ATD20" s="42"/>
      <c r="ATE20" s="42"/>
      <c r="ATF20" s="42"/>
      <c r="ATG20" s="42"/>
      <c r="ATH20" s="42"/>
      <c r="ATI20" s="42"/>
      <c r="ATJ20" s="42"/>
      <c r="ATK20" s="42"/>
      <c r="ATL20" s="42"/>
      <c r="ATM20" s="42"/>
      <c r="ATN20" s="42"/>
      <c r="ATO20" s="42"/>
      <c r="ATP20" s="42"/>
      <c r="ATQ20" s="42"/>
      <c r="ATR20" s="42"/>
      <c r="ATS20" s="42"/>
      <c r="ATT20" s="42"/>
      <c r="ATU20" s="42"/>
      <c r="ATV20" s="42"/>
      <c r="ATW20" s="42"/>
      <c r="ATX20" s="42"/>
      <c r="ATY20" s="42"/>
      <c r="ATZ20" s="42"/>
      <c r="AUA20" s="42"/>
      <c r="AUB20" s="42"/>
      <c r="AUC20" s="42"/>
      <c r="AUD20" s="42"/>
      <c r="AUE20" s="42"/>
      <c r="AUF20" s="42"/>
      <c r="AUG20" s="42"/>
      <c r="AUH20" s="42"/>
      <c r="AUI20" s="42"/>
      <c r="AUJ20" s="42"/>
      <c r="AUK20" s="42"/>
      <c r="AUL20" s="42"/>
      <c r="AUM20" s="42"/>
      <c r="AUN20" s="42"/>
      <c r="AUO20" s="42"/>
      <c r="AUP20" s="42"/>
      <c r="AUQ20" s="42"/>
      <c r="AUR20" s="42"/>
      <c r="AUS20" s="42"/>
      <c r="AUT20" s="42"/>
      <c r="AUU20" s="42"/>
      <c r="AUV20" s="42"/>
      <c r="AUW20" s="42"/>
      <c r="AUX20" s="42"/>
      <c r="AUY20" s="42"/>
      <c r="AUZ20" s="42"/>
      <c r="AVA20" s="42"/>
      <c r="AVB20" s="42"/>
      <c r="AVC20" s="42"/>
      <c r="AVD20" s="42"/>
      <c r="AVE20" s="42"/>
      <c r="AVF20" s="42"/>
      <c r="AVG20" s="42"/>
      <c r="AVH20" s="42"/>
      <c r="AVI20" s="42"/>
      <c r="AVJ20" s="42"/>
      <c r="AVK20" s="42"/>
      <c r="AVL20" s="42"/>
      <c r="AVM20" s="42"/>
      <c r="AVN20" s="42"/>
      <c r="AVO20" s="42"/>
      <c r="AVP20" s="42"/>
      <c r="AVQ20" s="42"/>
      <c r="AVR20" s="42"/>
      <c r="AVS20" s="42"/>
      <c r="AVT20" s="42"/>
      <c r="AVU20" s="42"/>
      <c r="AVV20" s="42"/>
      <c r="AVW20" s="42"/>
      <c r="AVX20" s="42"/>
      <c r="AVY20" s="42"/>
      <c r="AVZ20" s="42"/>
      <c r="AWA20" s="42"/>
      <c r="AWB20" s="42"/>
      <c r="AWC20" s="42"/>
      <c r="AWD20" s="42"/>
      <c r="AWE20" s="42"/>
      <c r="AWF20" s="42"/>
      <c r="AWG20" s="42"/>
      <c r="AWH20" s="42"/>
      <c r="AWI20" s="42"/>
      <c r="AWJ20" s="42"/>
      <c r="AWK20" s="42"/>
      <c r="AWL20" s="42"/>
      <c r="AWM20" s="42"/>
      <c r="AWN20" s="42"/>
      <c r="AWO20" s="42"/>
      <c r="AWP20" s="42"/>
      <c r="AWQ20" s="42"/>
      <c r="AWR20" s="42"/>
      <c r="AWS20" s="42"/>
      <c r="AWT20" s="42"/>
      <c r="AWU20" s="42"/>
      <c r="AWV20" s="42"/>
      <c r="AWW20" s="42"/>
      <c r="AWX20" s="42"/>
      <c r="AWY20" s="42"/>
      <c r="AWZ20" s="42"/>
      <c r="AXA20" s="42"/>
      <c r="AXB20" s="42"/>
      <c r="AXC20" s="42"/>
      <c r="AXD20" s="42"/>
      <c r="AXE20" s="42"/>
      <c r="AXF20" s="42"/>
      <c r="AXG20" s="42"/>
      <c r="AXH20" s="42"/>
      <c r="AXI20" s="42"/>
      <c r="AXJ20" s="42"/>
      <c r="AXK20" s="42"/>
      <c r="AXL20" s="42"/>
      <c r="AXM20" s="42"/>
      <c r="AXN20" s="42"/>
      <c r="AXO20" s="42"/>
      <c r="AXP20" s="42"/>
      <c r="AXQ20" s="42"/>
      <c r="AXR20" s="42"/>
      <c r="AXS20" s="42"/>
      <c r="AXT20" s="42"/>
      <c r="AXU20" s="42"/>
      <c r="AXV20" s="42"/>
      <c r="AXW20" s="42"/>
      <c r="AXX20" s="42"/>
      <c r="AXY20" s="42"/>
      <c r="AXZ20" s="42"/>
      <c r="AYA20" s="42"/>
      <c r="AYB20" s="42"/>
      <c r="AYC20" s="42"/>
      <c r="AYD20" s="42"/>
      <c r="AYE20" s="42"/>
      <c r="AYF20" s="42"/>
      <c r="AYG20" s="42"/>
      <c r="AYH20" s="42"/>
      <c r="AYI20" s="42"/>
      <c r="AYJ20" s="42"/>
      <c r="AYK20" s="42"/>
      <c r="AYL20" s="42"/>
      <c r="AYM20" s="42"/>
      <c r="AYN20" s="42"/>
      <c r="AYO20" s="42"/>
      <c r="AYP20" s="42"/>
      <c r="AYQ20" s="42"/>
      <c r="AYR20" s="42"/>
      <c r="AYS20" s="42"/>
      <c r="AYT20" s="42"/>
      <c r="AYU20" s="42"/>
      <c r="AYV20" s="42"/>
      <c r="AYW20" s="42"/>
      <c r="AYX20" s="42"/>
      <c r="AYY20" s="42"/>
      <c r="AYZ20" s="42"/>
      <c r="AZA20" s="42"/>
      <c r="AZB20" s="42"/>
      <c r="AZC20" s="42"/>
      <c r="AZD20" s="42"/>
      <c r="AZE20" s="42"/>
      <c r="AZF20" s="42"/>
      <c r="AZG20" s="42"/>
      <c r="AZH20" s="42"/>
      <c r="AZI20" s="42"/>
      <c r="AZJ20" s="42"/>
      <c r="AZK20" s="42"/>
      <c r="AZL20" s="42"/>
      <c r="AZM20" s="42"/>
      <c r="AZN20" s="42"/>
      <c r="AZO20" s="42"/>
      <c r="AZP20" s="42"/>
      <c r="AZQ20" s="42"/>
      <c r="AZR20" s="42"/>
      <c r="AZS20" s="42"/>
      <c r="AZT20" s="42"/>
      <c r="AZU20" s="42"/>
      <c r="AZV20" s="42"/>
      <c r="AZW20" s="42"/>
      <c r="AZX20" s="42"/>
      <c r="AZY20" s="42"/>
      <c r="AZZ20" s="42"/>
      <c r="BAA20" s="42"/>
      <c r="BAB20" s="42"/>
      <c r="BAC20" s="42"/>
      <c r="BAD20" s="42"/>
      <c r="BAE20" s="42"/>
      <c r="BAF20" s="42"/>
      <c r="BAG20" s="42"/>
      <c r="BAH20" s="42"/>
      <c r="BAI20" s="42"/>
      <c r="BAJ20" s="42"/>
      <c r="BAK20" s="42"/>
      <c r="BAL20" s="42"/>
      <c r="BAM20" s="42"/>
      <c r="BAN20" s="42"/>
      <c r="BAO20" s="42"/>
      <c r="BAP20" s="42"/>
      <c r="BAQ20" s="42"/>
      <c r="BAR20" s="42"/>
      <c r="BAS20" s="42"/>
      <c r="BAT20" s="42"/>
      <c r="BAU20" s="42"/>
      <c r="BAV20" s="42"/>
      <c r="BAW20" s="42"/>
      <c r="BAX20" s="42"/>
      <c r="BAY20" s="42"/>
      <c r="BAZ20" s="42"/>
      <c r="BBA20" s="42"/>
      <c r="BBB20" s="42"/>
      <c r="BBC20" s="42"/>
      <c r="BBD20" s="42"/>
      <c r="BBE20" s="42"/>
      <c r="BBF20" s="42"/>
      <c r="BBG20" s="42"/>
      <c r="BBH20" s="42"/>
      <c r="BBI20" s="42"/>
      <c r="BBJ20" s="42"/>
      <c r="BBK20" s="42"/>
      <c r="BBL20" s="42"/>
      <c r="BBM20" s="42"/>
      <c r="BBN20" s="42"/>
      <c r="BBO20" s="42"/>
      <c r="BBP20" s="42"/>
      <c r="BBQ20" s="42"/>
      <c r="BBR20" s="42"/>
      <c r="BBS20" s="42"/>
      <c r="BBT20" s="42"/>
      <c r="BBU20" s="42"/>
      <c r="BBV20" s="42"/>
      <c r="BBW20" s="42"/>
      <c r="BBX20" s="42"/>
      <c r="BBY20" s="42"/>
      <c r="BBZ20" s="42"/>
      <c r="BCA20" s="42"/>
      <c r="BCB20" s="42"/>
      <c r="BCC20" s="42"/>
      <c r="BCD20" s="42"/>
      <c r="BCE20" s="42"/>
      <c r="BCF20" s="42"/>
      <c r="BCG20" s="42"/>
      <c r="BCH20" s="42"/>
      <c r="BCI20" s="42"/>
      <c r="BCJ20" s="42"/>
      <c r="BCK20" s="42"/>
      <c r="BCL20" s="42"/>
      <c r="BCM20" s="42"/>
      <c r="BCN20" s="42"/>
      <c r="BCO20" s="42"/>
      <c r="BCP20" s="42"/>
      <c r="BCQ20" s="42"/>
      <c r="BCR20" s="42"/>
      <c r="BCS20" s="42"/>
      <c r="BCT20" s="42"/>
      <c r="BCU20" s="42"/>
      <c r="BCV20" s="42"/>
      <c r="BCW20" s="42"/>
      <c r="BCX20" s="42"/>
    </row>
    <row r="21" spans="1:1454" s="42" customFormat="1" x14ac:dyDescent="0.25">
      <c r="A21" s="80">
        <v>2</v>
      </c>
      <c r="B21" s="76" t="str">
        <f>线路!B18</f>
        <v>IP13</v>
      </c>
      <c r="C21" s="81">
        <f>线路!E18</f>
        <v>451385.00439999998</v>
      </c>
      <c r="D21" s="81">
        <f>线路!F18</f>
        <v>3047285.1213000002</v>
      </c>
      <c r="E21" s="85">
        <f>线路!G18</f>
        <v>13</v>
      </c>
      <c r="F21" s="85">
        <f>线路!H18</f>
        <v>76.224999999999994</v>
      </c>
      <c r="G21" s="86">
        <f>线路!L18</f>
        <v>1101.326977686884</v>
      </c>
      <c r="H21" s="86">
        <f>线路!M18</f>
        <v>1109.9744296320464</v>
      </c>
      <c r="I21" s="86">
        <f>线路!N18</f>
        <v>1118.6218815772088</v>
      </c>
      <c r="J21" s="83">
        <f t="shared" si="0"/>
        <v>17.294903890324804</v>
      </c>
      <c r="K21" s="83">
        <f t="shared" si="13"/>
        <v>58.650922157012928</v>
      </c>
      <c r="L21" s="83">
        <f>IF(A21=1,断面设计!$D$7,IF(A21=2,断面设计!$D$8,IF(A21=3,断面设计!$D$9,IF(A21=4,断面设计!$D$10,IF(A21=5,断面设计!$D$11,IF(A21=6,断面设计!$D$12,IF(A21=7,断面设计!$D$13,IF(A21=8,断面设计!$D$14,IF(A21=9,断面设计!$D$15,IF(A21=10,断面设计!$D$16))))))))))</f>
        <v>1.5</v>
      </c>
      <c r="M21" s="83">
        <f t="shared" si="14"/>
        <v>1.2</v>
      </c>
      <c r="N21" s="110">
        <f t="shared" si="1"/>
        <v>1.4999999999999999E-2</v>
      </c>
      <c r="O21" s="83">
        <f>IF(A21=1,断面设计!$J$7,IF(A21=2,断面设计!$J$8,IF(A21=3,断面设计!$J$9,IF(A21=4,断面设计!$J$10,IF(A21=5,断面设计!$J$11,IF(A21=6,断面设计!$J$12,IF(A21=7,断面设计!$J$13,IF(A21=8,断面设计!$J$14,IF(A21=9,断面设计!$J$15,IF(A21=10,断面设计!$J$16))))))))))</f>
        <v>5000</v>
      </c>
      <c r="P21" s="111">
        <f>IF(A21=1,断面设计!$K$7,IF(A21=2,断面设计!$K$8,IF(A21=3,断面设计!$K$9,IF(A21=4,断面设计!$K$10,IF(A21=5,断面设计!$K$11,IF(A21=6,断面设计!$K$12,IF(A21=7,断面设计!$K$13,IF(A21=8,断面设计!$K$14,IF(A21=9,断面设计!$K$15,IF(A21=10,断面设计!$K$16))))))))))</f>
        <v>4.4993914540329225</v>
      </c>
      <c r="Q21" s="110">
        <f>IF(A21=1,断面设计!$C$7,IF(A21=2,断面设计!$C$8,IF(A21=3,断面设计!$C$9,IF(A21=4,断面设计!$C$10,IF(A21=5,断面设计!$C$11,IF(A21=6,断面设计!$C$12,IF(A21=7,断面设计!$C$13,IF(A21=8,断面设计!$C$14,IF(A21=9,断面设计!$C$15,IF(A21=10,断面设计!$C$16))))))))))</f>
        <v>1.58308906639964</v>
      </c>
      <c r="R21" s="83">
        <f>IF(A21=1,断面设计!$F$7,IF(A21=2,断面设计!$F$8,IF(A21=3,断面设计!$F$9,IF(A21=4,断面设计!$F$10,IF(A21=5,断面设计!$F$11,IF(A21=6,断面设计!$F$12,IF(A21=7,断面设计!$F$13,IF(A21=8,断面设计!$F$14,IF(A21=9,断面设计!$F$15,IF(A21=10,断面设计!$F$16))))))))))</f>
        <v>5.3820387901843603</v>
      </c>
      <c r="S21" s="83">
        <f>IF(A21=1,断面设计!$G$7,IF(A21=2,断面设计!$G$8,IF(A21=3,断面设计!$G$9,IF(A21=4,断面设计!$G$10,IF(A21=5,断面设计!$G$11,IF(A21=6,断面设计!$G$12,IF(A21=7,断面设计!$G$13,IF(A21=8,断面设计!$G$14,IF(A21=9,断面设计!$G$15,IF(A21=10,断面设计!$G$16))))))))))</f>
        <v>6.445728347111662</v>
      </c>
      <c r="T21" s="83">
        <f t="shared" si="15"/>
        <v>0.83497760072312976</v>
      </c>
      <c r="U21" s="83">
        <f t="shared" si="16"/>
        <v>0.8360013053489711</v>
      </c>
      <c r="V21" s="123">
        <f t="shared" si="17"/>
        <v>1.8258074325461634E-3</v>
      </c>
      <c r="W21" s="110"/>
      <c r="X21" s="110">
        <f>IF(AN21=0,IF(AN20=2,(H21-H20-AE20)/O21,(H21-H20)/O21),IF(AN21=1,IF(AN20=2,IF(AE21&lt;9,(H21-H20-AE21-AE20)/断面设计!$J$7,(H21-H20-AE21-AE20)/断面设计!$J$7),(H21-H20-AE21)/O20),(H21-H20)/O21))</f>
        <v>1.1730184431402585E-2</v>
      </c>
      <c r="Y21" s="133">
        <v>0</v>
      </c>
      <c r="Z21" s="134">
        <f t="shared" si="26"/>
        <v>0</v>
      </c>
      <c r="AA21" s="142"/>
      <c r="AB21" s="133">
        <f t="shared" si="4"/>
        <v>1.58308906639964</v>
      </c>
      <c r="AC21" s="110">
        <f t="shared" si="5"/>
        <v>1.3555991863948749E-2</v>
      </c>
      <c r="AD21" s="110">
        <f t="shared" ca="1" si="18"/>
        <v>2391.6039773083971</v>
      </c>
      <c r="AE21" s="82">
        <f t="shared" si="19"/>
        <v>0</v>
      </c>
      <c r="AF21" s="110" t="str">
        <f t="shared" si="6"/>
        <v xml:space="preserve"> </v>
      </c>
      <c r="AG21" s="110" t="str">
        <f>IF(AE21=0," ",AF21-断面设计!$C$7)</f>
        <v xml:space="preserve"> </v>
      </c>
      <c r="AH21" s="110">
        <f t="shared" ca="1" si="7"/>
        <v>2391.6075326062187</v>
      </c>
      <c r="AI21" s="110">
        <f t="shared" ca="1" si="8"/>
        <v>2390.024443539819</v>
      </c>
      <c r="AJ21" s="110">
        <f t="shared" ca="1" si="9"/>
        <v>2391.602247818008</v>
      </c>
      <c r="AK21" s="110">
        <f t="shared" ca="1" si="10"/>
        <v>2390.0191587516083</v>
      </c>
      <c r="AL21" s="110">
        <f t="shared" ca="1" si="11"/>
        <v>2391.6048902121133</v>
      </c>
      <c r="AM21" s="110">
        <f t="shared" ca="1" si="12"/>
        <v>2390.0218011457137</v>
      </c>
      <c r="AN21" s="80"/>
      <c r="AO21" s="80">
        <v>0</v>
      </c>
      <c r="AP21" s="161"/>
      <c r="AU21" s="64" t="str">
        <f t="shared" ca="1" si="20"/>
        <v>1109.97442963205,2390.02180114571</v>
      </c>
      <c r="AV21" s="64" t="str">
        <f t="shared" ca="1" si="21"/>
        <v>1109.97442963205,2391.60489021211</v>
      </c>
      <c r="AW21" s="169" t="str">
        <f t="shared" si="22"/>
        <v xml:space="preserve">pl 1109.97442963205,0 1109.97442963205,76 </v>
      </c>
      <c r="AX21" s="161" t="str">
        <f t="shared" ca="1" si="23"/>
        <v>-text 1109.97442963205,48 3.5 90 2390.022</v>
      </c>
      <c r="AY21" s="161" t="str">
        <f t="shared" ca="1" si="24"/>
        <v>-text 1109.97442963205,62.5 3.5 90 2391.605</v>
      </c>
      <c r="AZ21" s="42" t="str">
        <f t="shared" si="25"/>
        <v>-text 1109.97442963205,23.5 3.5 90 马分1+109.97</v>
      </c>
    </row>
    <row r="22" spans="1:1454" s="42" customFormat="1" x14ac:dyDescent="0.25">
      <c r="A22" s="80">
        <v>2</v>
      </c>
      <c r="B22" s="76" t="str">
        <f>线路!B19</f>
        <v>IP14</v>
      </c>
      <c r="C22" s="81">
        <f>线路!E19</f>
        <v>451372.18939999997</v>
      </c>
      <c r="D22" s="81">
        <f>线路!F19</f>
        <v>3047238.4202999999</v>
      </c>
      <c r="E22" s="85">
        <f>线路!G19</f>
        <v>13</v>
      </c>
      <c r="F22" s="85">
        <f>线路!H19</f>
        <v>11.442</v>
      </c>
      <c r="G22" s="86">
        <f>线路!L19</f>
        <v>1155.5489577565293</v>
      </c>
      <c r="H22" s="86">
        <f>线路!M19</f>
        <v>1156.847011481115</v>
      </c>
      <c r="I22" s="86">
        <f>线路!N19</f>
        <v>1158.1450652057008</v>
      </c>
      <c r="J22" s="83">
        <f t="shared" si="0"/>
        <v>2.5961074491715408</v>
      </c>
      <c r="K22" s="83">
        <f t="shared" si="13"/>
        <v>46.872581849068638</v>
      </c>
      <c r="L22" s="83">
        <f>IF(A22=1,断面设计!$D$7,IF(A22=2,断面设计!$D$8,IF(A22=3,断面设计!$D$9,IF(A22=4,断面设计!$D$10,IF(A22=5,断面设计!$D$11,IF(A22=6,断面设计!$D$12,IF(A22=7,断面设计!$D$13,IF(A22=8,断面设计!$D$14,IF(A22=9,断面设计!$D$15,IF(A22=10,断面设计!$D$16))))))))))</f>
        <v>1.5</v>
      </c>
      <c r="M22" s="83">
        <f t="shared" si="14"/>
        <v>1.2</v>
      </c>
      <c r="N22" s="110">
        <f t="shared" si="1"/>
        <v>1.4999999999999999E-2</v>
      </c>
      <c r="O22" s="83">
        <f>IF(A22=1,断面设计!$J$7,IF(A22=2,断面设计!$J$8,IF(A22=3,断面设计!$J$9,IF(A22=4,断面设计!$J$10,IF(A22=5,断面设计!$J$11,IF(A22=6,断面设计!$J$12,IF(A22=7,断面设计!$J$13,IF(A22=8,断面设计!$J$14,IF(A22=9,断面设计!$J$15,IF(A22=10,断面设计!$J$16))))))))))</f>
        <v>5000</v>
      </c>
      <c r="P22" s="111">
        <f>IF(A22=1,断面设计!$K$7,IF(A22=2,断面设计!$K$8,IF(A22=3,断面设计!$K$9,IF(A22=4,断面设计!$K$10,IF(A22=5,断面设计!$K$11,IF(A22=6,断面设计!$K$12,IF(A22=7,断面设计!$K$13,IF(A22=8,断面设计!$K$14,IF(A22=9,断面设计!$K$15,IF(A22=10,断面设计!$K$16))))))))))</f>
        <v>4.4993914540329225</v>
      </c>
      <c r="Q22" s="110">
        <f>IF(A22=1,断面设计!$C$7,IF(A22=2,断面设计!$C$8,IF(A22=3,断面设计!$C$9,IF(A22=4,断面设计!$C$10,IF(A22=5,断面设计!$C$11,IF(A22=6,断面设计!$C$12,IF(A22=7,断面设计!$C$13,IF(A22=8,断面设计!$C$14,IF(A22=9,断面设计!$C$15,IF(A22=10,断面设计!$C$16))))))))))</f>
        <v>1.58308906639964</v>
      </c>
      <c r="R22" s="83">
        <f>IF(A22=1,断面设计!$F$7,IF(A22=2,断面设计!$F$8,IF(A22=3,断面设计!$F$9,IF(A22=4,断面设计!$F$10,IF(A22=5,断面设计!$F$11,IF(A22=6,断面设计!$F$12,IF(A22=7,断面设计!$F$13,IF(A22=8,断面设计!$F$14,IF(A22=9,断面设计!$F$15,IF(A22=10,断面设计!$F$16))))))))))</f>
        <v>5.3820387901843603</v>
      </c>
      <c r="S22" s="83">
        <f>IF(A22=1,断面设计!$G$7,IF(A22=2,断面设计!$G$8,IF(A22=3,断面设计!$G$9,IF(A22=4,断面设计!$G$10,IF(A22=5,断面设计!$G$11,IF(A22=6,断面设计!$G$12,IF(A22=7,断面设计!$G$13,IF(A22=8,断面设计!$G$14,IF(A22=9,断面设计!$G$15,IF(A22=10,断面设计!$G$16))))))))))</f>
        <v>6.445728347111662</v>
      </c>
      <c r="T22" s="83">
        <f t="shared" si="15"/>
        <v>0.83497760072312976</v>
      </c>
      <c r="U22" s="83">
        <f t="shared" si="16"/>
        <v>0.8360013053489711</v>
      </c>
      <c r="V22" s="123">
        <f t="shared" si="17"/>
        <v>2.7406872605042511E-4</v>
      </c>
      <c r="W22" s="110"/>
      <c r="X22" s="110">
        <f>IF(AN22=0,IF(AN21=2,(H22-H21-AE21)/O22,(H22-H21)/O22),IF(AN22=1,IF(AN21=2,IF(AE22&lt;9,(H22-H21-AE22-AE21)/断面设计!$J$7,(H22-H21-AE22-AE21)/断面设计!$J$7),(H22-H21-AE22)/O21),(H22-H21)/O22))</f>
        <v>9.3745163698137277E-3</v>
      </c>
      <c r="Y22" s="133">
        <v>0</v>
      </c>
      <c r="Z22" s="134">
        <f t="shared" si="26"/>
        <v>0</v>
      </c>
      <c r="AA22" s="142"/>
      <c r="AB22" s="133">
        <f t="shared" si="4"/>
        <v>1.58308906639964</v>
      </c>
      <c r="AC22" s="110">
        <f t="shared" si="5"/>
        <v>9.6485850958641529E-3</v>
      </c>
      <c r="AD22" s="110">
        <f t="shared" ca="1" si="18"/>
        <v>2391.5943287233013</v>
      </c>
      <c r="AE22" s="82">
        <f t="shared" si="19"/>
        <v>0</v>
      </c>
      <c r="AF22" s="110" t="str">
        <f t="shared" si="6"/>
        <v xml:space="preserve"> </v>
      </c>
      <c r="AG22" s="110" t="str">
        <f>IF(AE22=0," ",AF22-断面设计!$C$7)</f>
        <v xml:space="preserve"> </v>
      </c>
      <c r="AH22" s="110">
        <f t="shared" ca="1" si="7"/>
        <v>2391.5948624027719</v>
      </c>
      <c r="AI22" s="110">
        <f t="shared" ca="1" si="8"/>
        <v>2390.0117733363722</v>
      </c>
      <c r="AJ22" s="110">
        <f t="shared" ca="1" si="9"/>
        <v>2391.5940691125566</v>
      </c>
      <c r="AK22" s="110">
        <f t="shared" ca="1" si="10"/>
        <v>2390.0109800461569</v>
      </c>
      <c r="AL22" s="110">
        <f t="shared" ca="1" si="11"/>
        <v>2391.5944657576642</v>
      </c>
      <c r="AM22" s="110">
        <f t="shared" ca="1" si="12"/>
        <v>2390.0113766912646</v>
      </c>
      <c r="AN22" s="80"/>
      <c r="AO22" s="80">
        <v>0</v>
      </c>
      <c r="AP22" s="161"/>
      <c r="AU22" s="64" t="str">
        <f t="shared" ca="1" si="20"/>
        <v>1156.84701148112,2390.01137669126</v>
      </c>
      <c r="AV22" s="64" t="str">
        <f t="shared" ca="1" si="21"/>
        <v>1156.84701148112,2391.59446575766</v>
      </c>
      <c r="AW22" s="169" t="str">
        <f t="shared" si="22"/>
        <v xml:space="preserve">pl 1156.84701148112,0 1156.84701148112,76 </v>
      </c>
      <c r="AX22" s="161" t="str">
        <f t="shared" ca="1" si="23"/>
        <v>-text 1156.84701148112,48 3.5 90 2390.011</v>
      </c>
      <c r="AY22" s="161" t="str">
        <f t="shared" ca="1" si="24"/>
        <v>-text 1156.84701148112,62.5 3.5 90 2391.594</v>
      </c>
      <c r="AZ22" s="42" t="str">
        <f t="shared" si="25"/>
        <v>-text 1156.84701148112,23.5 3.5 90 马分1+156.85</v>
      </c>
    </row>
    <row r="23" spans="1:1454" s="42" customFormat="1" x14ac:dyDescent="0.25">
      <c r="A23" s="80">
        <v>2</v>
      </c>
      <c r="B23" s="76" t="str">
        <f>线路!B20</f>
        <v>IP15</v>
      </c>
      <c r="C23" s="81">
        <f>线路!E20</f>
        <v>451370.42080000002</v>
      </c>
      <c r="D23" s="81">
        <f>线路!F20</f>
        <v>3047212.4931000001</v>
      </c>
      <c r="E23" s="85">
        <f>线路!G20</f>
        <v>13</v>
      </c>
      <c r="F23" s="85">
        <f>线路!H20</f>
        <v>17.408999999999999</v>
      </c>
      <c r="G23" s="86">
        <f>线路!L20</f>
        <v>1180.8398075297332</v>
      </c>
      <c r="H23" s="86">
        <f>线路!M20</f>
        <v>1182.8147959313512</v>
      </c>
      <c r="I23" s="86">
        <f>线路!N20</f>
        <v>1184.7897843329692</v>
      </c>
      <c r="J23" s="83">
        <f t="shared" si="0"/>
        <v>3.9499768032360407</v>
      </c>
      <c r="K23" s="83">
        <f t="shared" si="13"/>
        <v>25.967784450236195</v>
      </c>
      <c r="L23" s="83">
        <f>IF(A23=1,断面设计!$D$7,IF(A23=2,断面设计!$D$8,IF(A23=3,断面设计!$D$9,IF(A23=4,断面设计!$D$10,IF(A23=5,断面设计!$D$11,IF(A23=6,断面设计!$D$12,IF(A23=7,断面设计!$D$13,IF(A23=8,断面设计!$D$14,IF(A23=9,断面设计!$D$15,IF(A23=10,断面设计!$D$16))))))))))</f>
        <v>1.5</v>
      </c>
      <c r="M23" s="83">
        <f t="shared" si="14"/>
        <v>1.2</v>
      </c>
      <c r="N23" s="110">
        <f t="shared" si="1"/>
        <v>1.4999999999999999E-2</v>
      </c>
      <c r="O23" s="83">
        <f>IF(A23=1,断面设计!$J$7,IF(A23=2,断面设计!$J$8,IF(A23=3,断面设计!$J$9,IF(A23=4,断面设计!$J$10,IF(A23=5,断面设计!$J$11,IF(A23=6,断面设计!$J$12,IF(A23=7,断面设计!$J$13,IF(A23=8,断面设计!$J$14,IF(A23=9,断面设计!$J$15,IF(A23=10,断面设计!$J$16))))))))))</f>
        <v>5000</v>
      </c>
      <c r="P23" s="111">
        <f>IF(A23=1,断面设计!$K$7,IF(A23=2,断面设计!$K$8,IF(A23=3,断面设计!$K$9,IF(A23=4,断面设计!$K$10,IF(A23=5,断面设计!$K$11,IF(A23=6,断面设计!$K$12,IF(A23=7,断面设计!$K$13,IF(A23=8,断面设计!$K$14,IF(A23=9,断面设计!$K$15,IF(A23=10,断面设计!$K$16))))))))))</f>
        <v>4.4993914540329225</v>
      </c>
      <c r="Q23" s="110">
        <f>IF(A23=1,断面设计!$C$7,IF(A23=2,断面设计!$C$8,IF(A23=3,断面设计!$C$9,IF(A23=4,断面设计!$C$10,IF(A23=5,断面设计!$C$11,IF(A23=6,断面设计!$C$12,IF(A23=7,断面设计!$C$13,IF(A23=8,断面设计!$C$14,IF(A23=9,断面设计!$C$15,IF(A23=10,断面设计!$C$16))))))))))</f>
        <v>1.58308906639964</v>
      </c>
      <c r="R23" s="83">
        <f>IF(A23=1,断面设计!$F$7,IF(A23=2,断面设计!$F$8,IF(A23=3,断面设计!$F$9,IF(A23=4,断面设计!$F$10,IF(A23=5,断面设计!$F$11,IF(A23=6,断面设计!$F$12,IF(A23=7,断面设计!$F$13,IF(A23=8,断面设计!$F$14,IF(A23=9,断面设计!$F$15,IF(A23=10,断面设计!$F$16))))))))))</f>
        <v>5.3820387901843603</v>
      </c>
      <c r="S23" s="83">
        <f>IF(A23=1,断面设计!$G$7,IF(A23=2,断面设计!$G$8,IF(A23=3,断面设计!$G$9,IF(A23=4,断面设计!$G$10,IF(A23=5,断面设计!$G$11,IF(A23=6,断面设计!$G$12,IF(A23=7,断面设计!$G$13,IF(A23=8,断面设计!$G$14,IF(A23=9,断面设计!$G$15,IF(A23=10,断面设计!$G$16))))))))))</f>
        <v>6.445728347111662</v>
      </c>
      <c r="T23" s="83">
        <f t="shared" si="15"/>
        <v>0.83497760072312976</v>
      </c>
      <c r="U23" s="83">
        <f t="shared" si="16"/>
        <v>0.8360013053489711</v>
      </c>
      <c r="V23" s="123">
        <f t="shared" si="17"/>
        <v>4.1699549482710976E-4</v>
      </c>
      <c r="W23" s="110"/>
      <c r="X23" s="110">
        <f>IF(AN23=0,IF(AN22=2,(H23-H22-AE22)/O23,(H23-H22)/O23),IF(AN23=1,IF(AN22=2,IF(AE23&lt;9,(H23-H22-AE23-AE22)/断面设计!$J$7,(H23-H22-AE23-AE22)/断面设计!$J$7),(H23-H22-AE23)/O22),(H23-H22)/O23))</f>
        <v>5.1935568900472392E-3</v>
      </c>
      <c r="Y23" s="133">
        <v>0</v>
      </c>
      <c r="Z23" s="134">
        <f t="shared" si="26"/>
        <v>0</v>
      </c>
      <c r="AA23" s="142"/>
      <c r="AB23" s="133">
        <f t="shared" si="4"/>
        <v>1.58308906639964</v>
      </c>
      <c r="AC23" s="110">
        <f t="shared" si="5"/>
        <v>5.610552384874349E-3</v>
      </c>
      <c r="AD23" s="110">
        <f t="shared" ca="1" si="18"/>
        <v>2391.5887181709163</v>
      </c>
      <c r="AE23" s="82">
        <f t="shared" si="19"/>
        <v>0</v>
      </c>
      <c r="AF23" s="110" t="str">
        <f t="shared" si="6"/>
        <v xml:space="preserve"> </v>
      </c>
      <c r="AG23" s="110" t="str">
        <f>IF(AE23=0," ",AF23-断面设计!$C$7)</f>
        <v xml:space="preserve"> </v>
      </c>
      <c r="AH23" s="110">
        <f t="shared" ca="1" si="7"/>
        <v>2391.5895301640917</v>
      </c>
      <c r="AI23" s="110">
        <f t="shared" ca="1" si="8"/>
        <v>2390.006441097692</v>
      </c>
      <c r="AJ23" s="110">
        <f t="shared" ca="1" si="9"/>
        <v>2391.5883231732359</v>
      </c>
      <c r="AK23" s="110">
        <f t="shared" ca="1" si="10"/>
        <v>2390.0052341068363</v>
      </c>
      <c r="AL23" s="110">
        <f t="shared" ca="1" si="11"/>
        <v>2391.5889266686636</v>
      </c>
      <c r="AM23" s="110">
        <f t="shared" ca="1" si="12"/>
        <v>2390.0058376022639</v>
      </c>
      <c r="AN23" s="80"/>
      <c r="AO23" s="80">
        <v>0</v>
      </c>
      <c r="AP23" s="161"/>
      <c r="AU23" s="64" t="str">
        <f t="shared" ca="1" si="20"/>
        <v>1182.81479593135,2390.00583760226</v>
      </c>
      <c r="AV23" s="64" t="str">
        <f t="shared" ca="1" si="21"/>
        <v>1182.81479593135,2391.58892666866</v>
      </c>
      <c r="AW23" s="169" t="str">
        <f t="shared" si="22"/>
        <v xml:space="preserve">pl 1182.81479593135,0 1182.81479593135,76 </v>
      </c>
      <c r="AX23" s="161" t="str">
        <f t="shared" ca="1" si="23"/>
        <v>-text 1182.81479593135,48 3.5 90 2390.006</v>
      </c>
      <c r="AY23" s="161" t="str">
        <f t="shared" ca="1" si="24"/>
        <v>-text 1182.81479593135,62.5 3.5 90 2391.589</v>
      </c>
      <c r="AZ23" s="42" t="str">
        <f t="shared" si="25"/>
        <v>-text 1182.81479593135,23.5 3.5 90 马分1+182.81</v>
      </c>
    </row>
    <row r="24" spans="1:1454" s="42" customFormat="1" x14ac:dyDescent="0.25">
      <c r="A24" s="80">
        <v>2</v>
      </c>
      <c r="B24" s="76" t="str">
        <f>线路!B21</f>
        <v>IP16</v>
      </c>
      <c r="C24" s="81">
        <f>线路!E21</f>
        <v>451352.3971</v>
      </c>
      <c r="D24" s="81">
        <f>线路!F21</f>
        <v>3047166.2922</v>
      </c>
      <c r="E24" s="85">
        <f>线路!G21</f>
        <v>13</v>
      </c>
      <c r="F24" s="85">
        <f>线路!H21</f>
        <v>21.506</v>
      </c>
      <c r="G24" s="86">
        <f>线路!L21</f>
        <v>1229.9227329636544</v>
      </c>
      <c r="H24" s="86">
        <f>线路!M21</f>
        <v>1232.3625112717248</v>
      </c>
      <c r="I24" s="86">
        <f>线路!N21</f>
        <v>1234.8022895797951</v>
      </c>
      <c r="J24" s="83">
        <f t="shared" si="0"/>
        <v>4.8795566161406896</v>
      </c>
      <c r="K24" s="83">
        <f t="shared" si="13"/>
        <v>49.547715340373543</v>
      </c>
      <c r="L24" s="83">
        <f>IF(A24=1,断面设计!$D$7,IF(A24=2,断面设计!$D$8,IF(A24=3,断面设计!$D$9,IF(A24=4,断面设计!$D$10,IF(A24=5,断面设计!$D$11,IF(A24=6,断面设计!$D$12,IF(A24=7,断面设计!$D$13,IF(A24=8,断面设计!$D$14,IF(A24=9,断面设计!$D$15,IF(A24=10,断面设计!$D$16))))))))))</f>
        <v>1.5</v>
      </c>
      <c r="M24" s="83">
        <f t="shared" si="14"/>
        <v>1.2</v>
      </c>
      <c r="N24" s="110">
        <f t="shared" si="1"/>
        <v>1.4999999999999999E-2</v>
      </c>
      <c r="O24" s="83">
        <f>IF(A24=1,断面设计!$J$7,IF(A24=2,断面设计!$J$8,IF(A24=3,断面设计!$J$9,IF(A24=4,断面设计!$J$10,IF(A24=5,断面设计!$J$11,IF(A24=6,断面设计!$J$12,IF(A24=7,断面设计!$J$13,IF(A24=8,断面设计!$J$14,IF(A24=9,断面设计!$J$15,IF(A24=10,断面设计!$J$16))))))))))</f>
        <v>5000</v>
      </c>
      <c r="P24" s="111">
        <f>IF(A24=1,断面设计!$K$7,IF(A24=2,断面设计!$K$8,IF(A24=3,断面设计!$K$9,IF(A24=4,断面设计!$K$10,IF(A24=5,断面设计!$K$11,IF(A24=6,断面设计!$K$12,IF(A24=7,断面设计!$K$13,IF(A24=8,断面设计!$K$14,IF(A24=9,断面设计!$K$15,IF(A24=10,断面设计!$K$16))))))))))</f>
        <v>4.4993914540329225</v>
      </c>
      <c r="Q24" s="110">
        <f>IF(A24=1,断面设计!$C$7,IF(A24=2,断面设计!$C$8,IF(A24=3,断面设计!$C$9,IF(A24=4,断面设计!$C$10,IF(A24=5,断面设计!$C$11,IF(A24=6,断面设计!$C$12,IF(A24=7,断面设计!$C$13,IF(A24=8,断面设计!$C$14,IF(A24=9,断面设计!$C$15,IF(A24=10,断面设计!$C$16))))))))))</f>
        <v>1.58308906639964</v>
      </c>
      <c r="R24" s="83">
        <f>IF(A24=1,断面设计!$F$7,IF(A24=2,断面设计!$F$8,IF(A24=3,断面设计!$F$9,IF(A24=4,断面设计!$F$10,IF(A24=5,断面设计!$F$11,IF(A24=6,断面设计!$F$12,IF(A24=7,断面设计!$F$13,IF(A24=8,断面设计!$F$14,IF(A24=9,断面设计!$F$15,IF(A24=10,断面设计!$F$16))))))))))</f>
        <v>5.3820387901843603</v>
      </c>
      <c r="S24" s="83">
        <f>IF(A24=1,断面设计!$G$7,IF(A24=2,断面设计!$G$8,IF(A24=3,断面设计!$G$9,IF(A24=4,断面设计!$G$10,IF(A24=5,断面设计!$G$11,IF(A24=6,断面设计!$G$12,IF(A24=7,断面设计!$G$13,IF(A24=8,断面设计!$G$14,IF(A24=9,断面设计!$G$15,IF(A24=10,断面设计!$G$16))))))))))</f>
        <v>6.445728347111662</v>
      </c>
      <c r="T24" s="83">
        <f t="shared" si="15"/>
        <v>0.83497760072312976</v>
      </c>
      <c r="U24" s="83">
        <f t="shared" si="16"/>
        <v>0.8360013053489711</v>
      </c>
      <c r="V24" s="123">
        <f t="shared" si="17"/>
        <v>5.1513039874500049E-4</v>
      </c>
      <c r="W24" s="110"/>
      <c r="X24" s="110">
        <f>IF(AN24=0,IF(AN23=2,(H24-H23-AE23)/O24,(H24-H23)/O24),IF(AN24=1,IF(AN23=2,IF(AE24&lt;9,(H24-H23-AE24-AE23)/断面设计!$J$7,(H24-H23-AE24-AE23)/断面设计!$J$7),(H24-H23-AE24)/O23),(H24-H23)/O24))</f>
        <v>9.9095430680747089E-3</v>
      </c>
      <c r="Y24" s="133">
        <v>0</v>
      </c>
      <c r="Z24" s="134">
        <f t="shared" si="26"/>
        <v>0</v>
      </c>
      <c r="AA24" s="142"/>
      <c r="AB24" s="133">
        <f t="shared" si="4"/>
        <v>1.58308906639964</v>
      </c>
      <c r="AC24" s="110">
        <f t="shared" si="5"/>
        <v>1.042467346681971E-2</v>
      </c>
      <c r="AD24" s="110">
        <f t="shared" ca="1" si="18"/>
        <v>2391.5782934974495</v>
      </c>
      <c r="AE24" s="82">
        <f t="shared" si="19"/>
        <v>0</v>
      </c>
      <c r="AF24" s="110" t="str">
        <f t="shared" si="6"/>
        <v xml:space="preserve"> </v>
      </c>
      <c r="AG24" s="110" t="str">
        <f>IF(AE24=0," ",AF24-断面设计!$C$7)</f>
        <v xml:space="preserve"> </v>
      </c>
      <c r="AH24" s="110">
        <f t="shared" ca="1" si="7"/>
        <v>2391.5792965835099</v>
      </c>
      <c r="AI24" s="110">
        <f t="shared" ca="1" si="8"/>
        <v>2389.9962075171102</v>
      </c>
      <c r="AJ24" s="110">
        <f t="shared" ca="1" si="9"/>
        <v>2391.5778055417877</v>
      </c>
      <c r="AK24" s="110">
        <f t="shared" ca="1" si="10"/>
        <v>2389.994716475388</v>
      </c>
      <c r="AL24" s="110">
        <f t="shared" ca="1" si="11"/>
        <v>2391.5785510626488</v>
      </c>
      <c r="AM24" s="110">
        <f t="shared" ca="1" si="12"/>
        <v>2389.9954619962491</v>
      </c>
      <c r="AN24" s="80"/>
      <c r="AO24" s="80">
        <v>0</v>
      </c>
      <c r="AP24" s="161"/>
      <c r="AU24" s="64" t="str">
        <f t="shared" ca="1" si="20"/>
        <v>1232.36251127172,2389.99546199625</v>
      </c>
      <c r="AV24" s="64" t="str">
        <f t="shared" ca="1" si="21"/>
        <v>1232.36251127172,2391.57855106265</v>
      </c>
      <c r="AW24" s="169" t="str">
        <f t="shared" si="22"/>
        <v xml:space="preserve">pl 1232.36251127172,0 1232.36251127172,76 </v>
      </c>
      <c r="AX24" s="161" t="str">
        <f t="shared" ca="1" si="23"/>
        <v>-text 1232.36251127172,48 3.5 90 2389.995</v>
      </c>
      <c r="AY24" s="161" t="str">
        <f t="shared" ca="1" si="24"/>
        <v>-text 1232.36251127172,62.5 3.5 90 2391.579</v>
      </c>
      <c r="AZ24" s="42" t="str">
        <f t="shared" si="25"/>
        <v>-text 1232.36251127172,23.5 3.5 90 马分1+232.36</v>
      </c>
    </row>
    <row r="25" spans="1:1454" s="42" customFormat="1" x14ac:dyDescent="0.25">
      <c r="A25" s="80">
        <v>2</v>
      </c>
      <c r="B25" s="76" t="str">
        <f>线路!B22</f>
        <v>IP17</v>
      </c>
      <c r="C25" s="81">
        <f>线路!E22</f>
        <v>451352.6298</v>
      </c>
      <c r="D25" s="81">
        <f>线路!F22</f>
        <v>3047097.8539999998</v>
      </c>
      <c r="E25" s="85">
        <f>线路!G22</f>
        <v>13</v>
      </c>
      <c r="F25" s="85">
        <f>线路!H22</f>
        <v>38.149000000000001</v>
      </c>
      <c r="G25" s="86">
        <f>线路!L22</f>
        <v>1296.2768777756485</v>
      </c>
      <c r="H25" s="86">
        <f>线路!M22</f>
        <v>1300.6047445418801</v>
      </c>
      <c r="I25" s="86">
        <f>线路!N22</f>
        <v>1304.9326113081115</v>
      </c>
      <c r="J25" s="83">
        <f t="shared" si="0"/>
        <v>8.6557335324630458</v>
      </c>
      <c r="K25" s="83">
        <f t="shared" si="13"/>
        <v>68.242233270155339</v>
      </c>
      <c r="L25" s="83">
        <f>IF(A25=1,断面设计!$D$7,IF(A25=2,断面设计!$D$8,IF(A25=3,断面设计!$D$9,IF(A25=4,断面设计!$D$10,IF(A25=5,断面设计!$D$11,IF(A25=6,断面设计!$D$12,IF(A25=7,断面设计!$D$13,IF(A25=8,断面设计!$D$14,IF(A25=9,断面设计!$D$15,IF(A25=10,断面设计!$D$16))))))))))</f>
        <v>1.5</v>
      </c>
      <c r="M25" s="83">
        <f t="shared" si="14"/>
        <v>1.2</v>
      </c>
      <c r="N25" s="110">
        <f t="shared" si="1"/>
        <v>1.4999999999999999E-2</v>
      </c>
      <c r="O25" s="83">
        <f>IF(A25=1,断面设计!$J$7,IF(A25=2,断面设计!$J$8,IF(A25=3,断面设计!$J$9,IF(A25=4,断面设计!$J$10,IF(A25=5,断面设计!$J$11,IF(A25=6,断面设计!$J$12,IF(A25=7,断面设计!$J$13,IF(A25=8,断面设计!$J$14,IF(A25=9,断面设计!$J$15,IF(A25=10,断面设计!$J$16))))))))))</f>
        <v>5000</v>
      </c>
      <c r="P25" s="111">
        <f>IF(A25=1,断面设计!$K$7,IF(A25=2,断面设计!$K$8,IF(A25=3,断面设计!$K$9,IF(A25=4,断面设计!$K$10,IF(A25=5,断面设计!$K$11,IF(A25=6,断面设计!$K$12,IF(A25=7,断面设计!$K$13,IF(A25=8,断面设计!$K$14,IF(A25=9,断面设计!$K$15,IF(A25=10,断面设计!$K$16))))))))))</f>
        <v>4.4993914540329225</v>
      </c>
      <c r="Q25" s="110">
        <f>IF(A25=1,断面设计!$C$7,IF(A25=2,断面设计!$C$8,IF(A25=3,断面设计!$C$9,IF(A25=4,断面设计!$C$10,IF(A25=5,断面设计!$C$11,IF(A25=6,断面设计!$C$12,IF(A25=7,断面设计!$C$13,IF(A25=8,断面设计!$C$14,IF(A25=9,断面设计!$C$15,IF(A25=10,断面设计!$C$16))))))))))</f>
        <v>1.58308906639964</v>
      </c>
      <c r="R25" s="83">
        <f>IF(A25=1,断面设计!$F$7,IF(A25=2,断面设计!$F$8,IF(A25=3,断面设计!$F$9,IF(A25=4,断面设计!$F$10,IF(A25=5,断面设计!$F$11,IF(A25=6,断面设计!$F$12,IF(A25=7,断面设计!$F$13,IF(A25=8,断面设计!$F$14,IF(A25=9,断面设计!$F$15,IF(A25=10,断面设计!$F$16))))))))))</f>
        <v>5.3820387901843603</v>
      </c>
      <c r="S25" s="83">
        <f>IF(A25=1,断面设计!$G$7,IF(A25=2,断面设计!$G$8,IF(A25=3,断面设计!$G$9,IF(A25=4,断面设计!$G$10,IF(A25=5,断面设计!$G$11,IF(A25=6,断面设计!$G$12,IF(A25=7,断面设计!$G$13,IF(A25=8,断面设计!$G$14,IF(A25=9,断面设计!$G$15,IF(A25=10,断面设计!$G$16))))))))))</f>
        <v>6.445728347111662</v>
      </c>
      <c r="T25" s="83">
        <f t="shared" si="15"/>
        <v>0.83497760072312976</v>
      </c>
      <c r="U25" s="83">
        <f t="shared" si="16"/>
        <v>0.8360013053489711</v>
      </c>
      <c r="V25" s="123">
        <f t="shared" si="17"/>
        <v>9.1377799598823248E-4</v>
      </c>
      <c r="W25" s="110"/>
      <c r="X25" s="110">
        <f>IF(AN25=0,IF(AN24=2,(H25-H24-AE24)/O25,(H25-H24)/O25),IF(AN25=1,IF(AN24=2,IF(AE25&lt;9,(H25-H24-AE25-AE24)/断面设计!$J$7,(H25-H24-AE25-AE24)/断面设计!$J$7),(H25-H24-AE25)/O24),(H25-H24)/O25))</f>
        <v>1.3648446654031067E-2</v>
      </c>
      <c r="Y25" s="133">
        <v>0</v>
      </c>
      <c r="Z25" s="134">
        <f t="shared" si="26"/>
        <v>0</v>
      </c>
      <c r="AA25" s="142"/>
      <c r="AB25" s="133">
        <f t="shared" si="4"/>
        <v>1.58308906639964</v>
      </c>
      <c r="AC25" s="110">
        <f t="shared" si="5"/>
        <v>1.4562224650019299E-2</v>
      </c>
      <c r="AD25" s="110">
        <f t="shared" ca="1" si="18"/>
        <v>2391.5637312727995</v>
      </c>
      <c r="AE25" s="82">
        <f t="shared" si="19"/>
        <v>0</v>
      </c>
      <c r="AF25" s="110" t="str">
        <f t="shared" si="6"/>
        <v xml:space="preserve"> </v>
      </c>
      <c r="AG25" s="110" t="str">
        <f>IF(AE25=0," ",AF25-断面设计!$C$7)</f>
        <v xml:space="preserve"> </v>
      </c>
      <c r="AH25" s="110">
        <f t="shared" ca="1" si="7"/>
        <v>2391.5655106241488</v>
      </c>
      <c r="AI25" s="110">
        <f t="shared" ca="1" si="8"/>
        <v>2389.9824215577491</v>
      </c>
      <c r="AJ25" s="110">
        <f t="shared" ca="1" si="9"/>
        <v>2391.5628656994463</v>
      </c>
      <c r="AK25" s="110">
        <f t="shared" ca="1" si="10"/>
        <v>2389.9797766330466</v>
      </c>
      <c r="AL25" s="110">
        <f t="shared" ca="1" si="11"/>
        <v>2391.5641881617976</v>
      </c>
      <c r="AM25" s="110">
        <f t="shared" ca="1" si="12"/>
        <v>2389.9810990953979</v>
      </c>
      <c r="AN25" s="80"/>
      <c r="AO25" s="80">
        <v>0</v>
      </c>
      <c r="AP25" s="161"/>
      <c r="AU25" s="64" t="str">
        <f t="shared" ca="1" si="20"/>
        <v>1300.60474454188,2389.9810990954</v>
      </c>
      <c r="AV25" s="64" t="str">
        <f t="shared" ca="1" si="21"/>
        <v>1300.60474454188,2391.5641881618</v>
      </c>
      <c r="AW25" s="169" t="str">
        <f t="shared" si="22"/>
        <v xml:space="preserve">pl 1300.60474454188,0 1300.60474454188,76 </v>
      </c>
      <c r="AX25" s="161" t="str">
        <f t="shared" ca="1" si="23"/>
        <v>-text 1300.60474454188,48 3.5 90 2389.981</v>
      </c>
      <c r="AY25" s="161" t="str">
        <f t="shared" ca="1" si="24"/>
        <v>-text 1300.60474454188,62.5 3.5 90 2391.564</v>
      </c>
      <c r="AZ25" s="42" t="str">
        <f t="shared" si="25"/>
        <v>-text 1300.60474454188,23.5 3.5 90 马分1+300.60</v>
      </c>
    </row>
    <row r="26" spans="1:1454" s="42" customFormat="1" x14ac:dyDescent="0.25">
      <c r="A26" s="80">
        <v>2</v>
      </c>
      <c r="B26" s="76" t="str">
        <f>线路!B23</f>
        <v>IP18</v>
      </c>
      <c r="C26" s="81">
        <f>线路!E23</f>
        <v>451383.0098</v>
      </c>
      <c r="D26" s="81">
        <f>线路!F23</f>
        <v>3047059.4470000002</v>
      </c>
      <c r="E26" s="85">
        <f>线路!G23</f>
        <v>13</v>
      </c>
      <c r="F26" s="85">
        <f>线路!H23</f>
        <v>53.112000000000002</v>
      </c>
      <c r="G26" s="86">
        <f>线路!L23</f>
        <v>1342.9098106160575</v>
      </c>
      <c r="H26" s="86">
        <f>线路!M23</f>
        <v>1348.9351758861324</v>
      </c>
      <c r="I26" s="86">
        <f>线路!N23</f>
        <v>1354.9605411562075</v>
      </c>
      <c r="J26" s="83">
        <f t="shared" si="0"/>
        <v>12.050730540149971</v>
      </c>
      <c r="K26" s="83">
        <f t="shared" si="13"/>
        <v>48.330431344252247</v>
      </c>
      <c r="L26" s="83">
        <f>IF(A26=1,断面设计!$D$7,IF(A26=2,断面设计!$D$8,IF(A26=3,断面设计!$D$9,IF(A26=4,断面设计!$D$10,IF(A26=5,断面设计!$D$11,IF(A26=6,断面设计!$D$12,IF(A26=7,断面设计!$D$13,IF(A26=8,断面设计!$D$14,IF(A26=9,断面设计!$D$15,IF(A26=10,断面设计!$D$16))))))))))</f>
        <v>1.5</v>
      </c>
      <c r="M26" s="83">
        <f t="shared" si="14"/>
        <v>1.2</v>
      </c>
      <c r="N26" s="110">
        <f t="shared" si="1"/>
        <v>1.4999999999999999E-2</v>
      </c>
      <c r="O26" s="83">
        <f>IF(A26=1,断面设计!$J$7,IF(A26=2,断面设计!$J$8,IF(A26=3,断面设计!$J$9,IF(A26=4,断面设计!$J$10,IF(A26=5,断面设计!$J$11,IF(A26=6,断面设计!$J$12,IF(A26=7,断面设计!$J$13,IF(A26=8,断面设计!$J$14,IF(A26=9,断面设计!$J$15,IF(A26=10,断面设计!$J$16))))))))))</f>
        <v>5000</v>
      </c>
      <c r="P26" s="111">
        <f>IF(A26=1,断面设计!$K$7,IF(A26=2,断面设计!$K$8,IF(A26=3,断面设计!$K$9,IF(A26=4,断面设计!$K$10,IF(A26=5,断面设计!$K$11,IF(A26=6,断面设计!$K$12,IF(A26=7,断面设计!$K$13,IF(A26=8,断面设计!$K$14,IF(A26=9,断面设计!$K$15,IF(A26=10,断面设计!$K$16))))))))))</f>
        <v>4.4993914540329225</v>
      </c>
      <c r="Q26" s="110">
        <f>IF(A26=1,断面设计!$C$7,IF(A26=2,断面设计!$C$8,IF(A26=3,断面设计!$C$9,IF(A26=4,断面设计!$C$10,IF(A26=5,断面设计!$C$11,IF(A26=6,断面设计!$C$12,IF(A26=7,断面设计!$C$13,IF(A26=8,断面设计!$C$14,IF(A26=9,断面设计!$C$15,IF(A26=10,断面设计!$C$16))))))))))</f>
        <v>1.58308906639964</v>
      </c>
      <c r="R26" s="83">
        <f>IF(A26=1,断面设计!$F$7,IF(A26=2,断面设计!$F$8,IF(A26=3,断面设计!$F$9,IF(A26=4,断面设计!$F$10,IF(A26=5,断面设计!$F$11,IF(A26=6,断面设计!$F$12,IF(A26=7,断面设计!$F$13,IF(A26=8,断面设计!$F$14,IF(A26=9,断面设计!$F$15,IF(A26=10,断面设计!$F$16))))))))))</f>
        <v>5.3820387901843603</v>
      </c>
      <c r="S26" s="83">
        <f>IF(A26=1,断面设计!$G$7,IF(A26=2,断面设计!$G$8,IF(A26=3,断面设计!$G$9,IF(A26=4,断面设计!$G$10,IF(A26=5,断面设计!$G$11,IF(A26=6,断面设计!$G$12,IF(A26=7,断面设计!$G$13,IF(A26=8,断面设计!$G$14,IF(A26=9,断面设计!$G$15,IF(A26=10,断面设计!$G$16))))))))))</f>
        <v>6.445728347111662</v>
      </c>
      <c r="T26" s="83">
        <f t="shared" si="15"/>
        <v>0.83497760072312976</v>
      </c>
      <c r="U26" s="83">
        <f t="shared" si="16"/>
        <v>0.8360013053489711</v>
      </c>
      <c r="V26" s="123">
        <f t="shared" si="17"/>
        <v>1.2721847734652918E-3</v>
      </c>
      <c r="W26" s="110"/>
      <c r="X26" s="110">
        <f>IF(AN26=0,IF(AN25=2,(H26-H25-AE25)/O26,(H26-H25)/O26),IF(AN26=1,IF(AN25=2,IF(AE26&lt;9,(H26-H25-AE26-AE25)/断面设计!$J$7,(H26-H25-AE26-AE25)/断面设计!$J$7),(H26-H25-AE26)/O25),(H26-H25)/O26))</f>
        <v>9.6660862688504497E-3</v>
      </c>
      <c r="Y26" s="133">
        <v>0</v>
      </c>
      <c r="Z26" s="134">
        <f t="shared" si="26"/>
        <v>0</v>
      </c>
      <c r="AA26" s="142"/>
      <c r="AB26" s="133">
        <f t="shared" si="4"/>
        <v>1.58308906639964</v>
      </c>
      <c r="AC26" s="110">
        <f t="shared" si="5"/>
        <v>1.0938271042315741E-2</v>
      </c>
      <c r="AD26" s="110">
        <f t="shared" ca="1" si="18"/>
        <v>2391.552793001757</v>
      </c>
      <c r="AE26" s="82">
        <f t="shared" si="19"/>
        <v>0</v>
      </c>
      <c r="AF26" s="110" t="str">
        <f t="shared" si="6"/>
        <v xml:space="preserve"> </v>
      </c>
      <c r="AG26" s="110" t="str">
        <f>IF(AE26=0," ",AF26-断面设计!$C$7)</f>
        <v xml:space="preserve"> </v>
      </c>
      <c r="AH26" s="110">
        <f t="shared" ca="1" si="7"/>
        <v>2391.5552702595842</v>
      </c>
      <c r="AI26" s="110">
        <f t="shared" ca="1" si="8"/>
        <v>2389.9721811931845</v>
      </c>
      <c r="AJ26" s="110">
        <f t="shared" ca="1" si="9"/>
        <v>2391.5515879287032</v>
      </c>
      <c r="AK26" s="110">
        <f t="shared" ca="1" si="10"/>
        <v>2389.9684988623035</v>
      </c>
      <c r="AL26" s="110">
        <f t="shared" ca="1" si="11"/>
        <v>2391.5534290941437</v>
      </c>
      <c r="AM26" s="110">
        <f t="shared" ca="1" si="12"/>
        <v>2389.970340027744</v>
      </c>
      <c r="AN26" s="80"/>
      <c r="AO26" s="80">
        <v>0</v>
      </c>
      <c r="AU26" s="64" t="str">
        <f t="shared" ca="1" si="20"/>
        <v>1348.93517588613,2389.97034002774</v>
      </c>
      <c r="AV26" s="64" t="str">
        <f t="shared" ca="1" si="21"/>
        <v>1348.93517588613,2391.55342909414</v>
      </c>
      <c r="AW26" s="169" t="str">
        <f t="shared" si="22"/>
        <v xml:space="preserve">pl 1348.93517588613,0 1348.93517588613,76 </v>
      </c>
      <c r="AX26" s="161" t="str">
        <f t="shared" ca="1" si="23"/>
        <v>-text 1348.93517588613,48 3.5 90 2389.970</v>
      </c>
      <c r="AY26" s="161" t="str">
        <f t="shared" ca="1" si="24"/>
        <v>-text 1348.93517588613,62.5 3.5 90 2391.553</v>
      </c>
      <c r="AZ26" s="42" t="str">
        <f t="shared" si="25"/>
        <v>-text 1348.93517588613,23.5 3.5 90 马分1+348.94</v>
      </c>
    </row>
    <row r="27" spans="1:1454" s="42" customFormat="1" x14ac:dyDescent="0.25">
      <c r="A27" s="80">
        <v>2</v>
      </c>
      <c r="B27" s="76" t="str">
        <f>线路!B24</f>
        <v>IP19</v>
      </c>
      <c r="C27" s="81">
        <f>线路!E24</f>
        <v>451367.01140000002</v>
      </c>
      <c r="D27" s="81">
        <f>线路!F24</f>
        <v>3046998.7563</v>
      </c>
      <c r="E27" s="85">
        <f>线路!G24</f>
        <v>13</v>
      </c>
      <c r="F27" s="85">
        <f>线路!H24</f>
        <v>65.28</v>
      </c>
      <c r="G27" s="86">
        <f>线路!L24</f>
        <v>1402.900389538461</v>
      </c>
      <c r="H27" s="86">
        <f>线路!M24</f>
        <v>1410.3061706205233</v>
      </c>
      <c r="I27" s="86">
        <f>线路!N24</f>
        <v>1417.7119517025858</v>
      </c>
      <c r="J27" s="83">
        <f t="shared" si="0"/>
        <v>14.81156216412478</v>
      </c>
      <c r="K27" s="83">
        <f t="shared" si="13"/>
        <v>61.370994734390933</v>
      </c>
      <c r="L27" s="83">
        <f>IF(A27=1,断面设计!$D$7,IF(A27=2,断面设计!$D$8,IF(A27=3,断面设计!$D$9,IF(A27=4,断面设计!$D$10,IF(A27=5,断面设计!$D$11,IF(A27=6,断面设计!$D$12,IF(A27=7,断面设计!$D$13,IF(A27=8,断面设计!$D$14,IF(A27=9,断面设计!$D$15,IF(A27=10,断面设计!$D$16))))))))))</f>
        <v>1.5</v>
      </c>
      <c r="M27" s="83">
        <f t="shared" si="14"/>
        <v>1.2</v>
      </c>
      <c r="N27" s="110">
        <f t="shared" si="1"/>
        <v>1.4999999999999999E-2</v>
      </c>
      <c r="O27" s="83">
        <f>IF(A27=1,断面设计!$J$7,IF(A27=2,断面设计!$J$8,IF(A27=3,断面设计!$J$9,IF(A27=4,断面设计!$J$10,IF(A27=5,断面设计!$J$11,IF(A27=6,断面设计!$J$12,IF(A27=7,断面设计!$J$13,IF(A27=8,断面设计!$J$14,IF(A27=9,断面设计!$J$15,IF(A27=10,断面设计!$J$16))))))))))</f>
        <v>5000</v>
      </c>
      <c r="P27" s="111">
        <f>IF(A27=1,断面设计!$K$7,IF(A27=2,断面设计!$K$8,IF(A27=3,断面设计!$K$9,IF(A27=4,断面设计!$K$10,IF(A27=5,断面设计!$K$11,IF(A27=6,断面设计!$K$12,IF(A27=7,断面设计!$K$13,IF(A27=8,断面设计!$K$14,IF(A27=9,断面设计!$K$15,IF(A27=10,断面设计!$K$16))))))))))</f>
        <v>4.4993914540329225</v>
      </c>
      <c r="Q27" s="110">
        <f>IF(A27=1,断面设计!$C$7,IF(A27=2,断面设计!$C$8,IF(A27=3,断面设计!$C$9,IF(A27=4,断面设计!$C$10,IF(A27=5,断面设计!$C$11,IF(A27=6,断面设计!$C$12,IF(A27=7,断面设计!$C$13,IF(A27=8,断面设计!$C$14,IF(A27=9,断面设计!$C$15,IF(A27=10,断面设计!$C$16))))))))))</f>
        <v>1.58308906639964</v>
      </c>
      <c r="R27" s="83">
        <f>IF(A27=1,断面设计!$F$7,IF(A27=2,断面设计!$F$8,IF(A27=3,断面设计!$F$9,IF(A27=4,断面设计!$F$10,IF(A27=5,断面设计!$F$11,IF(A27=6,断面设计!$F$12,IF(A27=7,断面设计!$F$13,IF(A27=8,断面设计!$F$14,IF(A27=9,断面设计!$F$15,IF(A27=10,断面设计!$F$16))))))))))</f>
        <v>5.3820387901843603</v>
      </c>
      <c r="S27" s="83">
        <f>IF(A27=1,断面设计!$G$7,IF(A27=2,断面设计!$G$8,IF(A27=3,断面设计!$G$9,IF(A27=4,断面设计!$G$10,IF(A27=5,断面设计!$G$11,IF(A27=6,断面设计!$G$12,IF(A27=7,断面设计!$G$13,IF(A27=8,断面设计!$G$14,IF(A27=9,断面设计!$G$15,IF(A27=10,断面设计!$G$16))))))))))</f>
        <v>6.445728347111662</v>
      </c>
      <c r="T27" s="83">
        <f t="shared" si="15"/>
        <v>0.83497760072312976</v>
      </c>
      <c r="U27" s="83">
        <f t="shared" si="16"/>
        <v>0.8360013053489711</v>
      </c>
      <c r="V27" s="123">
        <f t="shared" si="17"/>
        <v>1.5636432823432521E-3</v>
      </c>
      <c r="W27" s="110"/>
      <c r="X27" s="110">
        <f>IF(AN27=0,IF(AN26=2,(H27-H26-AE26)/O27,(H27-H26)/O27),IF(AN27=1,IF(AN26=2,IF(AE27&lt;9,(H27-H26-AE27-AE26)/断面设计!$J$7,(H27-H26-AE27-AE26)/断面设计!$J$7),(H27-H26-AE27)/O26),(H27-H26)/O27))</f>
        <v>1.2274198946878187E-2</v>
      </c>
      <c r="Y27" s="133">
        <v>0</v>
      </c>
      <c r="Z27" s="134">
        <f t="shared" si="26"/>
        <v>0</v>
      </c>
      <c r="AA27" s="142"/>
      <c r="AB27" s="133">
        <f t="shared" si="4"/>
        <v>1.58308906639964</v>
      </c>
      <c r="AC27" s="110">
        <f t="shared" si="5"/>
        <v>1.383784222922144E-2</v>
      </c>
      <c r="AD27" s="110">
        <f t="shared" ca="1" si="18"/>
        <v>2391.5389551595276</v>
      </c>
      <c r="AE27" s="82">
        <f t="shared" si="19"/>
        <v>0</v>
      </c>
      <c r="AF27" s="110" t="str">
        <f t="shared" si="6"/>
        <v xml:space="preserve"> </v>
      </c>
      <c r="AG27" s="110" t="str">
        <f>IF(AE27=0," ",AF27-断面设计!$C$7)</f>
        <v xml:space="preserve"> </v>
      </c>
      <c r="AH27" s="110">
        <f t="shared" ca="1" si="7"/>
        <v>2391.5419999590263</v>
      </c>
      <c r="AI27" s="110">
        <f t="shared" ca="1" si="8"/>
        <v>2389.9589108926266</v>
      </c>
      <c r="AJ27" s="110">
        <f t="shared" ca="1" si="9"/>
        <v>2391.5374740033112</v>
      </c>
      <c r="AK27" s="110">
        <f t="shared" ca="1" si="10"/>
        <v>2389.9543849369115</v>
      </c>
      <c r="AL27" s="110">
        <f t="shared" ca="1" si="11"/>
        <v>2391.539736981169</v>
      </c>
      <c r="AM27" s="110">
        <f t="shared" ca="1" si="12"/>
        <v>2389.9566479147693</v>
      </c>
      <c r="AN27" s="80"/>
      <c r="AO27" s="80">
        <v>0</v>
      </c>
      <c r="AU27" s="64" t="str">
        <f t="shared" ca="1" si="20"/>
        <v>1410.30617062052,2389.95664791477</v>
      </c>
      <c r="AV27" s="64" t="str">
        <f t="shared" ca="1" si="21"/>
        <v>1410.30617062052,2391.53973698117</v>
      </c>
      <c r="AW27" s="169" t="str">
        <f t="shared" si="22"/>
        <v xml:space="preserve">pl 1410.30617062052,0 1410.30617062052,76 </v>
      </c>
      <c r="AX27" s="161" t="str">
        <f t="shared" ca="1" si="23"/>
        <v>-text 1410.30617062052,48 3.5 90 2389.957</v>
      </c>
      <c r="AY27" s="161" t="str">
        <f t="shared" ca="1" si="24"/>
        <v>-text 1410.30617062052,62.5 3.5 90 2391.540</v>
      </c>
      <c r="AZ27" s="42" t="str">
        <f t="shared" si="25"/>
        <v>-text 1410.30617062052,23.5 3.5 90 马分1+410.31</v>
      </c>
    </row>
    <row r="28" spans="1:1454" s="42" customFormat="1" x14ac:dyDescent="0.25">
      <c r="A28" s="80">
        <v>2</v>
      </c>
      <c r="B28" s="76" t="str">
        <f>线路!B25</f>
        <v>IP20</v>
      </c>
      <c r="C28" s="81">
        <f>线路!E25</f>
        <v>451334.29840000003</v>
      </c>
      <c r="D28" s="81">
        <f>线路!F25</f>
        <v>3046993.0162999998</v>
      </c>
      <c r="E28" s="85">
        <f>线路!G25</f>
        <v>13</v>
      </c>
      <c r="F28" s="85">
        <f>线路!H25</f>
        <v>75.58</v>
      </c>
      <c r="G28" s="86">
        <f>线路!L25</f>
        <v>1432.517879634185</v>
      </c>
      <c r="H28" s="86">
        <f>线路!M25</f>
        <v>1441.0921586504576</v>
      </c>
      <c r="I28" s="86">
        <f>线路!N25</f>
        <v>1449.66643766673</v>
      </c>
      <c r="J28" s="83">
        <f t="shared" si="0"/>
        <v>17.148558032544997</v>
      </c>
      <c r="K28" s="83">
        <f t="shared" si="13"/>
        <v>30.785988029934288</v>
      </c>
      <c r="L28" s="83">
        <f>IF(A28=1,断面设计!$D$7,IF(A28=2,断面设计!$D$8,IF(A28=3,断面设计!$D$9,IF(A28=4,断面设计!$D$10,IF(A28=5,断面设计!$D$11,IF(A28=6,断面设计!$D$12,IF(A28=7,断面设计!$D$13,IF(A28=8,断面设计!$D$14,IF(A28=9,断面设计!$D$15,IF(A28=10,断面设计!$D$16))))))))))</f>
        <v>1.5</v>
      </c>
      <c r="M28" s="83">
        <f t="shared" si="14"/>
        <v>1.2</v>
      </c>
      <c r="N28" s="110">
        <f t="shared" si="1"/>
        <v>1.4999999999999999E-2</v>
      </c>
      <c r="O28" s="83">
        <f>IF(A28=1,断面设计!$J$7,IF(A28=2,断面设计!$J$8,IF(A28=3,断面设计!$J$9,IF(A28=4,断面设计!$J$10,IF(A28=5,断面设计!$J$11,IF(A28=6,断面设计!$J$12,IF(A28=7,断面设计!$J$13,IF(A28=8,断面设计!$J$14,IF(A28=9,断面设计!$J$15,IF(A28=10,断面设计!$J$16))))))))))</f>
        <v>5000</v>
      </c>
      <c r="P28" s="111">
        <f>IF(A28=1,断面设计!$K$7,IF(A28=2,断面设计!$K$8,IF(A28=3,断面设计!$K$9,IF(A28=4,断面设计!$K$10,IF(A28=5,断面设计!$K$11,IF(A28=6,断面设计!$K$12,IF(A28=7,断面设计!$K$13,IF(A28=8,断面设计!$K$14,IF(A28=9,断面设计!$K$15,IF(A28=10,断面设计!$K$16))))))))))</f>
        <v>4.4993914540329225</v>
      </c>
      <c r="Q28" s="110">
        <f>IF(A28=1,断面设计!$C$7,IF(A28=2,断面设计!$C$8,IF(A28=3,断面设计!$C$9,IF(A28=4,断面设计!$C$10,IF(A28=5,断面设计!$C$11,IF(A28=6,断面设计!$C$12,IF(A28=7,断面设计!$C$13,IF(A28=8,断面设计!$C$14,IF(A28=9,断面设计!$C$15,IF(A28=10,断面设计!$C$16))))))))))</f>
        <v>1.58308906639964</v>
      </c>
      <c r="R28" s="83">
        <f>IF(A28=1,断面设计!$F$7,IF(A28=2,断面设计!$F$8,IF(A28=3,断面设计!$F$9,IF(A28=4,断面设计!$F$10,IF(A28=5,断面设计!$F$11,IF(A28=6,断面设计!$F$12,IF(A28=7,断面设计!$F$13,IF(A28=8,断面设计!$F$14,IF(A28=9,断面设计!$F$15,IF(A28=10,断面设计!$F$16))))))))))</f>
        <v>5.3820387901843603</v>
      </c>
      <c r="S28" s="83">
        <f>IF(A28=1,断面设计!$G$7,IF(A28=2,断面设计!$G$8,IF(A28=3,断面设计!$G$9,IF(A28=4,断面设计!$G$10,IF(A28=5,断面设计!$G$11,IF(A28=6,断面设计!$G$12,IF(A28=7,断面设计!$G$13,IF(A28=8,断面设计!$G$14,IF(A28=9,断面设计!$G$15,IF(A28=10,断面设计!$G$16))))))))))</f>
        <v>6.445728347111662</v>
      </c>
      <c r="T28" s="83">
        <f t="shared" si="15"/>
        <v>0.83497760072312976</v>
      </c>
      <c r="U28" s="83">
        <f t="shared" si="16"/>
        <v>0.8360013053489711</v>
      </c>
      <c r="V28" s="123">
        <f t="shared" si="17"/>
        <v>1.8103578321002076E-3</v>
      </c>
      <c r="W28" s="110"/>
      <c r="X28" s="110">
        <f>IF(AN28=0,IF(AN27=2,(H28-H27-AE27)/O28,(H28-H27)/O28),IF(AN28=1,IF(AN27=2,IF(AE28&lt;9,(H28-H27-AE28-AE27)/断面设计!$J$7,(H28-H27-AE28-AE27)/断面设计!$J$7),(H28-H27-AE28)/O27),(H28-H27)/O28))</f>
        <v>6.1571976059868576E-3</v>
      </c>
      <c r="Y28" s="133">
        <v>0</v>
      </c>
      <c r="Z28" s="134">
        <f t="shared" si="26"/>
        <v>0</v>
      </c>
      <c r="AA28" s="142"/>
      <c r="AB28" s="133">
        <f t="shared" si="4"/>
        <v>1.58308906639964</v>
      </c>
      <c r="AC28" s="110">
        <f t="shared" si="5"/>
        <v>7.9675554380870643E-3</v>
      </c>
      <c r="AD28" s="110">
        <f t="shared" ca="1" si="18"/>
        <v>2391.5309876040897</v>
      </c>
      <c r="AE28" s="82">
        <f t="shared" si="19"/>
        <v>0</v>
      </c>
      <c r="AF28" s="110" t="str">
        <f t="shared" si="6"/>
        <v xml:space="preserve"> </v>
      </c>
      <c r="AG28" s="110" t="str">
        <f>IF(AE28=0," ",AF28-断面设计!$C$7)</f>
        <v xml:space="preserve"> </v>
      </c>
      <c r="AH28" s="110">
        <f t="shared" ca="1" si="7"/>
        <v>2391.534512817725</v>
      </c>
      <c r="AI28" s="110">
        <f t="shared" ca="1" si="8"/>
        <v>2389.9514237513254</v>
      </c>
      <c r="AJ28" s="110">
        <f t="shared" ca="1" si="9"/>
        <v>2391.5292727482865</v>
      </c>
      <c r="AK28" s="110">
        <f t="shared" ca="1" si="10"/>
        <v>2389.9461836818869</v>
      </c>
      <c r="AL28" s="110">
        <f t="shared" ca="1" si="11"/>
        <v>2391.5318927830058</v>
      </c>
      <c r="AM28" s="110">
        <f t="shared" ca="1" si="12"/>
        <v>2389.9488037166061</v>
      </c>
      <c r="AN28" s="80"/>
      <c r="AO28" s="80">
        <v>0</v>
      </c>
      <c r="AP28" s="164"/>
      <c r="AQ28" s="165"/>
      <c r="AU28" s="64" t="str">
        <f t="shared" ca="1" si="20"/>
        <v>1441.09215865046,2389.94880371661</v>
      </c>
      <c r="AV28" s="64" t="str">
        <f t="shared" ca="1" si="21"/>
        <v>1441.09215865046,2391.53189278301</v>
      </c>
      <c r="AW28" s="169" t="str">
        <f t="shared" si="22"/>
        <v xml:space="preserve">pl 1441.09215865046,0 1441.09215865046,76 </v>
      </c>
      <c r="AX28" s="161" t="str">
        <f t="shared" ca="1" si="23"/>
        <v>-text 1441.09215865046,48 3.5 90 2389.949</v>
      </c>
      <c r="AY28" s="161" t="str">
        <f t="shared" ca="1" si="24"/>
        <v>-text 1441.09215865046,62.5 3.5 90 2391.532</v>
      </c>
      <c r="AZ28" s="42" t="str">
        <f t="shared" si="25"/>
        <v>-text 1441.09215865046,23.5 3.5 90 马分1+441.09</v>
      </c>
    </row>
    <row r="29" spans="1:1454" s="42" customFormat="1" x14ac:dyDescent="0.25">
      <c r="A29" s="80">
        <v>2</v>
      </c>
      <c r="B29" s="76" t="str">
        <f>线路!B26</f>
        <v>IP21</v>
      </c>
      <c r="C29" s="81">
        <f>线路!E26</f>
        <v>451329.61839999998</v>
      </c>
      <c r="D29" s="81">
        <f>线路!F26</f>
        <v>3046933.1272999998</v>
      </c>
      <c r="E29" s="85">
        <f>线路!G26</f>
        <v>13</v>
      </c>
      <c r="F29" s="85">
        <f>线路!H26</f>
        <v>22.446000000000002</v>
      </c>
      <c r="G29" s="86">
        <f>线路!L26</f>
        <v>1497.0783247220361</v>
      </c>
      <c r="H29" s="86">
        <f>线路!M26</f>
        <v>1499.6247426474033</v>
      </c>
      <c r="I29" s="86">
        <f>线路!N26</f>
        <v>1502.1711605727705</v>
      </c>
      <c r="J29" s="83">
        <f t="shared" si="0"/>
        <v>5.0928358507344456</v>
      </c>
      <c r="K29" s="83">
        <f t="shared" si="13"/>
        <v>58.532583996945732</v>
      </c>
      <c r="L29" s="83">
        <f>IF(A29=1,断面设计!$D$7,IF(A29=2,断面设计!$D$8,IF(A29=3,断面设计!$D$9,IF(A29=4,断面设计!$D$10,IF(A29=5,断面设计!$D$11,IF(A29=6,断面设计!$D$12,IF(A29=7,断面设计!$D$13,IF(A29=8,断面设计!$D$14,IF(A29=9,断面设计!$D$15,IF(A29=10,断面设计!$D$16))))))))))</f>
        <v>1.5</v>
      </c>
      <c r="M29" s="83">
        <f t="shared" si="14"/>
        <v>1.2</v>
      </c>
      <c r="N29" s="110">
        <f t="shared" si="1"/>
        <v>1.4999999999999999E-2</v>
      </c>
      <c r="O29" s="83">
        <f>IF(A29=1,断面设计!$J$7,IF(A29=2,断面设计!$J$8,IF(A29=3,断面设计!$J$9,IF(A29=4,断面设计!$J$10,IF(A29=5,断面设计!$J$11,IF(A29=6,断面设计!$J$12,IF(A29=7,断面设计!$J$13,IF(A29=8,断面设计!$J$14,IF(A29=9,断面设计!$J$15,IF(A29=10,断面设计!$J$16))))))))))</f>
        <v>5000</v>
      </c>
      <c r="P29" s="111">
        <f>IF(A29=1,断面设计!$K$7,IF(A29=2,断面设计!$K$8,IF(A29=3,断面设计!$K$9,IF(A29=4,断面设计!$K$10,IF(A29=5,断面设计!$K$11,IF(A29=6,断面设计!$K$12,IF(A29=7,断面设计!$K$13,IF(A29=8,断面设计!$K$14,IF(A29=9,断面设计!$K$15,IF(A29=10,断面设计!$K$16))))))))))</f>
        <v>4.4993914540329225</v>
      </c>
      <c r="Q29" s="110">
        <f>IF(A29=1,断面设计!$C$7,IF(A29=2,断面设计!$C$8,IF(A29=3,断面设计!$C$9,IF(A29=4,断面设计!$C$10,IF(A29=5,断面设计!$C$11,IF(A29=6,断面设计!$C$12,IF(A29=7,断面设计!$C$13,IF(A29=8,断面设计!$C$14,IF(A29=9,断面设计!$C$15,IF(A29=10,断面设计!$C$16))))))))))</f>
        <v>1.58308906639964</v>
      </c>
      <c r="R29" s="83">
        <f>IF(A29=1,断面设计!$F$7,IF(A29=2,断面设计!$F$8,IF(A29=3,断面设计!$F$9,IF(A29=4,断面设计!$F$10,IF(A29=5,断面设计!$F$11,IF(A29=6,断面设计!$F$12,IF(A29=7,断面设计!$F$13,IF(A29=8,断面设计!$F$14,IF(A29=9,断面设计!$F$15,IF(A29=10,断面设计!$F$16))))))))))</f>
        <v>5.3820387901843603</v>
      </c>
      <c r="S29" s="83">
        <f>IF(A29=1,断面设计!$G$7,IF(A29=2,断面设计!$G$8,IF(A29=3,断面设计!$G$9,IF(A29=4,断面设计!$G$10,IF(A29=5,断面设计!$G$11,IF(A29=6,断面设计!$G$12,IF(A29=7,断面设计!$G$13,IF(A29=8,断面设计!$G$14,IF(A29=9,断面设计!$G$15,IF(A29=10,断面设计!$G$16))))))))))</f>
        <v>6.445728347111662</v>
      </c>
      <c r="T29" s="83">
        <f t="shared" si="15"/>
        <v>0.83497760072312976</v>
      </c>
      <c r="U29" s="83">
        <f t="shared" si="16"/>
        <v>0.8360013053489711</v>
      </c>
      <c r="V29" s="123">
        <f t="shared" si="17"/>
        <v>5.3764609551894336E-4</v>
      </c>
      <c r="W29" s="110"/>
      <c r="X29" s="110">
        <f>IF(AN29=0,IF(AN28=2,(H29-H28-AE28)/O29,(H29-H28)/O29),IF(AN29=1,IF(AN28=2,IF(AE29&lt;9,(H29-H28-AE29-AE28)/断面设计!$J$7,(H29-H28-AE29-AE28)/断面设计!$J$7),(H29-H28-AE29)/O28),(H29-H28)/O29))</f>
        <v>1.1706516799389147E-2</v>
      </c>
      <c r="Y29" s="133">
        <v>0</v>
      </c>
      <c r="Z29" s="134">
        <f t="shared" si="26"/>
        <v>0</v>
      </c>
      <c r="AA29" s="142"/>
      <c r="AB29" s="133">
        <f t="shared" si="4"/>
        <v>1.58308906639964</v>
      </c>
      <c r="AC29" s="110">
        <f t="shared" si="5"/>
        <v>1.224416289490809E-2</v>
      </c>
      <c r="AD29" s="110">
        <f t="shared" ca="1" si="18"/>
        <v>2391.5187434411946</v>
      </c>
      <c r="AE29" s="82">
        <f t="shared" si="19"/>
        <v>0</v>
      </c>
      <c r="AF29" s="110" t="str">
        <f t="shared" si="6"/>
        <v xml:space="preserve"> </v>
      </c>
      <c r="AG29" s="110" t="str">
        <f>IF(AE29=0," ",AF29-断面设计!$C$7)</f>
        <v xml:space="preserve"> </v>
      </c>
      <c r="AH29" s="110">
        <f t="shared" ca="1" si="7"/>
        <v>2391.5197903708749</v>
      </c>
      <c r="AI29" s="110">
        <f t="shared" ca="1" si="8"/>
        <v>2389.9367013044753</v>
      </c>
      <c r="AJ29" s="110">
        <f t="shared" ca="1" si="9"/>
        <v>2391.5182341576096</v>
      </c>
      <c r="AK29" s="110">
        <f t="shared" ca="1" si="10"/>
        <v>2389.93514509121</v>
      </c>
      <c r="AL29" s="110">
        <f t="shared" ca="1" si="11"/>
        <v>2391.5190122642425</v>
      </c>
      <c r="AM29" s="110">
        <f t="shared" ca="1" si="12"/>
        <v>2389.9359231978428</v>
      </c>
      <c r="AN29" s="80"/>
      <c r="AO29" s="80">
        <v>0</v>
      </c>
      <c r="AU29" s="64" t="str">
        <f t="shared" ca="1" si="20"/>
        <v>1499.6247426474,2389.93592319784</v>
      </c>
      <c r="AV29" s="64" t="str">
        <f t="shared" ca="1" si="21"/>
        <v>1499.6247426474,2391.51901226424</v>
      </c>
      <c r="AW29" s="169" t="str">
        <f t="shared" si="22"/>
        <v xml:space="preserve">pl 1499.6247426474,0 1499.6247426474,76 </v>
      </c>
      <c r="AX29" s="161" t="str">
        <f t="shared" ca="1" si="23"/>
        <v>-text 1499.6247426474,48 3.5 90 2389.936</v>
      </c>
      <c r="AY29" s="161" t="str">
        <f t="shared" ca="1" si="24"/>
        <v>-text 1499.6247426474,62.5 3.5 90 2391.519</v>
      </c>
      <c r="AZ29" s="42" t="str">
        <f t="shared" si="25"/>
        <v>-text 1499.6247426474,23.5 3.5 90 马分1+499.62</v>
      </c>
    </row>
    <row r="30" spans="1:1454" s="42" customFormat="1" x14ac:dyDescent="0.25">
      <c r="A30" s="80">
        <v>2</v>
      </c>
      <c r="B30" s="76" t="str">
        <f>线路!B27</f>
        <v>IP22</v>
      </c>
      <c r="C30" s="81">
        <f>线路!E27</f>
        <v>451299.27340000001</v>
      </c>
      <c r="D30" s="81">
        <f>线路!F27</f>
        <v>3046873.3503</v>
      </c>
      <c r="E30" s="85">
        <f>线路!G27</f>
        <v>13</v>
      </c>
      <c r="F30" s="85">
        <f>线路!H27</f>
        <v>10.15</v>
      </c>
      <c r="G30" s="86">
        <f>线路!L27</f>
        <v>1565.4752800688805</v>
      </c>
      <c r="H30" s="86">
        <f>线路!M27</f>
        <v>1566.6267610428838</v>
      </c>
      <c r="I30" s="86">
        <f>线路!N27</f>
        <v>1567.7782420168869</v>
      </c>
      <c r="J30" s="83">
        <f t="shared" si="0"/>
        <v>2.3029619480064412</v>
      </c>
      <c r="K30" s="83">
        <f t="shared" si="13"/>
        <v>67.002018395480491</v>
      </c>
      <c r="L30" s="83">
        <f>IF(A30=1,断面设计!$D$7,IF(A30=2,断面设计!$D$8,IF(A30=3,断面设计!$D$9,IF(A30=4,断面设计!$D$10,IF(A30=5,断面设计!$D$11,IF(A30=6,断面设计!$D$12,IF(A30=7,断面设计!$D$13,IF(A30=8,断面设计!$D$14,IF(A30=9,断面设计!$D$15,IF(A30=10,断面设计!$D$16))))))))))</f>
        <v>1.5</v>
      </c>
      <c r="M30" s="83">
        <f t="shared" si="14"/>
        <v>1.2</v>
      </c>
      <c r="N30" s="110">
        <f t="shared" si="1"/>
        <v>1.4999999999999999E-2</v>
      </c>
      <c r="O30" s="83">
        <f>IF(A30=1,断面设计!$J$7,IF(A30=2,断面设计!$J$8,IF(A30=3,断面设计!$J$9,IF(A30=4,断面设计!$J$10,IF(A30=5,断面设计!$J$11,IF(A30=6,断面设计!$J$12,IF(A30=7,断面设计!$J$13,IF(A30=8,断面设计!$J$14,IF(A30=9,断面设计!$J$15,IF(A30=10,断面设计!$J$16))))))))))</f>
        <v>5000</v>
      </c>
      <c r="P30" s="111">
        <f>IF(A30=1,断面设计!$K$7,IF(A30=2,断面设计!$K$8,IF(A30=3,断面设计!$K$9,IF(A30=4,断面设计!$K$10,IF(A30=5,断面设计!$K$11,IF(A30=6,断面设计!$K$12,IF(A30=7,断面设计!$K$13,IF(A30=8,断面设计!$K$14,IF(A30=9,断面设计!$K$15,IF(A30=10,断面设计!$K$16))))))))))</f>
        <v>4.4993914540329225</v>
      </c>
      <c r="Q30" s="110">
        <f>IF(A30=1,断面设计!$C$7,IF(A30=2,断面设计!$C$8,IF(A30=3,断面设计!$C$9,IF(A30=4,断面设计!$C$10,IF(A30=5,断面设计!$C$11,IF(A30=6,断面设计!$C$12,IF(A30=7,断面设计!$C$13,IF(A30=8,断面设计!$C$14,IF(A30=9,断面设计!$C$15,IF(A30=10,断面设计!$C$16))))))))))</f>
        <v>1.58308906639964</v>
      </c>
      <c r="R30" s="83">
        <f>IF(A30=1,断面设计!$F$7,IF(A30=2,断面设计!$F$8,IF(A30=3,断面设计!$F$9,IF(A30=4,断面设计!$F$10,IF(A30=5,断面设计!$F$11,IF(A30=6,断面设计!$F$12,IF(A30=7,断面设计!$F$13,IF(A30=8,断面设计!$F$14,IF(A30=9,断面设计!$F$15,IF(A30=10,断面设计!$F$16))))))))))</f>
        <v>5.3820387901843603</v>
      </c>
      <c r="S30" s="83">
        <f>IF(A30=1,断面设计!$G$7,IF(A30=2,断面设计!$G$8,IF(A30=3,断面设计!$G$9,IF(A30=4,断面设计!$G$10,IF(A30=5,断面设计!$G$11,IF(A30=6,断面设计!$G$12,IF(A30=7,断面设计!$G$13,IF(A30=8,断面设计!$G$14,IF(A30=9,断面设计!$G$15,IF(A30=10,断面设计!$G$16))))))))))</f>
        <v>6.445728347111662</v>
      </c>
      <c r="T30" s="83">
        <f t="shared" si="15"/>
        <v>0.83497760072312976</v>
      </c>
      <c r="U30" s="83">
        <f t="shared" si="16"/>
        <v>0.8360013053489711</v>
      </c>
      <c r="V30" s="123">
        <f t="shared" si="17"/>
        <v>2.4312161942070112E-4</v>
      </c>
      <c r="W30" s="110"/>
      <c r="X30" s="110">
        <f>IF(AN30=0,IF(AN29=2,(H30-H29-AE29)/O30,(H30-H29)/O30),IF(AN30=1,IF(AN29=2,IF(AE30&lt;9,(H30-H29-AE30-AE29)/断面设计!$J$7,(H30-H29-AE30-AE29)/断面设计!$J$7),(H30-H29-AE30)/O29),(H30-H29)/O30))</f>
        <v>1.3400403679096099E-2</v>
      </c>
      <c r="Y30" s="133">
        <v>0</v>
      </c>
      <c r="Z30" s="134">
        <f t="shared" si="26"/>
        <v>0</v>
      </c>
      <c r="AA30" s="142"/>
      <c r="AB30" s="133">
        <f t="shared" si="4"/>
        <v>1.58308906639964</v>
      </c>
      <c r="AC30" s="110">
        <f t="shared" si="5"/>
        <v>1.36435252985168E-2</v>
      </c>
      <c r="AD30" s="110">
        <f t="shared" ca="1" si="18"/>
        <v>2391.5050999158962</v>
      </c>
      <c r="AE30" s="82">
        <f t="shared" si="19"/>
        <v>0</v>
      </c>
      <c r="AF30" s="110" t="str">
        <f t="shared" si="6"/>
        <v xml:space="preserve"> </v>
      </c>
      <c r="AG30" s="110" t="str">
        <f>IF(AE30=0," ",AF30-断面设计!$C$7)</f>
        <v xml:space="preserve"> </v>
      </c>
      <c r="AH30" s="110">
        <f t="shared" ca="1" si="7"/>
        <v>2391.5055733337103</v>
      </c>
      <c r="AI30" s="110">
        <f t="shared" ca="1" si="8"/>
        <v>2389.9224842673107</v>
      </c>
      <c r="AJ30" s="110">
        <f t="shared" ca="1" si="9"/>
        <v>2391.5048696197014</v>
      </c>
      <c r="AK30" s="110">
        <f t="shared" ca="1" si="10"/>
        <v>2389.9217805533017</v>
      </c>
      <c r="AL30" s="110">
        <f t="shared" ca="1" si="11"/>
        <v>2391.5052214767061</v>
      </c>
      <c r="AM30" s="110">
        <f t="shared" ca="1" si="12"/>
        <v>2389.9221324103064</v>
      </c>
      <c r="AN30" s="80"/>
      <c r="AO30" s="80">
        <v>0</v>
      </c>
      <c r="AU30" s="64" t="str">
        <f t="shared" ca="1" si="20"/>
        <v>1566.62676104288,2389.92213241031</v>
      </c>
      <c r="AV30" s="64" t="str">
        <f t="shared" ca="1" si="21"/>
        <v>1566.62676104288,2391.50522147671</v>
      </c>
      <c r="AW30" s="169" t="str">
        <f t="shared" si="22"/>
        <v xml:space="preserve">pl 1566.62676104288,0 1566.62676104288,76 </v>
      </c>
      <c r="AX30" s="161" t="str">
        <f t="shared" ca="1" si="23"/>
        <v>-text 1566.62676104288,48 3.5 90 2389.922</v>
      </c>
      <c r="AY30" s="161" t="str">
        <f t="shared" ca="1" si="24"/>
        <v>-text 1566.62676104288,62.5 3.5 90 2391.505</v>
      </c>
      <c r="AZ30" s="42" t="str">
        <f t="shared" si="25"/>
        <v>-text 1566.62676104288,23.5 3.5 90 马分1+566.63</v>
      </c>
    </row>
    <row r="31" spans="1:1454" s="42" customFormat="1" x14ac:dyDescent="0.25">
      <c r="A31" s="80">
        <v>2</v>
      </c>
      <c r="B31" s="76" t="str">
        <f>线路!B28</f>
        <v>IP23</v>
      </c>
      <c r="C31" s="81">
        <f>线路!E28</f>
        <v>451252.5724</v>
      </c>
      <c r="D31" s="81">
        <f>线路!F28</f>
        <v>3046718.3173000002</v>
      </c>
      <c r="E31" s="85">
        <f>线路!G28</f>
        <v>13</v>
      </c>
      <c r="F31" s="85">
        <f>线路!H28</f>
        <v>7.0979999999999999</v>
      </c>
      <c r="G31" s="86">
        <f>线路!L28</f>
        <v>1727.7316857611336</v>
      </c>
      <c r="H31" s="86">
        <f>线路!M28</f>
        <v>1728.5369283181262</v>
      </c>
      <c r="I31" s="86">
        <f>线路!N28</f>
        <v>1729.3421708751189</v>
      </c>
      <c r="J31" s="83">
        <f t="shared" si="0"/>
        <v>1.6104851139853054</v>
      </c>
      <c r="K31" s="83">
        <f t="shared" si="13"/>
        <v>161.91016727524243</v>
      </c>
      <c r="L31" s="83">
        <f>IF(A31=1,断面设计!$D$7,IF(A31=2,断面设计!$D$8,IF(A31=3,断面设计!$D$9,IF(A31=4,断面设计!$D$10,IF(A31=5,断面设计!$D$11,IF(A31=6,断面设计!$D$12,IF(A31=7,断面设计!$D$13,IF(A31=8,断面设计!$D$14,IF(A31=9,断面设计!$D$15,IF(A31=10,断面设计!$D$16))))))))))</f>
        <v>1.5</v>
      </c>
      <c r="M31" s="83">
        <f t="shared" si="14"/>
        <v>1.2</v>
      </c>
      <c r="N31" s="110">
        <f t="shared" si="1"/>
        <v>1.4999999999999999E-2</v>
      </c>
      <c r="O31" s="83">
        <f>IF(A31=1,断面设计!$J$7,IF(A31=2,断面设计!$J$8,IF(A31=3,断面设计!$J$9,IF(A31=4,断面设计!$J$10,IF(A31=5,断面设计!$J$11,IF(A31=6,断面设计!$J$12,IF(A31=7,断面设计!$J$13,IF(A31=8,断面设计!$J$14,IF(A31=9,断面设计!$J$15,IF(A31=10,断面设计!$J$16))))))))))</f>
        <v>5000</v>
      </c>
      <c r="P31" s="111">
        <f>IF(A31=1,断面设计!$K$7,IF(A31=2,断面设计!$K$8,IF(A31=3,断面设计!$K$9,IF(A31=4,断面设计!$K$10,IF(A31=5,断面设计!$K$11,IF(A31=6,断面设计!$K$12,IF(A31=7,断面设计!$K$13,IF(A31=8,断面设计!$K$14,IF(A31=9,断面设计!$K$15,IF(A31=10,断面设计!$K$16))))))))))</f>
        <v>4.4993914540329225</v>
      </c>
      <c r="Q31" s="110">
        <f>IF(A31=1,断面设计!$C$7,IF(A31=2,断面设计!$C$8,IF(A31=3,断面设计!$C$9,IF(A31=4,断面设计!$C$10,IF(A31=5,断面设计!$C$11,IF(A31=6,断面设计!$C$12,IF(A31=7,断面设计!$C$13,IF(A31=8,断面设计!$C$14,IF(A31=9,断面设计!$C$15,IF(A31=10,断面设计!$C$16))))))))))</f>
        <v>1.58308906639964</v>
      </c>
      <c r="R31" s="83">
        <f>IF(A31=1,断面设计!$F$7,IF(A31=2,断面设计!$F$8,IF(A31=3,断面设计!$F$9,IF(A31=4,断面设计!$F$10,IF(A31=5,断面设计!$F$11,IF(A31=6,断面设计!$F$12,IF(A31=7,断面设计!$F$13,IF(A31=8,断面设计!$F$14,IF(A31=9,断面设计!$F$15,IF(A31=10,断面设计!$F$16))))))))))</f>
        <v>5.3820387901843603</v>
      </c>
      <c r="S31" s="83">
        <f>IF(A31=1,断面设计!$G$7,IF(A31=2,断面设计!$G$8,IF(A31=3,断面设计!$G$9,IF(A31=4,断面设计!$G$10,IF(A31=5,断面设计!$G$11,IF(A31=6,断面设计!$G$12,IF(A31=7,断面设计!$G$13,IF(A31=8,断面设计!$G$14,IF(A31=9,断面设计!$G$15,IF(A31=10,断面设计!$G$16))))))))))</f>
        <v>6.445728347111662</v>
      </c>
      <c r="T31" s="83">
        <f t="shared" si="15"/>
        <v>0.83497760072312976</v>
      </c>
      <c r="U31" s="83">
        <f t="shared" si="16"/>
        <v>0.8360013053489711</v>
      </c>
      <c r="V31" s="123">
        <f t="shared" si="17"/>
        <v>1.7001746351214344E-4</v>
      </c>
      <c r="W31" s="110"/>
      <c r="X31" s="110">
        <f>IF(AN31=0,IF(AN30=2,(H31-H30-AE30)/O31,(H31-H30)/O31),IF(AN31=1,IF(AN30=2,IF(AE31&lt;9,(H31-H30-AE31-AE30)/断面设计!$J$7,(H31-H30-AE31-AE30)/断面设计!$J$7),(H31-H30-AE31)/O30),(H31-H30)/O31))</f>
        <v>3.2382033455048483E-2</v>
      </c>
      <c r="Y31" s="133">
        <v>0</v>
      </c>
      <c r="Z31" s="134">
        <f t="shared" si="26"/>
        <v>0</v>
      </c>
      <c r="AA31" s="142"/>
      <c r="AB31" s="133">
        <f t="shared" si="4"/>
        <v>1.58308906639964</v>
      </c>
      <c r="AC31" s="110">
        <f t="shared" si="5"/>
        <v>3.2552050918560629E-2</v>
      </c>
      <c r="AD31" s="110">
        <f t="shared" ca="1" si="18"/>
        <v>2391.4725478649775</v>
      </c>
      <c r="AE31" s="82">
        <f t="shared" si="19"/>
        <v>0</v>
      </c>
      <c r="AF31" s="110" t="str">
        <f t="shared" si="6"/>
        <v xml:space="preserve"> </v>
      </c>
      <c r="AG31" s="110" t="str">
        <f>IF(AE31=0," ",AF31-断面设计!$C$7)</f>
        <v xml:space="preserve"> </v>
      </c>
      <c r="AH31" s="110">
        <f t="shared" ca="1" si="7"/>
        <v>2391.4728789309524</v>
      </c>
      <c r="AI31" s="110">
        <f t="shared" ca="1" si="8"/>
        <v>2389.8897898645528</v>
      </c>
      <c r="AJ31" s="110">
        <f t="shared" ca="1" si="9"/>
        <v>2391.472386816466</v>
      </c>
      <c r="AK31" s="110">
        <f t="shared" ca="1" si="10"/>
        <v>2389.8892977500664</v>
      </c>
      <c r="AL31" s="110">
        <f t="shared" ca="1" si="11"/>
        <v>2391.4726328737092</v>
      </c>
      <c r="AM31" s="110">
        <f t="shared" ca="1" si="12"/>
        <v>2389.8895438073096</v>
      </c>
      <c r="AN31" s="80"/>
      <c r="AO31" s="80">
        <v>0</v>
      </c>
      <c r="AU31" s="64" t="str">
        <f t="shared" ca="1" si="20"/>
        <v>1728.53692831813,2389.88954380731</v>
      </c>
      <c r="AV31" s="64" t="str">
        <f t="shared" ca="1" si="21"/>
        <v>1728.53692831813,2391.47263287371</v>
      </c>
      <c r="AW31" s="169" t="str">
        <f t="shared" si="22"/>
        <v xml:space="preserve">pl 1728.53692831813,0 1728.53692831813,76 </v>
      </c>
      <c r="AX31" s="161" t="str">
        <f t="shared" ca="1" si="23"/>
        <v>-text 1728.53692831813,48 3.5 90 2389.890</v>
      </c>
      <c r="AY31" s="161" t="str">
        <f t="shared" ca="1" si="24"/>
        <v>-text 1728.53692831813,62.5 3.5 90 2391.473</v>
      </c>
      <c r="AZ31" s="42" t="str">
        <f t="shared" si="25"/>
        <v>-text 1728.53692831813,23.5 3.5 90 马分1+728.54</v>
      </c>
    </row>
    <row r="32" spans="1:1454" s="42" customFormat="1" x14ac:dyDescent="0.25">
      <c r="A32" s="80">
        <v>2</v>
      </c>
      <c r="B32" s="76" t="str">
        <f>线路!B29</f>
        <v>IP24</v>
      </c>
      <c r="C32" s="81">
        <f>线路!E29</f>
        <v>451219.3444</v>
      </c>
      <c r="D32" s="81">
        <f>线路!F29</f>
        <v>3046643.2012999998</v>
      </c>
      <c r="E32" s="85">
        <f>线路!G29</f>
        <v>13</v>
      </c>
      <c r="F32" s="85">
        <f>线路!H29</f>
        <v>56.350999999999999</v>
      </c>
      <c r="G32" s="86">
        <f>线路!L29</f>
        <v>1803.7096758450548</v>
      </c>
      <c r="H32" s="86">
        <f>线路!M29</f>
        <v>1810.1024940091984</v>
      </c>
      <c r="I32" s="86">
        <f>线路!N29</f>
        <v>1816.495312173342</v>
      </c>
      <c r="J32" s="83">
        <f t="shared" si="0"/>
        <v>12.785636328287183</v>
      </c>
      <c r="K32" s="83">
        <f t="shared" si="13"/>
        <v>81.565565691072152</v>
      </c>
      <c r="L32" s="83">
        <f>IF(A32=1,断面设计!$D$7,IF(A32=2,断面设计!$D$8,IF(A32=3,断面设计!$D$9,IF(A32=4,断面设计!$D$10,IF(A32=5,断面设计!$D$11,IF(A32=6,断面设计!$D$12,IF(A32=7,断面设计!$D$13,IF(A32=8,断面设计!$D$14,IF(A32=9,断面设计!$D$15,IF(A32=10,断面设计!$D$16))))))))))</f>
        <v>1.5</v>
      </c>
      <c r="M32" s="83">
        <f t="shared" si="14"/>
        <v>1.2</v>
      </c>
      <c r="N32" s="110">
        <f t="shared" si="1"/>
        <v>1.4999999999999999E-2</v>
      </c>
      <c r="O32" s="83">
        <f>IF(A32=1,断面设计!$J$7,IF(A32=2,断面设计!$J$8,IF(A32=3,断面设计!$J$9,IF(A32=4,断面设计!$J$10,IF(A32=5,断面设计!$J$11,IF(A32=6,断面设计!$J$12,IF(A32=7,断面设计!$J$13,IF(A32=8,断面设计!$J$14,IF(A32=9,断面设计!$J$15,IF(A32=10,断面设计!$J$16))))))))))</f>
        <v>5000</v>
      </c>
      <c r="P32" s="111">
        <f>IF(A32=1,断面设计!$K$7,IF(A32=2,断面设计!$K$8,IF(A32=3,断面设计!$K$9,IF(A32=4,断面设计!$K$10,IF(A32=5,断面设计!$K$11,IF(A32=6,断面设计!$K$12,IF(A32=7,断面设计!$K$13,IF(A32=8,断面设计!$K$14,IF(A32=9,断面设计!$K$15,IF(A32=10,断面设计!$K$16))))))))))</f>
        <v>4.4993914540329225</v>
      </c>
      <c r="Q32" s="110">
        <f>IF(A32=1,断面设计!$C$7,IF(A32=2,断面设计!$C$8,IF(A32=3,断面设计!$C$9,IF(A32=4,断面设计!$C$10,IF(A32=5,断面设计!$C$11,IF(A32=6,断面设计!$C$12,IF(A32=7,断面设计!$C$13,IF(A32=8,断面设计!$C$14,IF(A32=9,断面设计!$C$15,IF(A32=10,断面设计!$C$16))))))))))</f>
        <v>1.58308906639964</v>
      </c>
      <c r="R32" s="83">
        <f>IF(A32=1,断面设计!$F$7,IF(A32=2,断面设计!$F$8,IF(A32=3,断面设计!$F$9,IF(A32=4,断面设计!$F$10,IF(A32=5,断面设计!$F$11,IF(A32=6,断面设计!$F$12,IF(A32=7,断面设计!$F$13,IF(A32=8,断面设计!$F$14,IF(A32=9,断面设计!$F$15,IF(A32=10,断面设计!$F$16))))))))))</f>
        <v>5.3820387901843603</v>
      </c>
      <c r="S32" s="83">
        <f>IF(A32=1,断面设计!$G$7,IF(A32=2,断面设计!$G$8,IF(A32=3,断面设计!$G$9,IF(A32=4,断面设计!$G$10,IF(A32=5,断面设计!$G$11,IF(A32=6,断面设计!$G$12,IF(A32=7,断面设计!$G$13,IF(A32=8,断面设计!$G$14,IF(A32=9,断面设计!$G$15,IF(A32=10,断面设计!$G$16))))))))))</f>
        <v>6.445728347111662</v>
      </c>
      <c r="T32" s="83">
        <f t="shared" si="15"/>
        <v>0.83497760072312976</v>
      </c>
      <c r="U32" s="83">
        <f t="shared" si="16"/>
        <v>0.8360013053489711</v>
      </c>
      <c r="V32" s="123">
        <f t="shared" si="17"/>
        <v>1.3497681158597384E-3</v>
      </c>
      <c r="W32" s="110"/>
      <c r="X32" s="110">
        <f>IF(AN32=0,IF(AN31=2,(H32-H31-AE31)/O32,(H32-H31)/O32),IF(AN32=1,IF(AN31=2,IF(AE32&lt;9,(H32-H31-AE32-AE31)/断面设计!$J$7,(H32-H31-AE32-AE31)/断面设计!$J$7),(H32-H31-AE32)/O31),(H32-H31)/O32))</f>
        <v>1.631311313821443E-2</v>
      </c>
      <c r="Y32" s="133">
        <v>0</v>
      </c>
      <c r="Z32" s="134">
        <f t="shared" si="26"/>
        <v>0</v>
      </c>
      <c r="AA32" s="142"/>
      <c r="AB32" s="133">
        <f t="shared" si="4"/>
        <v>1.58308906639964</v>
      </c>
      <c r="AC32" s="110">
        <f t="shared" si="5"/>
        <v>1.766288125407417E-2</v>
      </c>
      <c r="AD32" s="110">
        <f t="shared" ca="1" si="18"/>
        <v>2391.4548849837233</v>
      </c>
      <c r="AE32" s="82">
        <f t="shared" si="19"/>
        <v>0</v>
      </c>
      <c r="AF32" s="110" t="str">
        <f t="shared" si="6"/>
        <v xml:space="preserve"> </v>
      </c>
      <c r="AG32" s="110" t="str">
        <f>IF(AE32=0," ",AF32-断面设计!$C$7)</f>
        <v xml:space="preserve"> </v>
      </c>
      <c r="AH32" s="110">
        <f t="shared" ca="1" si="7"/>
        <v>2391.4575133154717</v>
      </c>
      <c r="AI32" s="110">
        <f t="shared" ca="1" si="8"/>
        <v>2389.874424249072</v>
      </c>
      <c r="AJ32" s="110">
        <f t="shared" ca="1" si="9"/>
        <v>2391.4536064200906</v>
      </c>
      <c r="AK32" s="110">
        <f t="shared" ca="1" si="10"/>
        <v>2389.870517353691</v>
      </c>
      <c r="AL32" s="110">
        <f t="shared" ca="1" si="11"/>
        <v>2391.4555598677812</v>
      </c>
      <c r="AM32" s="110">
        <f t="shared" ca="1" si="12"/>
        <v>2389.8724708013815</v>
      </c>
      <c r="AN32" s="80"/>
      <c r="AO32" s="80">
        <v>0</v>
      </c>
      <c r="AU32" s="64" t="str">
        <f t="shared" ca="1" si="20"/>
        <v>1810.1024940092,2389.87247080138</v>
      </c>
      <c r="AV32" s="64" t="str">
        <f t="shared" ca="1" si="21"/>
        <v>1810.1024940092,2391.45555986778</v>
      </c>
      <c r="AW32" s="169" t="str">
        <f t="shared" si="22"/>
        <v xml:space="preserve">pl 1810.1024940092,0 1810.1024940092,76 </v>
      </c>
      <c r="AX32" s="161" t="str">
        <f t="shared" ca="1" si="23"/>
        <v>-text 1810.1024940092,48 3.5 90 2389.872</v>
      </c>
      <c r="AY32" s="161" t="str">
        <f t="shared" ca="1" si="24"/>
        <v>-text 1810.1024940092,62.5 3.5 90 2391.456</v>
      </c>
      <c r="AZ32" s="42" t="str">
        <f t="shared" si="25"/>
        <v>-text 1810.1024940092,23.5 3.5 90 马分1+810.10</v>
      </c>
    </row>
    <row r="33" spans="1:206" s="42" customFormat="1" x14ac:dyDescent="0.25">
      <c r="A33" s="80">
        <v>2</v>
      </c>
      <c r="B33" s="76" t="str">
        <f>线路!B30</f>
        <v>IP25</v>
      </c>
      <c r="C33" s="81">
        <f>线路!E30</f>
        <v>451248.4314</v>
      </c>
      <c r="D33" s="81">
        <f>线路!F30</f>
        <v>3046597.5243000002</v>
      </c>
      <c r="E33" s="85">
        <f>线路!G30</f>
        <v>13</v>
      </c>
      <c r="F33" s="85">
        <f>线路!H30</f>
        <v>15.711</v>
      </c>
      <c r="G33" s="86">
        <f>线路!L30</f>
        <v>1861.8903455333773</v>
      </c>
      <c r="H33" s="86">
        <f>线路!M30</f>
        <v>1863.6727019454527</v>
      </c>
      <c r="I33" s="86">
        <f>线路!N30</f>
        <v>1865.4550583575281</v>
      </c>
      <c r="J33" s="83">
        <f t="shared" si="0"/>
        <v>3.5647128241507744</v>
      </c>
      <c r="K33" s="83">
        <f t="shared" si="13"/>
        <v>53.570207936254292</v>
      </c>
      <c r="L33" s="83">
        <f>IF(A33=1,断面设计!$D$7,IF(A33=2,断面设计!$D$8,IF(A33=3,断面设计!$D$9,IF(A33=4,断面设计!$D$10,IF(A33=5,断面设计!$D$11,IF(A33=6,断面设计!$D$12,IF(A33=7,断面设计!$D$13,IF(A33=8,断面设计!$D$14,IF(A33=9,断面设计!$D$15,IF(A33=10,断面设计!$D$16))))))))))</f>
        <v>1.5</v>
      </c>
      <c r="M33" s="83">
        <f t="shared" si="14"/>
        <v>1.2</v>
      </c>
      <c r="N33" s="110">
        <f t="shared" si="1"/>
        <v>1.4999999999999999E-2</v>
      </c>
      <c r="O33" s="83">
        <f>IF(A33=1,断面设计!$J$7,IF(A33=2,断面设计!$J$8,IF(A33=3,断面设计!$J$9,IF(A33=4,断面设计!$J$10,IF(A33=5,断面设计!$J$11,IF(A33=6,断面设计!$J$12,IF(A33=7,断面设计!$J$13,IF(A33=8,断面设计!$J$14,IF(A33=9,断面设计!$J$15,IF(A33=10,断面设计!$J$16))))))))))</f>
        <v>5000</v>
      </c>
      <c r="P33" s="111">
        <f>IF(A33=1,断面设计!$K$7,IF(A33=2,断面设计!$K$8,IF(A33=3,断面设计!$K$9,IF(A33=4,断面设计!$K$10,IF(A33=5,断面设计!$K$11,IF(A33=6,断面设计!$K$12,IF(A33=7,断面设计!$K$13,IF(A33=8,断面设计!$K$14,IF(A33=9,断面设计!$K$15,IF(A33=10,断面设计!$K$16))))))))))</f>
        <v>4.4993914540329225</v>
      </c>
      <c r="Q33" s="110">
        <f>IF(A33=1,断面设计!$C$7,IF(A33=2,断面设计!$C$8,IF(A33=3,断面设计!$C$9,IF(A33=4,断面设计!$C$10,IF(A33=5,断面设计!$C$11,IF(A33=6,断面设计!$C$12,IF(A33=7,断面设计!$C$13,IF(A33=8,断面设计!$C$14,IF(A33=9,断面设计!$C$15,IF(A33=10,断面设计!$C$16))))))))))</f>
        <v>1.58308906639964</v>
      </c>
      <c r="R33" s="83">
        <f>IF(A33=1,断面设计!$F$7,IF(A33=2,断面设计!$F$8,IF(A33=3,断面设计!$F$9,IF(A33=4,断面设计!$F$10,IF(A33=5,断面设计!$F$11,IF(A33=6,断面设计!$F$12,IF(A33=7,断面设计!$F$13,IF(A33=8,断面设计!$F$14,IF(A33=9,断面设计!$F$15,IF(A33=10,断面设计!$F$16))))))))))</f>
        <v>5.3820387901843603</v>
      </c>
      <c r="S33" s="83">
        <f>IF(A33=1,断面设计!$G$7,IF(A33=2,断面设计!$G$8,IF(A33=3,断面设计!$G$9,IF(A33=4,断面设计!$G$10,IF(A33=5,断面设计!$G$11,IF(A33=6,断面设计!$G$12,IF(A33=7,断面设计!$G$13,IF(A33=8,断面设计!$G$14,IF(A33=9,断面设计!$G$15,IF(A33=10,断面设计!$G$16))))))))))</f>
        <v>6.445728347111662</v>
      </c>
      <c r="T33" s="83">
        <f t="shared" si="15"/>
        <v>0.83497760072312976</v>
      </c>
      <c r="U33" s="83">
        <f t="shared" si="16"/>
        <v>0.8360013053489711</v>
      </c>
      <c r="V33" s="123">
        <f t="shared" si="17"/>
        <v>3.7632352342056733E-4</v>
      </c>
      <c r="W33" s="110"/>
      <c r="X33" s="110">
        <f>IF(AN33=0,IF(AN32=2,(H33-H32-AE32)/O33,(H33-H32)/O33),IF(AN33=1,IF(AN32=2,IF(AE33&lt;9,(H33-H32-AE33-AE32)/断面设计!$J$7,(H33-H32-AE33-AE32)/断面设计!$J$7),(H33-H32-AE33)/O32),(H33-H32)/O33))</f>
        <v>1.0714041587250858E-2</v>
      </c>
      <c r="Y33" s="133">
        <v>0</v>
      </c>
      <c r="Z33" s="134">
        <f t="shared" si="26"/>
        <v>0</v>
      </c>
      <c r="AA33" s="142"/>
      <c r="AB33" s="133">
        <f t="shared" si="4"/>
        <v>1.58308906639964</v>
      </c>
      <c r="AC33" s="110">
        <f t="shared" si="5"/>
        <v>1.1090365110671425E-2</v>
      </c>
      <c r="AD33" s="110">
        <f t="shared" ca="1" si="18"/>
        <v>2391.4437946186126</v>
      </c>
      <c r="AE33" s="82">
        <f t="shared" si="19"/>
        <v>0</v>
      </c>
      <c r="AF33" s="110" t="str">
        <f t="shared" si="6"/>
        <v xml:space="preserve"> </v>
      </c>
      <c r="AG33" s="110" t="str">
        <f>IF(AE33=0," ",AF33-断面设计!$C$7)</f>
        <v xml:space="preserve"> </v>
      </c>
      <c r="AH33" s="110">
        <f t="shared" ca="1" si="7"/>
        <v>2391.4445274134187</v>
      </c>
      <c r="AI33" s="110">
        <f t="shared" ca="1" si="8"/>
        <v>2389.861438347019</v>
      </c>
      <c r="AJ33" s="110">
        <f t="shared" ca="1" si="9"/>
        <v>2391.4434381473302</v>
      </c>
      <c r="AK33" s="110">
        <f t="shared" ca="1" si="10"/>
        <v>2389.8603490809305</v>
      </c>
      <c r="AL33" s="110">
        <f t="shared" ca="1" si="11"/>
        <v>2391.4439827803744</v>
      </c>
      <c r="AM33" s="110">
        <f t="shared" ca="1" si="12"/>
        <v>2389.8608937139747</v>
      </c>
      <c r="AN33" s="80"/>
      <c r="AO33" s="80">
        <v>0</v>
      </c>
      <c r="AU33" s="64" t="str">
        <f t="shared" ca="1" si="20"/>
        <v>1863.67270194545,2389.86089371397</v>
      </c>
      <c r="AV33" s="64" t="str">
        <f t="shared" ca="1" si="21"/>
        <v>1863.67270194545,2391.44398278037</v>
      </c>
      <c r="AW33" s="169" t="str">
        <f t="shared" si="22"/>
        <v xml:space="preserve">pl 1863.67270194545,0 1863.67270194545,76 </v>
      </c>
      <c r="AX33" s="161" t="str">
        <f t="shared" ca="1" si="23"/>
        <v>-text 1863.67270194545,48 3.5 90 2389.861</v>
      </c>
      <c r="AY33" s="161" t="str">
        <f t="shared" ca="1" si="24"/>
        <v>-text 1863.67270194545,62.5 3.5 90 2391.444</v>
      </c>
      <c r="AZ33" s="42" t="str">
        <f t="shared" si="25"/>
        <v>-text 1863.67270194545,23.5 3.5 90 马分1+863.67</v>
      </c>
    </row>
    <row r="34" spans="1:206" s="55" customFormat="1" x14ac:dyDescent="0.25">
      <c r="A34" s="92">
        <v>2</v>
      </c>
      <c r="B34" s="93" t="str">
        <f>线路!B31</f>
        <v>2#倒虹吸进</v>
      </c>
      <c r="C34" s="94">
        <f>线路!E31</f>
        <v>451250.79060000001</v>
      </c>
      <c r="D34" s="94">
        <f>线路!F31</f>
        <v>3046589.6992000001</v>
      </c>
      <c r="E34" s="95">
        <f>线路!G31</f>
        <v>0</v>
      </c>
      <c r="F34" s="95">
        <f>线路!H31</f>
        <v>0</v>
      </c>
      <c r="G34" s="96">
        <f>线路!L31</f>
        <v>1871.8344545612135</v>
      </c>
      <c r="H34" s="96">
        <f>线路!M31</f>
        <v>1871.8344545612135</v>
      </c>
      <c r="I34" s="96">
        <f>线路!N31</f>
        <v>1871.8344545612135</v>
      </c>
      <c r="J34" s="115">
        <f t="shared" si="0"/>
        <v>0</v>
      </c>
      <c r="K34" s="115">
        <f t="shared" si="13"/>
        <v>8.1617526157608609</v>
      </c>
      <c r="L34" s="115">
        <f>IF(A34=1,断面设计!$D$7,IF(A34=2,断面设计!$D$8,IF(A34=3,断面设计!$D$9,IF(A34=4,断面设计!$D$10,IF(A34=5,断面设计!$D$11,IF(A34=6,断面设计!$D$12,IF(A34=7,断面设计!$D$13,IF(A34=8,断面设计!$D$14,IF(A34=9,断面设计!$D$15,IF(A34=10,断面设计!$D$16))))))))))</f>
        <v>1.5</v>
      </c>
      <c r="M34" s="115">
        <f t="shared" si="14"/>
        <v>1.2</v>
      </c>
      <c r="N34" s="116">
        <f t="shared" si="1"/>
        <v>1.4999999999999999E-2</v>
      </c>
      <c r="O34" s="115">
        <f>IF(A34=1,断面设计!$J$7,IF(A34=2,断面设计!$J$8,IF(A34=3,断面设计!$J$9,IF(A34=4,断面设计!$J$10,IF(A34=5,断面设计!$J$11,IF(A34=6,断面设计!$J$12,IF(A34=7,断面设计!$J$13,IF(A34=8,断面设计!$J$14,IF(A34=9,断面设计!$J$15,IF(A34=10,断面设计!$J$16))))))))))</f>
        <v>5000</v>
      </c>
      <c r="P34" s="117">
        <f>IF(A34=1,断面设计!$K$7,IF(A34=2,断面设计!$K$8,IF(A34=3,断面设计!$K$9,IF(A34=4,断面设计!$K$10,IF(A34=5,断面设计!$K$11,IF(A34=6,断面设计!$K$12,IF(A34=7,断面设计!$K$13,IF(A34=8,断面设计!$K$14,IF(A34=9,断面设计!$K$15,IF(A34=10,断面设计!$K$16))))))))))</f>
        <v>4.4993914540329225</v>
      </c>
      <c r="Q34" s="116">
        <f>IF(A34=1,断面设计!$C$7,IF(A34=2,断面设计!$C$8,IF(A34=3,断面设计!$C$9,IF(A34=4,断面设计!$C$10,IF(A34=5,断面设计!$C$11,IF(A34=6,断面设计!$C$12,IF(A34=7,断面设计!$C$13,IF(A34=8,断面设计!$C$14,IF(A34=9,断面设计!$C$15,IF(A34=10,断面设计!$C$16))))))))))</f>
        <v>1.58308906639964</v>
      </c>
      <c r="R34" s="115">
        <f>IF(A34=1,断面设计!$F$7,IF(A34=2,断面设计!$F$8,IF(A34=3,断面设计!$F$9,IF(A34=4,断面设计!$F$10,IF(A34=5,断面设计!$F$11,IF(A34=6,断面设计!$F$12,IF(A34=7,断面设计!$F$13,IF(A34=8,断面设计!$F$14,IF(A34=9,断面设计!$F$15,IF(A34=10,断面设计!$F$16))))))))))</f>
        <v>5.3820387901843603</v>
      </c>
      <c r="S34" s="115">
        <f>IF(A34=1,断面设计!$G$7,IF(A34=2,断面设计!$G$8,IF(A34=3,断面设计!$G$9,IF(A34=4,断面设计!$G$10,IF(A34=5,断面设计!$G$11,IF(A34=6,断面设计!$G$12,IF(A34=7,断面设计!$G$13,IF(A34=8,断面设计!$G$14,IF(A34=9,断面设计!$G$15,IF(A34=10,断面设计!$G$16))))))))))</f>
        <v>6.445728347111662</v>
      </c>
      <c r="T34" s="115">
        <f t="shared" si="15"/>
        <v>0.83497760072312976</v>
      </c>
      <c r="U34" s="115">
        <f t="shared" si="16"/>
        <v>0.8360013053489711</v>
      </c>
      <c r="V34" s="125"/>
      <c r="W34" s="116"/>
      <c r="X34" s="116"/>
      <c r="Y34" s="139">
        <v>0</v>
      </c>
      <c r="Z34" s="140">
        <f t="shared" si="26"/>
        <v>0</v>
      </c>
      <c r="AA34" s="143"/>
      <c r="AB34" s="139">
        <f t="shared" si="4"/>
        <v>1.58308906639964</v>
      </c>
      <c r="AC34" s="116">
        <f t="shared" si="5"/>
        <v>0</v>
      </c>
      <c r="AD34" s="116">
        <f t="shared" ca="1" si="18"/>
        <v>2391.4437946186126</v>
      </c>
      <c r="AE34" s="141">
        <f t="shared" si="19"/>
        <v>0</v>
      </c>
      <c r="AF34" s="116" t="str">
        <f t="shared" si="6"/>
        <v xml:space="preserve"> </v>
      </c>
      <c r="AG34" s="116" t="str">
        <f>IF(AE34=0," ",AF34-断面设计!$C$7)</f>
        <v xml:space="preserve"> </v>
      </c>
      <c r="AH34" s="116" t="str">
        <f t="shared" si="7"/>
        <v xml:space="preserve"> </v>
      </c>
      <c r="AI34" s="116" t="str">
        <f t="shared" si="8"/>
        <v xml:space="preserve"> </v>
      </c>
      <c r="AJ34" s="116" t="str">
        <f t="shared" si="9"/>
        <v xml:space="preserve"> </v>
      </c>
      <c r="AK34" s="116" t="str">
        <f t="shared" si="10"/>
        <v xml:space="preserve"> </v>
      </c>
      <c r="AL34" s="116">
        <f t="shared" ca="1" si="11"/>
        <v>2391.4437946186126</v>
      </c>
      <c r="AM34" s="116">
        <f t="shared" ca="1" si="12"/>
        <v>2389.8607055522129</v>
      </c>
      <c r="AN34" s="92"/>
      <c r="AO34" s="92">
        <v>0</v>
      </c>
      <c r="AP34" s="42"/>
      <c r="AQ34" s="42"/>
      <c r="AR34" s="42"/>
      <c r="AS34" s="42"/>
      <c r="AT34" s="42"/>
      <c r="AU34" s="64" t="str">
        <f t="shared" ca="1" si="20"/>
        <v>1871.83445456121,2389.86070555221</v>
      </c>
      <c r="AV34" s="64" t="str">
        <f t="shared" ca="1" si="21"/>
        <v>1871.83445456121,2391.44379461861</v>
      </c>
      <c r="AW34" s="169" t="str">
        <f t="shared" si="22"/>
        <v xml:space="preserve">pl 1871.83445456121,0 1871.83445456121,76 </v>
      </c>
      <c r="AX34" s="161" t="str">
        <f t="shared" ca="1" si="23"/>
        <v>-text 1871.83445456121,48 3.5 90 2389.861</v>
      </c>
      <c r="AY34" s="161" t="str">
        <f t="shared" ca="1" si="24"/>
        <v>-text 1871.83445456121,62.5 3.5 90 2391.444</v>
      </c>
      <c r="AZ34" s="42" t="str">
        <f t="shared" si="25"/>
        <v>-text 1871.83445456121,23.5 3.5 90 马分1+871.83</v>
      </c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</row>
    <row r="35" spans="1:206" s="55" customFormat="1" x14ac:dyDescent="0.25">
      <c r="A35" s="92">
        <v>2</v>
      </c>
      <c r="B35" s="93" t="str">
        <f>线路!B32</f>
        <v>IP26</v>
      </c>
      <c r="C35" s="94">
        <f>线路!E32</f>
        <v>451281.57150000002</v>
      </c>
      <c r="D35" s="94">
        <f>线路!F32</f>
        <v>3046487.6060000001</v>
      </c>
      <c r="E35" s="95">
        <f>线路!G32</f>
        <v>6</v>
      </c>
      <c r="F35" s="95">
        <f>线路!H32</f>
        <v>29.341000000000001</v>
      </c>
      <c r="G35" s="96">
        <f>线路!L32</f>
        <v>1976.896163087242</v>
      </c>
      <c r="H35" s="96">
        <f>线路!M32</f>
        <v>1978.4324542547249</v>
      </c>
      <c r="I35" s="96">
        <f>线路!N32</f>
        <v>1979.968745422208</v>
      </c>
      <c r="J35" s="115">
        <f t="shared" si="0"/>
        <v>3.0725823349660004</v>
      </c>
      <c r="K35" s="115">
        <f t="shared" si="13"/>
        <v>106.59799969351138</v>
      </c>
      <c r="L35" s="115">
        <f>IF(A35=1,断面设计!$D$7,IF(A35=2,断面设计!$D$8,IF(A35=3,断面设计!$D$9,IF(A35=4,断面设计!$D$10,IF(A35=5,断面设计!$D$11,IF(A35=6,断面设计!$D$12,IF(A35=7,断面设计!$D$13,IF(A35=8,断面设计!$D$14,IF(A35=9,断面设计!$D$15,IF(A35=10,断面设计!$D$16))))))))))</f>
        <v>1.5</v>
      </c>
      <c r="M35" s="115">
        <f t="shared" si="14"/>
        <v>1.2</v>
      </c>
      <c r="N35" s="116">
        <f t="shared" si="1"/>
        <v>1.4999999999999999E-2</v>
      </c>
      <c r="O35" s="115">
        <f>IF(A35=1,断面设计!$J$7,IF(A35=2,断面设计!$J$8,IF(A35=3,断面设计!$J$9,IF(A35=4,断面设计!$J$10,IF(A35=5,断面设计!$J$11,IF(A35=6,断面设计!$J$12,IF(A35=7,断面设计!$J$13,IF(A35=8,断面设计!$J$14,IF(A35=9,断面设计!$J$15,IF(A35=10,断面设计!$J$16))))))))))</f>
        <v>5000</v>
      </c>
      <c r="P35" s="117">
        <f>IF(A35=1,断面设计!$K$7,IF(A35=2,断面设计!$K$8,IF(A35=3,断面设计!$K$9,IF(A35=4,断面设计!$K$10,IF(A35=5,断面设计!$K$11,IF(A35=6,断面设计!$K$12,IF(A35=7,断面设计!$K$13,IF(A35=8,断面设计!$K$14,IF(A35=9,断面设计!$K$15,IF(A35=10,断面设计!$K$16))))))))))</f>
        <v>4.4993914540329225</v>
      </c>
      <c r="Q35" s="116">
        <f>IF(A35=1,断面设计!$C$7,IF(A35=2,断面设计!$C$8,IF(A35=3,断面设计!$C$9,IF(A35=4,断面设计!$C$10,IF(A35=5,断面设计!$C$11,IF(A35=6,断面设计!$C$12,IF(A35=7,断面设计!$C$13,IF(A35=8,断面设计!$C$14,IF(A35=9,断面设计!$C$15,IF(A35=10,断面设计!$C$16))))))))))</f>
        <v>1.58308906639964</v>
      </c>
      <c r="R35" s="115">
        <f>IF(A35=1,断面设计!$F$7,IF(A35=2,断面设计!$F$8,IF(A35=3,断面设计!$F$9,IF(A35=4,断面设计!$F$10,IF(A35=5,断面设计!$F$11,IF(A35=6,断面设计!$F$12,IF(A35=7,断面设计!$F$13,IF(A35=8,断面设计!$F$14,IF(A35=9,断面设计!$F$15,IF(A35=10,断面设计!$F$16))))))))))</f>
        <v>5.3820387901843603</v>
      </c>
      <c r="S35" s="115">
        <f>IF(A35=1,断面设计!$G$7,IF(A35=2,断面设计!$G$8,IF(A35=3,断面设计!$G$9,IF(A35=4,断面设计!$G$10,IF(A35=5,断面设计!$G$11,IF(A35=6,断面设计!$G$12,IF(A35=7,断面设计!$G$13,IF(A35=8,断面设计!$G$14,IF(A35=9,断面设计!$G$15,IF(A35=10,断面设计!$G$16))))))))))</f>
        <v>6.445728347111662</v>
      </c>
      <c r="T35" s="115">
        <f t="shared" si="15"/>
        <v>0.83497760072312976</v>
      </c>
      <c r="U35" s="115">
        <f t="shared" si="16"/>
        <v>0.8360013053489711</v>
      </c>
      <c r="V35" s="125"/>
      <c r="W35" s="116"/>
      <c r="X35" s="116"/>
      <c r="Y35" s="139">
        <v>0</v>
      </c>
      <c r="Z35" s="140">
        <f t="shared" si="26"/>
        <v>0</v>
      </c>
      <c r="AA35" s="143"/>
      <c r="AB35" s="139">
        <f t="shared" si="4"/>
        <v>1.58308906639964</v>
      </c>
      <c r="AC35" s="116">
        <f t="shared" si="5"/>
        <v>0</v>
      </c>
      <c r="AD35" s="116">
        <f t="shared" ca="1" si="18"/>
        <v>2391.4437946186126</v>
      </c>
      <c r="AE35" s="141">
        <f t="shared" si="19"/>
        <v>0</v>
      </c>
      <c r="AF35" s="116" t="str">
        <f t="shared" si="6"/>
        <v xml:space="preserve"> </v>
      </c>
      <c r="AG35" s="116" t="str">
        <f>IF(AE35=0," ",AF35-断面设计!$C$7)</f>
        <v xml:space="preserve"> </v>
      </c>
      <c r="AH35" s="116">
        <f t="shared" ca="1" si="7"/>
        <v>2391.4441018768462</v>
      </c>
      <c r="AI35" s="116">
        <f t="shared" ca="1" si="8"/>
        <v>2389.8610128104465</v>
      </c>
      <c r="AJ35" s="116">
        <f t="shared" ca="1" si="9"/>
        <v>2391.4434873603791</v>
      </c>
      <c r="AK35" s="116">
        <f t="shared" ca="1" si="10"/>
        <v>2389.8603982939794</v>
      </c>
      <c r="AL35" s="116">
        <f t="shared" ca="1" si="11"/>
        <v>2391.4437946186126</v>
      </c>
      <c r="AM35" s="116">
        <f t="shared" ca="1" si="12"/>
        <v>2389.8607055522129</v>
      </c>
      <c r="AN35" s="92"/>
      <c r="AO35" s="92">
        <v>0</v>
      </c>
      <c r="AP35" s="42"/>
      <c r="AQ35" s="42"/>
      <c r="AR35" s="42"/>
      <c r="AS35" s="42"/>
      <c r="AT35" s="42"/>
      <c r="AU35" s="64" t="str">
        <f t="shared" ca="1" si="20"/>
        <v>1978.43245425472,2389.86070555221</v>
      </c>
      <c r="AV35" s="64" t="str">
        <f t="shared" ca="1" si="21"/>
        <v>1978.43245425472,2391.44379461861</v>
      </c>
      <c r="AW35" s="169" t="str">
        <f t="shared" si="22"/>
        <v xml:space="preserve">pl 1978.43245425472,0 1978.43245425472,76 </v>
      </c>
      <c r="AX35" s="161" t="str">
        <f t="shared" ca="1" si="23"/>
        <v>-text 1978.43245425472,48 3.5 90 2389.861</v>
      </c>
      <c r="AY35" s="161" t="str">
        <f t="shared" ca="1" si="24"/>
        <v>-text 1978.43245425472,62.5 3.5 90 2391.444</v>
      </c>
      <c r="AZ35" s="42" t="str">
        <f t="shared" si="25"/>
        <v>-text 1978.43245425472,23.5 3.5 90 马分1+978.43</v>
      </c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/>
      <c r="GD35" s="42"/>
      <c r="GE35" s="42"/>
      <c r="GF35" s="42"/>
      <c r="GG35" s="42"/>
      <c r="GH35" s="42"/>
      <c r="GI35" s="42"/>
      <c r="GJ35" s="42"/>
      <c r="GK35" s="42"/>
      <c r="GL35" s="42"/>
      <c r="GM35" s="42"/>
      <c r="GN35" s="42"/>
      <c r="GO35" s="42"/>
      <c r="GP35" s="42"/>
      <c r="GQ35" s="42"/>
      <c r="GR35" s="42"/>
      <c r="GS35" s="42"/>
      <c r="GT35" s="42"/>
      <c r="GU35" s="42"/>
      <c r="GV35" s="42"/>
      <c r="GW35" s="42"/>
      <c r="GX35" s="42"/>
    </row>
    <row r="36" spans="1:206" s="55" customFormat="1" x14ac:dyDescent="0.25">
      <c r="A36" s="92">
        <v>2</v>
      </c>
      <c r="B36" s="93" t="str">
        <f>线路!B33</f>
        <v>IP27</v>
      </c>
      <c r="C36" s="94">
        <f>线路!E33</f>
        <v>451236.16379999998</v>
      </c>
      <c r="D36" s="94">
        <f>线路!F33</f>
        <v>3046283.85</v>
      </c>
      <c r="E36" s="95">
        <f>线路!G33</f>
        <v>6</v>
      </c>
      <c r="F36" s="95">
        <f>线路!H33</f>
        <v>25.052</v>
      </c>
      <c r="G36" s="96">
        <f>线路!L33</f>
        <v>2185.8192730227061</v>
      </c>
      <c r="H36" s="96">
        <f>线路!M33</f>
        <v>2187.1309926753347</v>
      </c>
      <c r="I36" s="96">
        <f>线路!N33</f>
        <v>2188.4427123279638</v>
      </c>
      <c r="J36" s="115">
        <f t="shared" si="0"/>
        <v>2.6234393052577616</v>
      </c>
      <c r="K36" s="115">
        <f t="shared" si="13"/>
        <v>208.69853842060979</v>
      </c>
      <c r="L36" s="115">
        <f>IF(A36=1,断面设计!$D$7,IF(A36=2,断面设计!$D$8,IF(A36=3,断面设计!$D$9,IF(A36=4,断面设计!$D$10,IF(A36=5,断面设计!$D$11,IF(A36=6,断面设计!$D$12,IF(A36=7,断面设计!$D$13,IF(A36=8,断面设计!$D$14,IF(A36=9,断面设计!$D$15,IF(A36=10,断面设计!$D$16))))))))))</f>
        <v>1.5</v>
      </c>
      <c r="M36" s="115">
        <f t="shared" si="14"/>
        <v>1.2</v>
      </c>
      <c r="N36" s="116">
        <f t="shared" si="1"/>
        <v>1.4999999999999999E-2</v>
      </c>
      <c r="O36" s="115">
        <f>IF(A36=1,断面设计!$J$7,IF(A36=2,断面设计!$J$8,IF(A36=3,断面设计!$J$9,IF(A36=4,断面设计!$J$10,IF(A36=5,断面设计!$J$11,IF(A36=6,断面设计!$J$12,IF(A36=7,断面设计!$J$13,IF(A36=8,断面设计!$J$14,IF(A36=9,断面设计!$J$15,IF(A36=10,断面设计!$J$16))))))))))</f>
        <v>5000</v>
      </c>
      <c r="P36" s="117">
        <f>IF(A36=1,断面设计!$K$7,IF(A36=2,断面设计!$K$8,IF(A36=3,断面设计!$K$9,IF(A36=4,断面设计!$K$10,IF(A36=5,断面设计!$K$11,IF(A36=6,断面设计!$K$12,IF(A36=7,断面设计!$K$13,IF(A36=8,断面设计!$K$14,IF(A36=9,断面设计!$K$15,IF(A36=10,断面设计!$K$16))))))))))</f>
        <v>4.4993914540329225</v>
      </c>
      <c r="Q36" s="116">
        <f>IF(A36=1,断面设计!$C$7,IF(A36=2,断面设计!$C$8,IF(A36=3,断面设计!$C$9,IF(A36=4,断面设计!$C$10,IF(A36=5,断面设计!$C$11,IF(A36=6,断面设计!$C$12,IF(A36=7,断面设计!$C$13,IF(A36=8,断面设计!$C$14,IF(A36=9,断面设计!$C$15,IF(A36=10,断面设计!$C$16))))))))))</f>
        <v>1.58308906639964</v>
      </c>
      <c r="R36" s="115">
        <f>IF(A36=1,断面设计!$F$7,IF(A36=2,断面设计!$F$8,IF(A36=3,断面设计!$F$9,IF(A36=4,断面设计!$F$10,IF(A36=5,断面设计!$F$11,IF(A36=6,断面设计!$F$12,IF(A36=7,断面设计!$F$13,IF(A36=8,断面设计!$F$14,IF(A36=9,断面设计!$F$15,IF(A36=10,断面设计!$F$16))))))))))</f>
        <v>5.3820387901843603</v>
      </c>
      <c r="S36" s="115">
        <f>IF(A36=1,断面设计!$G$7,IF(A36=2,断面设计!$G$8,IF(A36=3,断面设计!$G$9,IF(A36=4,断面设计!$G$10,IF(A36=5,断面设计!$G$11,IF(A36=6,断面设计!$G$12,IF(A36=7,断面设计!$G$13,IF(A36=8,断面设计!$G$14,IF(A36=9,断面设计!$G$15,IF(A36=10,断面设计!$G$16))))))))))</f>
        <v>6.445728347111662</v>
      </c>
      <c r="T36" s="115">
        <f t="shared" si="15"/>
        <v>0.83497760072312976</v>
      </c>
      <c r="U36" s="115">
        <f t="shared" si="16"/>
        <v>0.8360013053489711</v>
      </c>
      <c r="V36" s="125"/>
      <c r="W36" s="116"/>
      <c r="X36" s="116"/>
      <c r="Y36" s="139">
        <v>0</v>
      </c>
      <c r="Z36" s="140">
        <f t="shared" si="26"/>
        <v>0</v>
      </c>
      <c r="AA36" s="143"/>
      <c r="AB36" s="139">
        <f t="shared" si="4"/>
        <v>1.58308906639964</v>
      </c>
      <c r="AC36" s="116">
        <f t="shared" si="5"/>
        <v>0</v>
      </c>
      <c r="AD36" s="116">
        <f t="shared" ca="1" si="18"/>
        <v>2391.4437946186126</v>
      </c>
      <c r="AE36" s="141">
        <f t="shared" si="19"/>
        <v>0</v>
      </c>
      <c r="AF36" s="116" t="str">
        <f t="shared" si="6"/>
        <v xml:space="preserve"> </v>
      </c>
      <c r="AG36" s="116" t="str">
        <f>IF(AE36=0," ",AF36-断面设计!$C$7)</f>
        <v xml:space="preserve"> </v>
      </c>
      <c r="AH36" s="116">
        <f t="shared" ca="1" si="7"/>
        <v>2391.4440569625431</v>
      </c>
      <c r="AI36" s="116">
        <f t="shared" ca="1" si="8"/>
        <v>2389.8609678961434</v>
      </c>
      <c r="AJ36" s="116">
        <f t="shared" ca="1" si="9"/>
        <v>2391.4435322746822</v>
      </c>
      <c r="AK36" s="116">
        <f t="shared" ca="1" si="10"/>
        <v>2389.8604432082825</v>
      </c>
      <c r="AL36" s="116">
        <f t="shared" ca="1" si="11"/>
        <v>2391.4437946186126</v>
      </c>
      <c r="AM36" s="116">
        <f t="shared" ca="1" si="12"/>
        <v>2389.8607055522129</v>
      </c>
      <c r="AN36" s="92"/>
      <c r="AO36" s="92">
        <v>0</v>
      </c>
      <c r="AP36" s="42"/>
      <c r="AQ36" s="42"/>
      <c r="AR36" s="42"/>
      <c r="AS36" s="42"/>
      <c r="AT36" s="42"/>
      <c r="AU36" s="64" t="str">
        <f t="shared" ca="1" si="20"/>
        <v>2187.13099267533,2389.86070555221</v>
      </c>
      <c r="AV36" s="64" t="str">
        <f t="shared" ca="1" si="21"/>
        <v>2187.13099267533,2391.44379461861</v>
      </c>
      <c r="AW36" s="169" t="str">
        <f t="shared" si="22"/>
        <v xml:space="preserve">pl 2187.13099267533,0 2187.13099267533,76 </v>
      </c>
      <c r="AX36" s="161" t="str">
        <f t="shared" ca="1" si="23"/>
        <v>-text 2187.13099267533,48 3.5 90 2389.861</v>
      </c>
      <c r="AY36" s="161" t="str">
        <f t="shared" ca="1" si="24"/>
        <v>-text 2187.13099267533,62.5 3.5 90 2391.444</v>
      </c>
      <c r="AZ36" s="42" t="str">
        <f t="shared" si="25"/>
        <v>-text 2187.13099267533,23.5 3.5 90 马分2+187.13</v>
      </c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/>
      <c r="GD36" s="42"/>
      <c r="GE36" s="42"/>
      <c r="GF36" s="42"/>
      <c r="GG36" s="42"/>
      <c r="GH36" s="42"/>
      <c r="GI36" s="42"/>
      <c r="GJ36" s="42"/>
      <c r="GK36" s="42"/>
      <c r="GL36" s="42"/>
      <c r="GM36" s="42"/>
      <c r="GN36" s="42"/>
      <c r="GO36" s="42"/>
      <c r="GP36" s="42"/>
      <c r="GQ36" s="42"/>
      <c r="GR36" s="42"/>
      <c r="GS36" s="42"/>
      <c r="GT36" s="42"/>
      <c r="GU36" s="42"/>
      <c r="GV36" s="42"/>
      <c r="GW36" s="42"/>
      <c r="GX36" s="42"/>
    </row>
    <row r="37" spans="1:206" s="55" customFormat="1" x14ac:dyDescent="0.25">
      <c r="A37" s="92">
        <v>2</v>
      </c>
      <c r="B37" s="93" t="str">
        <f>线路!B34</f>
        <v>2#倒虹吸出</v>
      </c>
      <c r="C37" s="94">
        <f>线路!E34</f>
        <v>451202.11829999997</v>
      </c>
      <c r="D37" s="94">
        <f>线路!F34</f>
        <v>3046239.6652000002</v>
      </c>
      <c r="E37" s="95">
        <f>线路!G34</f>
        <v>0</v>
      </c>
      <c r="F37" s="95">
        <f>线路!H34</f>
        <v>0</v>
      </c>
      <c r="G37" s="96">
        <f>线路!L34</f>
        <v>2242.8895460963058</v>
      </c>
      <c r="H37" s="96">
        <f>线路!M34</f>
        <v>2242.8895460963058</v>
      </c>
      <c r="I37" s="96">
        <f>线路!N34</f>
        <v>2242.8895460963058</v>
      </c>
      <c r="J37" s="115">
        <f t="shared" si="0"/>
        <v>0</v>
      </c>
      <c r="K37" s="115">
        <f t="shared" si="13"/>
        <v>55.758553420971111</v>
      </c>
      <c r="L37" s="115">
        <f>IF(A37=1,断面设计!$D$7,IF(A37=2,断面设计!$D$8,IF(A37=3,断面设计!$D$9,IF(A37=4,断面设计!$D$10,IF(A37=5,断面设计!$D$11,IF(A37=6,断面设计!$D$12,IF(A37=7,断面设计!$D$13,IF(A37=8,断面设计!$D$14,IF(A37=9,断面设计!$D$15,IF(A37=10,断面设计!$D$16))))))))))</f>
        <v>1.5</v>
      </c>
      <c r="M37" s="115">
        <f t="shared" si="14"/>
        <v>1.2</v>
      </c>
      <c r="N37" s="116">
        <f t="shared" si="1"/>
        <v>1.4999999999999999E-2</v>
      </c>
      <c r="O37" s="115">
        <f>IF(A37=1,断面设计!$J$7,IF(A37=2,断面设计!$J$8,IF(A37=3,断面设计!$J$9,IF(A37=4,断面设计!$J$10,IF(A37=5,断面设计!$J$11,IF(A37=6,断面设计!$J$12,IF(A37=7,断面设计!$J$13,IF(A37=8,断面设计!$J$14,IF(A37=9,断面设计!$J$15,IF(A37=10,断面设计!$J$16))))))))))</f>
        <v>5000</v>
      </c>
      <c r="P37" s="117">
        <f>IF(A37=1,断面设计!$K$7,IF(A37=2,断面设计!$K$8,IF(A37=3,断面设计!$K$9,IF(A37=4,断面设计!$K$10,IF(A37=5,断面设计!$K$11,IF(A37=6,断面设计!$K$12,IF(A37=7,断面设计!$K$13,IF(A37=8,断面设计!$K$14,IF(A37=9,断面设计!$K$15,IF(A37=10,断面设计!$K$16))))))))))</f>
        <v>4.4993914540329225</v>
      </c>
      <c r="Q37" s="116">
        <f>IF(A37=1,断面设计!$C$7,IF(A37=2,断面设计!$C$8,IF(A37=3,断面设计!$C$9,IF(A37=4,断面设计!$C$10,IF(A37=5,断面设计!$C$11,IF(A37=6,断面设计!$C$12,IF(A37=7,断面设计!$C$13,IF(A37=8,断面设计!$C$14,IF(A37=9,断面设计!$C$15,IF(A37=10,断面设计!$C$16))))))))))</f>
        <v>1.58308906639964</v>
      </c>
      <c r="R37" s="115">
        <f>IF(A37=1,断面设计!$F$7,IF(A37=2,断面设计!$F$8,IF(A37=3,断面设计!$F$9,IF(A37=4,断面设计!$F$10,IF(A37=5,断面设计!$F$11,IF(A37=6,断面设计!$F$12,IF(A37=7,断面设计!$F$13,IF(A37=8,断面设计!$F$14,IF(A37=9,断面设计!$F$15,IF(A37=10,断面设计!$F$16))))))))))</f>
        <v>5.3820387901843603</v>
      </c>
      <c r="S37" s="115">
        <f>IF(A37=1,断面设计!$G$7,IF(A37=2,断面设计!$G$8,IF(A37=3,断面设计!$G$9,IF(A37=4,断面设计!$G$10,IF(A37=5,断面设计!$G$11,IF(A37=6,断面设计!$G$12,IF(A37=7,断面设计!$G$13,IF(A37=8,断面设计!$G$14,IF(A37=9,断面设计!$G$15,IF(A37=10,断面设计!$G$16))))))))))</f>
        <v>6.445728347111662</v>
      </c>
      <c r="T37" s="115">
        <f t="shared" si="15"/>
        <v>0.83497760072312976</v>
      </c>
      <c r="U37" s="115">
        <f t="shared" si="16"/>
        <v>0.8360013053489711</v>
      </c>
      <c r="V37" s="125"/>
      <c r="W37" s="116"/>
      <c r="X37" s="116">
        <f ca="1">倒虹管水头损失计算!D120</f>
        <v>0.63886852223508583</v>
      </c>
      <c r="Y37" s="139">
        <v>0</v>
      </c>
      <c r="Z37" s="140">
        <f t="shared" si="26"/>
        <v>0</v>
      </c>
      <c r="AA37" s="143"/>
      <c r="AB37" s="139">
        <f t="shared" si="4"/>
        <v>1.58308906639964</v>
      </c>
      <c r="AC37" s="116">
        <f t="shared" ca="1" si="5"/>
        <v>0.63886852223508583</v>
      </c>
      <c r="AD37" s="116">
        <f t="shared" ca="1" si="18"/>
        <v>2390.8049260963776</v>
      </c>
      <c r="AE37" s="141">
        <f t="shared" si="19"/>
        <v>0</v>
      </c>
      <c r="AF37" s="116" t="str">
        <f t="shared" si="6"/>
        <v xml:space="preserve"> </v>
      </c>
      <c r="AG37" s="116" t="str">
        <f>IF(AE37=0," ",AF37-断面设计!$C$7)</f>
        <v xml:space="preserve"> </v>
      </c>
      <c r="AH37" s="116" t="str">
        <f t="shared" si="7"/>
        <v xml:space="preserve"> </v>
      </c>
      <c r="AI37" s="116" t="str">
        <f t="shared" si="8"/>
        <v xml:space="preserve"> </v>
      </c>
      <c r="AJ37" s="116" t="str">
        <f t="shared" si="9"/>
        <v xml:space="preserve"> </v>
      </c>
      <c r="AK37" s="116" t="str">
        <f t="shared" si="10"/>
        <v xml:space="preserve"> </v>
      </c>
      <c r="AL37" s="116">
        <f t="shared" ca="1" si="11"/>
        <v>2390.8049260963776</v>
      </c>
      <c r="AM37" s="116">
        <f t="shared" ca="1" si="12"/>
        <v>2389.2218370299779</v>
      </c>
      <c r="AN37" s="92"/>
      <c r="AO37" s="92">
        <v>0</v>
      </c>
      <c r="AP37" s="42"/>
      <c r="AQ37" s="42"/>
      <c r="AR37" s="42"/>
      <c r="AS37" s="42"/>
      <c r="AT37" s="42"/>
      <c r="AU37" s="64" t="str">
        <f t="shared" ca="1" si="20"/>
        <v>2242.88954609631,2389.22183702998</v>
      </c>
      <c r="AV37" s="64" t="str">
        <f t="shared" ca="1" si="21"/>
        <v>2242.88954609631,2390.80492609638</v>
      </c>
      <c r="AW37" s="169" t="str">
        <f t="shared" si="22"/>
        <v xml:space="preserve">pl 2242.88954609631,0 2242.88954609631,76 </v>
      </c>
      <c r="AX37" s="161" t="str">
        <f t="shared" ca="1" si="23"/>
        <v>-text 2242.88954609631,48 3.5 90 2389.222</v>
      </c>
      <c r="AY37" s="161" t="str">
        <f t="shared" ca="1" si="24"/>
        <v>-text 2242.88954609631,62.5 3.5 90 2390.805</v>
      </c>
      <c r="AZ37" s="42" t="str">
        <f t="shared" si="25"/>
        <v>-text 2242.88954609631,23.5 3.5 90 马分2+242.89</v>
      </c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/>
      <c r="GD37" s="42"/>
      <c r="GE37" s="42"/>
      <c r="GF37" s="42"/>
      <c r="GG37" s="42"/>
      <c r="GH37" s="42"/>
      <c r="GI37" s="42"/>
      <c r="GJ37" s="42"/>
      <c r="GK37" s="42"/>
      <c r="GL37" s="42"/>
      <c r="GM37" s="42"/>
      <c r="GN37" s="42"/>
      <c r="GO37" s="42"/>
      <c r="GP37" s="42"/>
      <c r="GQ37" s="42"/>
      <c r="GR37" s="42"/>
      <c r="GS37" s="42"/>
      <c r="GT37" s="42"/>
      <c r="GU37" s="42"/>
      <c r="GV37" s="42"/>
      <c r="GW37" s="42"/>
      <c r="GX37" s="42"/>
    </row>
    <row r="38" spans="1:206" s="42" customFormat="1" x14ac:dyDescent="0.25">
      <c r="A38" s="80">
        <v>2</v>
      </c>
      <c r="B38" s="76" t="str">
        <f>线路!B35</f>
        <v>IP28</v>
      </c>
      <c r="C38" s="81">
        <f>线路!E35</f>
        <v>451135.89640000003</v>
      </c>
      <c r="D38" s="81">
        <f>线路!F35</f>
        <v>3046153.7203000002</v>
      </c>
      <c r="E38" s="85">
        <f>线路!G35</f>
        <v>13</v>
      </c>
      <c r="F38" s="85">
        <f>线路!H35</f>
        <v>35.598999999999997</v>
      </c>
      <c r="G38" s="86">
        <f>线路!L35</f>
        <v>2347.2140576820011</v>
      </c>
      <c r="H38" s="86">
        <f>线路!M35</f>
        <v>2351.2526361247146</v>
      </c>
      <c r="I38" s="86">
        <f>线路!N35</f>
        <v>2355.2912145674281</v>
      </c>
      <c r="J38" s="83">
        <f t="shared" si="0"/>
        <v>8.0771568854270299</v>
      </c>
      <c r="K38" s="83">
        <f t="shared" si="13"/>
        <v>108.36309002840881</v>
      </c>
      <c r="L38" s="83">
        <f>IF(A38=1,断面设计!$D$7,IF(A38=2,断面设计!$D$8,IF(A38=3,断面设计!$D$9,IF(A38=4,断面设计!$D$10,IF(A38=5,断面设计!$D$11,IF(A38=6,断面设计!$D$12,IF(A38=7,断面设计!$D$13,IF(A38=8,断面设计!$D$14,IF(A38=9,断面设计!$D$15,IF(A38=10,断面设计!$D$16))))))))))</f>
        <v>1.5</v>
      </c>
      <c r="M38" s="83">
        <f t="shared" si="14"/>
        <v>1.2</v>
      </c>
      <c r="N38" s="110">
        <f t="shared" si="1"/>
        <v>1.4999999999999999E-2</v>
      </c>
      <c r="O38" s="83">
        <f>IF(A38=1,断面设计!$J$7,IF(A38=2,断面设计!$J$8,IF(A38=3,断面设计!$J$9,IF(A38=4,断面设计!$J$10,IF(A38=5,断面设计!$J$11,IF(A38=6,断面设计!$J$12,IF(A38=7,断面设计!$J$13,IF(A38=8,断面设计!$J$14,IF(A38=9,断面设计!$J$15,IF(A38=10,断面设计!$J$16))))))))))</f>
        <v>5000</v>
      </c>
      <c r="P38" s="111">
        <f>IF(A38=1,断面设计!$K$7,IF(A38=2,断面设计!$K$8,IF(A38=3,断面设计!$K$9,IF(A38=4,断面设计!$K$10,IF(A38=5,断面设计!$K$11,IF(A38=6,断面设计!$K$12,IF(A38=7,断面设计!$K$13,IF(A38=8,断面设计!$K$14,IF(A38=9,断面设计!$K$15,IF(A38=10,断面设计!$K$16))))))))))</f>
        <v>4.4993914540329225</v>
      </c>
      <c r="Q38" s="110">
        <f>IF(A38=1,断面设计!$C$7,IF(A38=2,断面设计!$C$8,IF(A38=3,断面设计!$C$9,IF(A38=4,断面设计!$C$10,IF(A38=5,断面设计!$C$11,IF(A38=6,断面设计!$C$12,IF(A38=7,断面设计!$C$13,IF(A38=8,断面设计!$C$14,IF(A38=9,断面设计!$C$15,IF(A38=10,断面设计!$C$16))))))))))</f>
        <v>1.58308906639964</v>
      </c>
      <c r="R38" s="83">
        <f>IF(A38=1,断面设计!$F$7,IF(A38=2,断面设计!$F$8,IF(A38=3,断面设计!$F$9,IF(A38=4,断面设计!$F$10,IF(A38=5,断面设计!$F$11,IF(A38=6,断面设计!$F$12,IF(A38=7,断面设计!$F$13,IF(A38=8,断面设计!$F$14,IF(A38=9,断面设计!$F$15,IF(A38=10,断面设计!$F$16))))))))))</f>
        <v>5.3820387901843603</v>
      </c>
      <c r="S38" s="83">
        <f>IF(A38=1,断面设计!$G$7,IF(A38=2,断面设计!$G$8,IF(A38=3,断面设计!$G$9,IF(A38=4,断面设计!$G$10,IF(A38=5,断面设计!$G$11,IF(A38=6,断面设计!$G$12,IF(A38=7,断面设计!$G$13,IF(A38=8,断面设计!$G$14,IF(A38=9,断面设计!$G$15,IF(A38=10,断面设计!$G$16))))))))))</f>
        <v>6.445728347111662</v>
      </c>
      <c r="T38" s="83">
        <f t="shared" si="15"/>
        <v>0.83497760072312976</v>
      </c>
      <c r="U38" s="83">
        <f t="shared" si="16"/>
        <v>0.8360013053489711</v>
      </c>
      <c r="V38" s="123">
        <f t="shared" si="17"/>
        <v>8.5269818027171047E-4</v>
      </c>
      <c r="W38" s="110"/>
      <c r="X38" s="110">
        <f>IF(AN38=0,IF(AN37=2,(H38-H37-AE37)/O38,(H38-H37)/O38),IF(AN38=1,IF(AN37=2,IF(AE38&lt;9,(H38-H37-AE38-AE37)/断面设计!$J$7,(H38-H37-AE38-AE37)/断面设计!$J$7),(H38-H37-AE38)/O37),(H38-H37)/O38))</f>
        <v>2.1672618005681762E-2</v>
      </c>
      <c r="Y38" s="133">
        <v>0</v>
      </c>
      <c r="Z38" s="134">
        <f t="shared" si="26"/>
        <v>0</v>
      </c>
      <c r="AA38" s="142"/>
      <c r="AB38" s="133">
        <f t="shared" si="4"/>
        <v>1.58308906639964</v>
      </c>
      <c r="AC38" s="110">
        <f t="shared" si="5"/>
        <v>2.2525316185953471E-2</v>
      </c>
      <c r="AD38" s="110">
        <f t="shared" ca="1" si="18"/>
        <v>2390.7824007801914</v>
      </c>
      <c r="AE38" s="82">
        <f t="shared" si="19"/>
        <v>0</v>
      </c>
      <c r="AF38" s="110" t="str">
        <f t="shared" si="6"/>
        <v xml:space="preserve"> </v>
      </c>
      <c r="AG38" s="110" t="str">
        <f>IF(AE38=0," ",AF38-断面设计!$C$7)</f>
        <v xml:space="preserve"> </v>
      </c>
      <c r="AH38" s="110">
        <f t="shared" ca="1" si="7"/>
        <v>2390.7840611940601</v>
      </c>
      <c r="AI38" s="110">
        <f t="shared" ca="1" si="8"/>
        <v>2389.2009721276604</v>
      </c>
      <c r="AJ38" s="110">
        <f t="shared" ca="1" si="9"/>
        <v>2390.7815930645029</v>
      </c>
      <c r="AK38" s="110">
        <f t="shared" ca="1" si="10"/>
        <v>2389.1985039981032</v>
      </c>
      <c r="AL38" s="110">
        <f t="shared" ca="1" si="11"/>
        <v>2390.7828271292815</v>
      </c>
      <c r="AM38" s="110">
        <f t="shared" ca="1" si="12"/>
        <v>2389.1997380628818</v>
      </c>
      <c r="AN38" s="80"/>
      <c r="AO38" s="80">
        <v>0</v>
      </c>
      <c r="AU38" s="64" t="str">
        <f t="shared" ca="1" si="20"/>
        <v>2351.25263612471,2389.19973806288</v>
      </c>
      <c r="AV38" s="64" t="str">
        <f t="shared" ca="1" si="21"/>
        <v>2351.25263612471,2390.78282712928</v>
      </c>
      <c r="AW38" s="169" t="str">
        <f t="shared" si="22"/>
        <v xml:space="preserve">pl 2351.25263612471,0 2351.25263612471,76 </v>
      </c>
      <c r="AX38" s="161" t="str">
        <f t="shared" ca="1" si="23"/>
        <v>-text 2351.25263612471,48 3.5 90 2389.200</v>
      </c>
      <c r="AY38" s="161" t="str">
        <f t="shared" ca="1" si="24"/>
        <v>-text 2351.25263612471,62.5 3.5 90 2390.783</v>
      </c>
      <c r="AZ38" s="42" t="str">
        <f t="shared" si="25"/>
        <v>-text 2351.25263612471,23.5 3.5 90 马分2+351.25</v>
      </c>
    </row>
    <row r="39" spans="1:206" s="55" customFormat="1" x14ac:dyDescent="0.25">
      <c r="A39" s="92">
        <v>2</v>
      </c>
      <c r="B39" s="93" t="str">
        <f>线路!B36</f>
        <v>3#倒虹吸进</v>
      </c>
      <c r="C39" s="94">
        <f>线路!E36</f>
        <v>451135.64500000002</v>
      </c>
      <c r="D39" s="94">
        <f>线路!F36</f>
        <v>3046146.5765</v>
      </c>
      <c r="E39" s="95">
        <f>线路!G36</f>
        <v>0</v>
      </c>
      <c r="F39" s="95">
        <f>线路!H36</f>
        <v>0</v>
      </c>
      <c r="G39" s="96">
        <f>线路!L36</f>
        <v>2358.2657185107942</v>
      </c>
      <c r="H39" s="96">
        <f>线路!M36</f>
        <v>2358.2657185107942</v>
      </c>
      <c r="I39" s="96">
        <f>线路!N36</f>
        <v>2358.2657185107942</v>
      </c>
      <c r="J39" s="115">
        <f t="shared" si="0"/>
        <v>0</v>
      </c>
      <c r="K39" s="115">
        <f t="shared" si="13"/>
        <v>7.0130823860795317</v>
      </c>
      <c r="L39" s="115">
        <f>IF(A39=1,断面设计!$D$7,IF(A39=2,断面设计!$D$8,IF(A39=3,断面设计!$D$9,IF(A39=4,断面设计!$D$10,IF(A39=5,断面设计!$D$11,IF(A39=6,断面设计!$D$12,IF(A39=7,断面设计!$D$13,IF(A39=8,断面设计!$D$14,IF(A39=9,断面设计!$D$15,IF(A39=10,断面设计!$D$16))))))))))</f>
        <v>1.5</v>
      </c>
      <c r="M39" s="115">
        <f t="shared" si="14"/>
        <v>1.2</v>
      </c>
      <c r="N39" s="116">
        <f t="shared" si="1"/>
        <v>1.4999999999999999E-2</v>
      </c>
      <c r="O39" s="115">
        <f>IF(A39=1,断面设计!$J$7,IF(A39=2,断面设计!$J$8,IF(A39=3,断面设计!$J$9,IF(A39=4,断面设计!$J$10,IF(A39=5,断面设计!$J$11,IF(A39=6,断面设计!$J$12,IF(A39=7,断面设计!$J$13,IF(A39=8,断面设计!$J$14,IF(A39=9,断面设计!$J$15,IF(A39=10,断面设计!$J$16))))))))))</f>
        <v>5000</v>
      </c>
      <c r="P39" s="117">
        <f>IF(A39=1,断面设计!$K$7,IF(A39=2,断面设计!$K$8,IF(A39=3,断面设计!$K$9,IF(A39=4,断面设计!$K$10,IF(A39=5,断面设计!$K$11,IF(A39=6,断面设计!$K$12,IF(A39=7,断面设计!$K$13,IF(A39=8,断面设计!$K$14,IF(A39=9,断面设计!$K$15,IF(A39=10,断面设计!$K$16))))))))))</f>
        <v>4.4993914540329225</v>
      </c>
      <c r="Q39" s="116">
        <f>IF(A39=1,断面设计!$C$7,IF(A39=2,断面设计!$C$8,IF(A39=3,断面设计!$C$9,IF(A39=4,断面设计!$C$10,IF(A39=5,断面设计!$C$11,IF(A39=6,断面设计!$C$12,IF(A39=7,断面设计!$C$13,IF(A39=8,断面设计!$C$14,IF(A39=9,断面设计!$C$15,IF(A39=10,断面设计!$C$16))))))))))</f>
        <v>1.58308906639964</v>
      </c>
      <c r="R39" s="115">
        <f>IF(A39=1,断面设计!$F$7,IF(A39=2,断面设计!$F$8,IF(A39=3,断面设计!$F$9,IF(A39=4,断面设计!$F$10,IF(A39=5,断面设计!$F$11,IF(A39=6,断面设计!$F$12,IF(A39=7,断面设计!$F$13,IF(A39=8,断面设计!$F$14,IF(A39=9,断面设计!$F$15,IF(A39=10,断面设计!$F$16))))))))))</f>
        <v>5.3820387901843603</v>
      </c>
      <c r="S39" s="115">
        <f>IF(A39=1,断面设计!$G$7,IF(A39=2,断面设计!$G$8,IF(A39=3,断面设计!$G$9,IF(A39=4,断面设计!$G$10,IF(A39=5,断面设计!$G$11,IF(A39=6,断面设计!$G$12,IF(A39=7,断面设计!$G$13,IF(A39=8,断面设计!$G$14,IF(A39=9,断面设计!$G$15,IF(A39=10,断面设计!$G$16))))))))))</f>
        <v>6.445728347111662</v>
      </c>
      <c r="T39" s="115">
        <f t="shared" si="15"/>
        <v>0.83497760072312976</v>
      </c>
      <c r="U39" s="115">
        <f t="shared" si="16"/>
        <v>0.8360013053489711</v>
      </c>
      <c r="V39" s="125"/>
      <c r="W39" s="116"/>
      <c r="X39" s="116"/>
      <c r="Y39" s="139">
        <v>0</v>
      </c>
      <c r="Z39" s="140">
        <f t="shared" si="26"/>
        <v>0</v>
      </c>
      <c r="AA39" s="143"/>
      <c r="AB39" s="139">
        <f t="shared" si="4"/>
        <v>1.58308906639964</v>
      </c>
      <c r="AC39" s="116">
        <f t="shared" si="5"/>
        <v>0</v>
      </c>
      <c r="AD39" s="116">
        <f t="shared" ca="1" si="18"/>
        <v>2390.7824007801914</v>
      </c>
      <c r="AE39" s="141">
        <f t="shared" si="19"/>
        <v>0</v>
      </c>
      <c r="AF39" s="116" t="str">
        <f t="shared" si="6"/>
        <v xml:space="preserve"> </v>
      </c>
      <c r="AG39" s="116" t="str">
        <f>IF(AE39=0," ",AF39-断面设计!$C$7)</f>
        <v xml:space="preserve"> </v>
      </c>
      <c r="AH39" s="116" t="str">
        <f t="shared" si="7"/>
        <v xml:space="preserve"> </v>
      </c>
      <c r="AI39" s="116" t="str">
        <f t="shared" si="8"/>
        <v xml:space="preserve"> </v>
      </c>
      <c r="AJ39" s="116" t="str">
        <f t="shared" si="9"/>
        <v xml:space="preserve"> </v>
      </c>
      <c r="AK39" s="116" t="str">
        <f t="shared" si="10"/>
        <v xml:space="preserve"> </v>
      </c>
      <c r="AL39" s="116">
        <f t="shared" ca="1" si="11"/>
        <v>2390.7824007801914</v>
      </c>
      <c r="AM39" s="116">
        <f t="shared" ca="1" si="12"/>
        <v>2389.1993117137918</v>
      </c>
      <c r="AN39" s="92"/>
      <c r="AO39" s="92">
        <v>0</v>
      </c>
      <c r="AP39" s="42"/>
      <c r="AQ39" s="42"/>
      <c r="AR39" s="42"/>
      <c r="AS39" s="42"/>
      <c r="AT39" s="42"/>
      <c r="AU39" s="64" t="str">
        <f t="shared" ca="1" si="20"/>
        <v>2358.26571851079,2389.19931171379</v>
      </c>
      <c r="AV39" s="64" t="str">
        <f t="shared" ca="1" si="21"/>
        <v>2358.26571851079,2390.78240078019</v>
      </c>
      <c r="AW39" s="169" t="str">
        <f t="shared" si="22"/>
        <v xml:space="preserve">pl 2358.26571851079,0 2358.26571851079,76 </v>
      </c>
      <c r="AX39" s="161" t="str">
        <f t="shared" ca="1" si="23"/>
        <v>-text 2358.26571851079,48 3.5 90 2389.199</v>
      </c>
      <c r="AY39" s="161" t="str">
        <f t="shared" ca="1" si="24"/>
        <v>-text 2358.26571851079,62.5 3.5 90 2390.782</v>
      </c>
      <c r="AZ39" s="42" t="str">
        <f t="shared" si="25"/>
        <v>-text 2358.26571851079,23.5 3.5 90 马分2+358.27</v>
      </c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  <c r="CW39" s="42"/>
      <c r="CX39" s="42"/>
      <c r="CY39" s="42"/>
      <c r="CZ39" s="42"/>
      <c r="DA39" s="42"/>
      <c r="DB39" s="42"/>
      <c r="DC39" s="42"/>
      <c r="DD39" s="42"/>
      <c r="DE39" s="42"/>
      <c r="DF39" s="42"/>
      <c r="DG39" s="42"/>
      <c r="DH39" s="42"/>
      <c r="DI39" s="42"/>
      <c r="DJ39" s="42"/>
      <c r="DK39" s="42"/>
      <c r="DL39" s="42"/>
      <c r="DM39" s="42"/>
      <c r="DN39" s="42"/>
      <c r="DO39" s="42"/>
      <c r="DP39" s="42"/>
      <c r="DQ39" s="42"/>
      <c r="DR39" s="42"/>
      <c r="DS39" s="42"/>
      <c r="DT39" s="42"/>
      <c r="DU39" s="42"/>
      <c r="DV39" s="42"/>
      <c r="DW39" s="42"/>
      <c r="DX39" s="42"/>
      <c r="DY39" s="42"/>
      <c r="DZ39" s="42"/>
      <c r="EA39" s="42"/>
      <c r="EB39" s="42"/>
      <c r="EC39" s="42"/>
      <c r="ED39" s="42"/>
      <c r="EE39" s="42"/>
      <c r="EF39" s="42"/>
      <c r="EG39" s="42"/>
      <c r="EH39" s="42"/>
      <c r="EI39" s="42"/>
      <c r="EJ39" s="42"/>
      <c r="EK39" s="42"/>
      <c r="EL39" s="42"/>
      <c r="EM39" s="42"/>
      <c r="EN39" s="42"/>
      <c r="EO39" s="42"/>
      <c r="EP39" s="42"/>
      <c r="EQ39" s="42"/>
      <c r="ER39" s="42"/>
      <c r="ES39" s="42"/>
      <c r="ET39" s="42"/>
      <c r="EU39" s="42"/>
      <c r="EV39" s="42"/>
      <c r="EW39" s="42"/>
      <c r="EX39" s="42"/>
      <c r="EY39" s="42"/>
      <c r="EZ39" s="42"/>
      <c r="FA39" s="42"/>
      <c r="FB39" s="42"/>
      <c r="FC39" s="42"/>
      <c r="FD39" s="42"/>
      <c r="FE39" s="42"/>
      <c r="FF39" s="42"/>
      <c r="FG39" s="42"/>
      <c r="FH39" s="42"/>
      <c r="FI39" s="42"/>
      <c r="FJ39" s="42"/>
      <c r="FK39" s="42"/>
      <c r="FL39" s="42"/>
      <c r="FM39" s="42"/>
      <c r="FN39" s="42"/>
      <c r="FO39" s="42"/>
      <c r="FP39" s="42"/>
      <c r="FQ39" s="42"/>
      <c r="FR39" s="42"/>
      <c r="FS39" s="42"/>
      <c r="FT39" s="42"/>
      <c r="FU39" s="42"/>
      <c r="FV39" s="42"/>
      <c r="FW39" s="42"/>
      <c r="FX39" s="42"/>
      <c r="FY39" s="42"/>
      <c r="FZ39" s="42"/>
      <c r="GA39" s="42"/>
      <c r="GB39" s="42"/>
      <c r="GC39" s="42"/>
      <c r="GD39" s="42"/>
      <c r="GE39" s="42"/>
      <c r="GF39" s="42"/>
      <c r="GG39" s="42"/>
      <c r="GH39" s="42"/>
      <c r="GI39" s="42"/>
      <c r="GJ39" s="42"/>
      <c r="GK39" s="42"/>
      <c r="GL39" s="42"/>
      <c r="GM39" s="42"/>
      <c r="GN39" s="42"/>
      <c r="GO39" s="42"/>
      <c r="GP39" s="42"/>
      <c r="GQ39" s="42"/>
      <c r="GR39" s="42"/>
      <c r="GS39" s="42"/>
      <c r="GT39" s="42"/>
      <c r="GU39" s="42"/>
      <c r="GV39" s="42"/>
      <c r="GW39" s="42"/>
      <c r="GX39" s="42"/>
    </row>
    <row r="40" spans="1:206" s="55" customFormat="1" x14ac:dyDescent="0.25">
      <c r="A40" s="92">
        <v>2</v>
      </c>
      <c r="B40" s="93" t="str">
        <f>线路!B37</f>
        <v>IP29</v>
      </c>
      <c r="C40" s="94">
        <f>线路!E37</f>
        <v>451131.68079999997</v>
      </c>
      <c r="D40" s="94">
        <f>线路!F37</f>
        <v>3046033.906</v>
      </c>
      <c r="E40" s="95">
        <f>线路!G37</f>
        <v>6</v>
      </c>
      <c r="F40" s="95">
        <f>线路!H37</f>
        <v>45.685000000000002</v>
      </c>
      <c r="G40" s="96">
        <f>线路!L37</f>
        <v>2468.4785287500813</v>
      </c>
      <c r="H40" s="96">
        <f>线路!M37</f>
        <v>2470.8705897564023</v>
      </c>
      <c r="I40" s="96">
        <f>线路!N37</f>
        <v>2473.2626507627228</v>
      </c>
      <c r="J40" s="115">
        <f t="shared" si="0"/>
        <v>4.7841220126415465</v>
      </c>
      <c r="K40" s="115">
        <f t="shared" si="13"/>
        <v>112.60487124560814</v>
      </c>
      <c r="L40" s="115">
        <f>IF(A40=1,断面设计!$D$7,IF(A40=2,断面设计!$D$8,IF(A40=3,断面设计!$D$9,IF(A40=4,断面设计!$D$10,IF(A40=5,断面设计!$D$11,IF(A40=6,断面设计!$D$12,IF(A40=7,断面设计!$D$13,IF(A40=8,断面设计!$D$14,IF(A40=9,断面设计!$D$15,IF(A40=10,断面设计!$D$16))))))))))</f>
        <v>1.5</v>
      </c>
      <c r="M40" s="115">
        <f t="shared" si="14"/>
        <v>1.2</v>
      </c>
      <c r="N40" s="116">
        <f t="shared" si="1"/>
        <v>1.4999999999999999E-2</v>
      </c>
      <c r="O40" s="115">
        <f>IF(A40=1,断面设计!$J$7,IF(A40=2,断面设计!$J$8,IF(A40=3,断面设计!$J$9,IF(A40=4,断面设计!$J$10,IF(A40=5,断面设计!$J$11,IF(A40=6,断面设计!$J$12,IF(A40=7,断面设计!$J$13,IF(A40=8,断面设计!$J$14,IF(A40=9,断面设计!$J$15,IF(A40=10,断面设计!$J$16))))))))))</f>
        <v>5000</v>
      </c>
      <c r="P40" s="117">
        <f>IF(A40=1,断面设计!$K$7,IF(A40=2,断面设计!$K$8,IF(A40=3,断面设计!$K$9,IF(A40=4,断面设计!$K$10,IF(A40=5,断面设计!$K$11,IF(A40=6,断面设计!$K$12,IF(A40=7,断面设计!$K$13,IF(A40=8,断面设计!$K$14,IF(A40=9,断面设计!$K$15,IF(A40=10,断面设计!$K$16))))))))))</f>
        <v>4.4993914540329225</v>
      </c>
      <c r="Q40" s="116">
        <f>IF(A40=1,断面设计!$C$7,IF(A40=2,断面设计!$C$8,IF(A40=3,断面设计!$C$9,IF(A40=4,断面设计!$C$10,IF(A40=5,断面设计!$C$11,IF(A40=6,断面设计!$C$12,IF(A40=7,断面设计!$C$13,IF(A40=8,断面设计!$C$14,IF(A40=9,断面设计!$C$15,IF(A40=10,断面设计!$C$16))))))))))</f>
        <v>1.58308906639964</v>
      </c>
      <c r="R40" s="115">
        <f>IF(A40=1,断面设计!$F$7,IF(A40=2,断面设计!$F$8,IF(A40=3,断面设计!$F$9,IF(A40=4,断面设计!$F$10,IF(A40=5,断面设计!$F$11,IF(A40=6,断面设计!$F$12,IF(A40=7,断面设计!$F$13,IF(A40=8,断面设计!$F$14,IF(A40=9,断面设计!$F$15,IF(A40=10,断面设计!$F$16))))))))))</f>
        <v>5.3820387901843603</v>
      </c>
      <c r="S40" s="115">
        <f>IF(A40=1,断面设计!$G$7,IF(A40=2,断面设计!$G$8,IF(A40=3,断面设计!$G$9,IF(A40=4,断面设计!$G$10,IF(A40=5,断面设计!$G$11,IF(A40=6,断面设计!$G$12,IF(A40=7,断面设计!$G$13,IF(A40=8,断面设计!$G$14,IF(A40=9,断面设计!$G$15,IF(A40=10,断面设计!$G$16))))))))))</f>
        <v>6.445728347111662</v>
      </c>
      <c r="T40" s="115">
        <f t="shared" si="15"/>
        <v>0.83497760072312976</v>
      </c>
      <c r="U40" s="115">
        <f t="shared" si="16"/>
        <v>0.8360013053489711</v>
      </c>
      <c r="V40" s="125"/>
      <c r="W40" s="116"/>
      <c r="X40" s="116"/>
      <c r="Y40" s="139">
        <v>0</v>
      </c>
      <c r="Z40" s="140">
        <f t="shared" si="26"/>
        <v>0</v>
      </c>
      <c r="AA40" s="143"/>
      <c r="AB40" s="139">
        <f t="shared" si="4"/>
        <v>1.58308906639964</v>
      </c>
      <c r="AC40" s="116">
        <f t="shared" si="5"/>
        <v>0</v>
      </c>
      <c r="AD40" s="116">
        <f t="shared" ca="1" si="18"/>
        <v>2390.7824007801914</v>
      </c>
      <c r="AE40" s="141">
        <f t="shared" si="19"/>
        <v>0</v>
      </c>
      <c r="AF40" s="116" t="str">
        <f t="shared" si="6"/>
        <v xml:space="preserve"> </v>
      </c>
      <c r="AG40" s="116" t="str">
        <f>IF(AE40=0," ",AF40-断面设计!$C$7)</f>
        <v xml:space="preserve"> </v>
      </c>
      <c r="AH40" s="116">
        <f t="shared" ca="1" si="7"/>
        <v>2390.7828791923926</v>
      </c>
      <c r="AI40" s="116">
        <f t="shared" ca="1" si="8"/>
        <v>2389.1997901259929</v>
      </c>
      <c r="AJ40" s="116">
        <f t="shared" ca="1" si="9"/>
        <v>2390.7819223679903</v>
      </c>
      <c r="AK40" s="116">
        <f t="shared" ca="1" si="10"/>
        <v>2389.1988333015906</v>
      </c>
      <c r="AL40" s="116">
        <f t="shared" ca="1" si="11"/>
        <v>2390.7824007801914</v>
      </c>
      <c r="AM40" s="116">
        <f t="shared" ca="1" si="12"/>
        <v>2389.1993117137918</v>
      </c>
      <c r="AN40" s="92"/>
      <c r="AO40" s="92">
        <v>0</v>
      </c>
      <c r="AP40" s="42"/>
      <c r="AQ40" s="42"/>
      <c r="AR40" s="42"/>
      <c r="AS40" s="42"/>
      <c r="AT40" s="42"/>
      <c r="AU40" s="64" t="str">
        <f t="shared" ca="1" si="20"/>
        <v>2470.8705897564,2389.19931171379</v>
      </c>
      <c r="AV40" s="64" t="str">
        <f t="shared" ca="1" si="21"/>
        <v>2470.8705897564,2390.78240078019</v>
      </c>
      <c r="AW40" s="169" t="str">
        <f t="shared" si="22"/>
        <v xml:space="preserve">pl 2470.8705897564,0 2470.8705897564,76 </v>
      </c>
      <c r="AX40" s="161" t="str">
        <f t="shared" ca="1" si="23"/>
        <v>-text 2470.8705897564,48 3.5 90 2389.199</v>
      </c>
      <c r="AY40" s="161" t="str">
        <f t="shared" ca="1" si="24"/>
        <v>-text 2470.8705897564,62.5 3.5 90 2390.782</v>
      </c>
      <c r="AZ40" s="42" t="str">
        <f t="shared" si="25"/>
        <v>-text 2470.8705897564,23.5 3.5 90 马分2+470.87</v>
      </c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  <c r="CW40" s="42"/>
      <c r="CX40" s="42"/>
      <c r="CY40" s="42"/>
      <c r="CZ40" s="42"/>
      <c r="DA40" s="42"/>
      <c r="DB40" s="42"/>
      <c r="DC40" s="42"/>
      <c r="DD40" s="42"/>
      <c r="DE40" s="42"/>
      <c r="DF40" s="42"/>
      <c r="DG40" s="42"/>
      <c r="DH40" s="42"/>
      <c r="DI40" s="42"/>
      <c r="DJ40" s="42"/>
      <c r="DK40" s="42"/>
      <c r="DL40" s="42"/>
      <c r="DM40" s="42"/>
      <c r="DN40" s="42"/>
      <c r="DO40" s="42"/>
      <c r="DP40" s="42"/>
      <c r="DQ40" s="42"/>
      <c r="DR40" s="42"/>
      <c r="DS40" s="42"/>
      <c r="DT40" s="42"/>
      <c r="DU40" s="42"/>
      <c r="DV40" s="42"/>
      <c r="DW40" s="42"/>
      <c r="DX40" s="42"/>
      <c r="DY40" s="42"/>
      <c r="DZ40" s="42"/>
      <c r="EA40" s="42"/>
      <c r="EB40" s="42"/>
      <c r="EC40" s="42"/>
      <c r="ED40" s="42"/>
      <c r="EE40" s="42"/>
      <c r="EF40" s="42"/>
      <c r="EG40" s="42"/>
      <c r="EH40" s="42"/>
      <c r="EI40" s="42"/>
      <c r="EJ40" s="42"/>
      <c r="EK40" s="42"/>
      <c r="EL40" s="42"/>
      <c r="EM40" s="42"/>
      <c r="EN40" s="42"/>
      <c r="EO40" s="42"/>
      <c r="EP40" s="42"/>
      <c r="EQ40" s="42"/>
      <c r="ER40" s="42"/>
      <c r="ES40" s="42"/>
      <c r="ET40" s="42"/>
      <c r="EU40" s="42"/>
      <c r="EV40" s="42"/>
      <c r="EW40" s="42"/>
      <c r="EX40" s="42"/>
      <c r="EY40" s="42"/>
      <c r="EZ40" s="42"/>
      <c r="FA40" s="42"/>
      <c r="FB40" s="42"/>
      <c r="FC40" s="42"/>
      <c r="FD40" s="42"/>
      <c r="FE40" s="42"/>
      <c r="FF40" s="42"/>
      <c r="FG40" s="42"/>
      <c r="FH40" s="42"/>
      <c r="FI40" s="42"/>
      <c r="FJ40" s="42"/>
      <c r="FK40" s="42"/>
      <c r="FL40" s="42"/>
      <c r="FM40" s="42"/>
      <c r="FN40" s="42"/>
      <c r="FO40" s="42"/>
      <c r="FP40" s="42"/>
      <c r="FQ40" s="42"/>
      <c r="FR40" s="42"/>
      <c r="FS40" s="42"/>
      <c r="FT40" s="42"/>
      <c r="FU40" s="42"/>
      <c r="FV40" s="42"/>
      <c r="FW40" s="42"/>
      <c r="FX40" s="42"/>
      <c r="FY40" s="42"/>
      <c r="FZ40" s="42"/>
      <c r="GA40" s="42"/>
      <c r="GB40" s="42"/>
      <c r="GC40" s="42"/>
      <c r="GD40" s="42"/>
      <c r="GE40" s="42"/>
      <c r="GF40" s="42"/>
      <c r="GG40" s="42"/>
      <c r="GH40" s="42"/>
      <c r="GI40" s="42"/>
      <c r="GJ40" s="42"/>
      <c r="GK40" s="42"/>
      <c r="GL40" s="42"/>
      <c r="GM40" s="42"/>
      <c r="GN40" s="42"/>
      <c r="GO40" s="42"/>
      <c r="GP40" s="42"/>
      <c r="GQ40" s="42"/>
      <c r="GR40" s="42"/>
      <c r="GS40" s="42"/>
      <c r="GT40" s="42"/>
      <c r="GU40" s="42"/>
      <c r="GV40" s="42"/>
      <c r="GW40" s="42"/>
      <c r="GX40" s="42"/>
    </row>
    <row r="41" spans="1:206" s="55" customFormat="1" x14ac:dyDescent="0.25">
      <c r="A41" s="92">
        <v>2</v>
      </c>
      <c r="B41" s="93" t="str">
        <f>线路!B38</f>
        <v>3#倒虹吸出</v>
      </c>
      <c r="C41" s="94">
        <f>线路!E38</f>
        <v>451113.66350000002</v>
      </c>
      <c r="D41" s="94">
        <f>线路!F38</f>
        <v>3046017.5114000002</v>
      </c>
      <c r="E41" s="95">
        <f>线路!G38</f>
        <v>0</v>
      </c>
      <c r="F41" s="95">
        <f>线路!H38</f>
        <v>0</v>
      </c>
      <c r="G41" s="96">
        <f>线路!L38</f>
        <v>2495.0951706264086</v>
      </c>
      <c r="H41" s="96">
        <f>线路!M38</f>
        <v>2495.0951706264086</v>
      </c>
      <c r="I41" s="96">
        <f>线路!N38</f>
        <v>2495.0951706264086</v>
      </c>
      <c r="J41" s="115">
        <f t="shared" si="0"/>
        <v>0</v>
      </c>
      <c r="K41" s="115">
        <f t="shared" si="13"/>
        <v>24.224580870006321</v>
      </c>
      <c r="L41" s="115">
        <f>IF(A41=1,断面设计!$D$7,IF(A41=2,断面设计!$D$8,IF(A41=3,断面设计!$D$9,IF(A41=4,断面设计!$D$10,IF(A41=5,断面设计!$D$11,IF(A41=6,断面设计!$D$12,IF(A41=7,断面设计!$D$13,IF(A41=8,断面设计!$D$14,IF(A41=9,断面设计!$D$15,IF(A41=10,断面设计!$D$16))))))))))</f>
        <v>1.5</v>
      </c>
      <c r="M41" s="115">
        <f t="shared" si="14"/>
        <v>1.2</v>
      </c>
      <c r="N41" s="116">
        <f t="shared" si="1"/>
        <v>1.4999999999999999E-2</v>
      </c>
      <c r="O41" s="115">
        <f>IF(A41=1,断面设计!$J$7,IF(A41=2,断面设计!$J$8,IF(A41=3,断面设计!$J$9,IF(A41=4,断面设计!$J$10,IF(A41=5,断面设计!$J$11,IF(A41=6,断面设计!$J$12,IF(A41=7,断面设计!$J$13,IF(A41=8,断面设计!$J$14,IF(A41=9,断面设计!$J$15,IF(A41=10,断面设计!$J$16))))))))))</f>
        <v>5000</v>
      </c>
      <c r="P41" s="117">
        <f>IF(A41=1,断面设计!$K$7,IF(A41=2,断面设计!$K$8,IF(A41=3,断面设计!$K$9,IF(A41=4,断面设计!$K$10,IF(A41=5,断面设计!$K$11,IF(A41=6,断面设计!$K$12,IF(A41=7,断面设计!$K$13,IF(A41=8,断面设计!$K$14,IF(A41=9,断面设计!$K$15,IF(A41=10,断面设计!$K$16))))))))))</f>
        <v>4.4993914540329225</v>
      </c>
      <c r="Q41" s="116">
        <f>IF(A41=1,断面设计!$C$7,IF(A41=2,断面设计!$C$8,IF(A41=3,断面设计!$C$9,IF(A41=4,断面设计!$C$10,IF(A41=5,断面设计!$C$11,IF(A41=6,断面设计!$C$12,IF(A41=7,断面设计!$C$13,IF(A41=8,断面设计!$C$14,IF(A41=9,断面设计!$C$15,IF(A41=10,断面设计!$C$16))))))))))</f>
        <v>1.58308906639964</v>
      </c>
      <c r="R41" s="115">
        <f>IF(A41=1,断面设计!$F$7,IF(A41=2,断面设计!$F$8,IF(A41=3,断面设计!$F$9,IF(A41=4,断面设计!$F$10,IF(A41=5,断面设计!$F$11,IF(A41=6,断面设计!$F$12,IF(A41=7,断面设计!$F$13,IF(A41=8,断面设计!$F$14,IF(A41=9,断面设计!$F$15,IF(A41=10,断面设计!$F$16))))))))))</f>
        <v>5.3820387901843603</v>
      </c>
      <c r="S41" s="115">
        <f>IF(A41=1,断面设计!$G$7,IF(A41=2,断面设计!$G$8,IF(A41=3,断面设计!$G$9,IF(A41=4,断面设计!$G$10,IF(A41=5,断面设计!$G$11,IF(A41=6,断面设计!$G$12,IF(A41=7,断面设计!$G$13,IF(A41=8,断面设计!$G$14,IF(A41=9,断面设计!$G$15,IF(A41=10,断面设计!$G$16))))))))))</f>
        <v>6.445728347111662</v>
      </c>
      <c r="T41" s="115">
        <f t="shared" si="15"/>
        <v>0.83497760072312976</v>
      </c>
      <c r="U41" s="115">
        <f t="shared" si="16"/>
        <v>0.8360013053489711</v>
      </c>
      <c r="V41" s="125"/>
      <c r="W41" s="116"/>
      <c r="X41" s="116">
        <f ca="1">倒虹管水头损失计算!D178</f>
        <v>0.46318120187586354</v>
      </c>
      <c r="Y41" s="139">
        <v>0</v>
      </c>
      <c r="Z41" s="140">
        <f t="shared" si="26"/>
        <v>0</v>
      </c>
      <c r="AA41" s="143"/>
      <c r="AB41" s="139">
        <f t="shared" si="4"/>
        <v>1.58308906639964</v>
      </c>
      <c r="AC41" s="116">
        <f t="shared" ca="1" si="5"/>
        <v>0.46318120187586354</v>
      </c>
      <c r="AD41" s="116">
        <f t="shared" ca="1" si="18"/>
        <v>2390.3192195783154</v>
      </c>
      <c r="AE41" s="141">
        <f t="shared" si="19"/>
        <v>0</v>
      </c>
      <c r="AF41" s="116" t="str">
        <f t="shared" si="6"/>
        <v xml:space="preserve"> </v>
      </c>
      <c r="AG41" s="116" t="str">
        <f>IF(AE41=0," ",AF41-断面设计!$C$7)</f>
        <v xml:space="preserve"> </v>
      </c>
      <c r="AH41" s="116" t="str">
        <f t="shared" si="7"/>
        <v xml:space="preserve"> </v>
      </c>
      <c r="AI41" s="116" t="str">
        <f t="shared" si="8"/>
        <v xml:space="preserve"> </v>
      </c>
      <c r="AJ41" s="116" t="str">
        <f t="shared" si="9"/>
        <v xml:space="preserve"> </v>
      </c>
      <c r="AK41" s="116" t="str">
        <f t="shared" si="10"/>
        <v xml:space="preserve"> </v>
      </c>
      <c r="AL41" s="116">
        <f t="shared" ca="1" si="11"/>
        <v>2390.3192195783154</v>
      </c>
      <c r="AM41" s="116">
        <f t="shared" ca="1" si="12"/>
        <v>2388.7361305119157</v>
      </c>
      <c r="AN41" s="92"/>
      <c r="AO41" s="92">
        <v>0</v>
      </c>
      <c r="AP41" s="42"/>
      <c r="AQ41" s="42"/>
      <c r="AR41" s="42"/>
      <c r="AS41" s="42"/>
      <c r="AT41" s="42"/>
      <c r="AU41" s="64" t="str">
        <f t="shared" ca="1" si="20"/>
        <v>2495.09517062641,2388.73613051192</v>
      </c>
      <c r="AV41" s="64" t="str">
        <f t="shared" ca="1" si="21"/>
        <v>2495.09517062641,2390.31921957832</v>
      </c>
      <c r="AW41" s="169" t="str">
        <f t="shared" si="22"/>
        <v xml:space="preserve">pl 2495.09517062641,0 2495.09517062641,76 </v>
      </c>
      <c r="AX41" s="161" t="str">
        <f t="shared" ca="1" si="23"/>
        <v>-text 2495.09517062641,48 3.5 90 2388.736</v>
      </c>
      <c r="AY41" s="161" t="str">
        <f t="shared" ca="1" si="24"/>
        <v>-text 2495.09517062641,62.5 3.5 90 2390.319</v>
      </c>
      <c r="AZ41" s="42" t="str">
        <f t="shared" si="25"/>
        <v>-text 2495.09517062641,23.5 3.5 90 马分2+495.10</v>
      </c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  <c r="CW41" s="42"/>
      <c r="CX41" s="42"/>
      <c r="CY41" s="42"/>
      <c r="CZ41" s="42"/>
      <c r="DA41" s="42"/>
      <c r="DB41" s="42"/>
      <c r="DC41" s="42"/>
      <c r="DD41" s="42"/>
      <c r="DE41" s="42"/>
      <c r="DF41" s="42"/>
      <c r="DG41" s="42"/>
      <c r="DH41" s="42"/>
      <c r="DI41" s="42"/>
      <c r="DJ41" s="42"/>
      <c r="DK41" s="42"/>
      <c r="DL41" s="42"/>
      <c r="DM41" s="42"/>
      <c r="DN41" s="42"/>
      <c r="DO41" s="42"/>
      <c r="DP41" s="42"/>
      <c r="DQ41" s="42"/>
      <c r="DR41" s="42"/>
      <c r="DS41" s="42"/>
      <c r="DT41" s="42"/>
      <c r="DU41" s="42"/>
      <c r="DV41" s="42"/>
      <c r="DW41" s="42"/>
      <c r="DX41" s="42"/>
      <c r="DY41" s="42"/>
      <c r="DZ41" s="42"/>
      <c r="EA41" s="42"/>
      <c r="EB41" s="42"/>
      <c r="EC41" s="42"/>
      <c r="ED41" s="42"/>
      <c r="EE41" s="42"/>
      <c r="EF41" s="42"/>
      <c r="EG41" s="42"/>
      <c r="EH41" s="42"/>
      <c r="EI41" s="42"/>
      <c r="EJ41" s="42"/>
      <c r="EK41" s="42"/>
      <c r="EL41" s="42"/>
      <c r="EM41" s="42"/>
      <c r="EN41" s="42"/>
      <c r="EO41" s="42"/>
      <c r="EP41" s="42"/>
      <c r="EQ41" s="42"/>
      <c r="ER41" s="42"/>
      <c r="ES41" s="42"/>
      <c r="ET41" s="42"/>
      <c r="EU41" s="42"/>
      <c r="EV41" s="42"/>
      <c r="EW41" s="42"/>
      <c r="EX41" s="42"/>
      <c r="EY41" s="42"/>
      <c r="EZ41" s="42"/>
      <c r="FA41" s="42"/>
      <c r="FB41" s="42"/>
      <c r="FC41" s="42"/>
      <c r="FD41" s="42"/>
      <c r="FE41" s="42"/>
      <c r="FF41" s="42"/>
      <c r="FG41" s="42"/>
      <c r="FH41" s="42"/>
      <c r="FI41" s="42"/>
      <c r="FJ41" s="42"/>
      <c r="FK41" s="42"/>
      <c r="FL41" s="42"/>
      <c r="FM41" s="42"/>
      <c r="FN41" s="42"/>
      <c r="FO41" s="42"/>
      <c r="FP41" s="42"/>
      <c r="FQ41" s="42"/>
      <c r="FR41" s="42"/>
      <c r="FS41" s="42"/>
      <c r="FT41" s="42"/>
      <c r="FU41" s="42"/>
      <c r="FV41" s="42"/>
      <c r="FW41" s="42"/>
      <c r="FX41" s="42"/>
      <c r="FY41" s="42"/>
      <c r="FZ41" s="42"/>
      <c r="GA41" s="42"/>
      <c r="GB41" s="42"/>
      <c r="GC41" s="42"/>
      <c r="GD41" s="42"/>
      <c r="GE41" s="42"/>
      <c r="GF41" s="42"/>
      <c r="GG41" s="42"/>
      <c r="GH41" s="42"/>
      <c r="GI41" s="42"/>
      <c r="GJ41" s="42"/>
      <c r="GK41" s="42"/>
      <c r="GL41" s="42"/>
      <c r="GM41" s="42"/>
      <c r="GN41" s="42"/>
      <c r="GO41" s="42"/>
      <c r="GP41" s="42"/>
      <c r="GQ41" s="42"/>
      <c r="GR41" s="42"/>
      <c r="GS41" s="42"/>
      <c r="GT41" s="42"/>
      <c r="GU41" s="42"/>
      <c r="GV41" s="42"/>
      <c r="GW41" s="42"/>
      <c r="GX41" s="42"/>
    </row>
    <row r="42" spans="1:206" s="42" customFormat="1" x14ac:dyDescent="0.25">
      <c r="A42" s="80">
        <v>2</v>
      </c>
      <c r="B42" s="76" t="str">
        <f>线路!B39</f>
        <v>IP30</v>
      </c>
      <c r="C42" s="81">
        <f>线路!E39</f>
        <v>451093.21659999999</v>
      </c>
      <c r="D42" s="81">
        <f>线路!F39</f>
        <v>3045998.9059000001</v>
      </c>
      <c r="E42" s="85">
        <f>线路!G39</f>
        <v>13</v>
      </c>
      <c r="F42" s="85">
        <f>线路!H39</f>
        <v>33.161000000000001</v>
      </c>
      <c r="G42" s="86">
        <f>线路!L39</f>
        <v>2518.8694167888775</v>
      </c>
      <c r="H42" s="86">
        <f>线路!M39</f>
        <v>2522.6314129050274</v>
      </c>
      <c r="I42" s="86">
        <f>线路!N39</f>
        <v>2526.3934090211774</v>
      </c>
      <c r="J42" s="83">
        <f t="shared" si="0"/>
        <v>7.5239922322998609</v>
      </c>
      <c r="K42" s="83">
        <f t="shared" si="13"/>
        <v>27.536242278618829</v>
      </c>
      <c r="L42" s="83">
        <f>IF(A42=1,断面设计!$D$7,IF(A42=2,断面设计!$D$8,IF(A42=3,断面设计!$D$9,IF(A42=4,断面设计!$D$10,IF(A42=5,断面设计!$D$11,IF(A42=6,断面设计!$D$12,IF(A42=7,断面设计!$D$13,IF(A42=8,断面设计!$D$14,IF(A42=9,断面设计!$D$15,IF(A42=10,断面设计!$D$16))))))))))</f>
        <v>1.5</v>
      </c>
      <c r="M42" s="83">
        <f t="shared" si="14"/>
        <v>1.2</v>
      </c>
      <c r="N42" s="110">
        <f t="shared" si="1"/>
        <v>1.4999999999999999E-2</v>
      </c>
      <c r="O42" s="83">
        <f>IF(A42=1,断面设计!$J$7,IF(A42=2,断面设计!$J$8,IF(A42=3,断面设计!$J$9,IF(A42=4,断面设计!$J$10,IF(A42=5,断面设计!$J$11,IF(A42=6,断面设计!$J$12,IF(A42=7,断面设计!$J$13,IF(A42=8,断面设计!$J$14,IF(A42=9,断面设计!$J$15,IF(A42=10,断面设计!$J$16))))))))))</f>
        <v>5000</v>
      </c>
      <c r="P42" s="111">
        <f>IF(A42=1,断面设计!$K$7,IF(A42=2,断面设计!$K$8,IF(A42=3,断面设计!$K$9,IF(A42=4,断面设计!$K$10,IF(A42=5,断面设计!$K$11,IF(A42=6,断面设计!$K$12,IF(A42=7,断面设计!$K$13,IF(A42=8,断面设计!$K$14,IF(A42=9,断面设计!$K$15,IF(A42=10,断面设计!$K$16))))))))))</f>
        <v>4.4993914540329225</v>
      </c>
      <c r="Q42" s="110">
        <f>IF(A42=1,断面设计!$C$7,IF(A42=2,断面设计!$C$8,IF(A42=3,断面设计!$C$9,IF(A42=4,断面设计!$C$10,IF(A42=5,断面设计!$C$11,IF(A42=6,断面设计!$C$12,IF(A42=7,断面设计!$C$13,IF(A42=8,断面设计!$C$14,IF(A42=9,断面设计!$C$15,IF(A42=10,断面设计!$C$16))))))))))</f>
        <v>1.58308906639964</v>
      </c>
      <c r="R42" s="83">
        <f>IF(A42=1,断面设计!$F$7,IF(A42=2,断面设计!$F$8,IF(A42=3,断面设计!$F$9,IF(A42=4,断面设计!$F$10,IF(A42=5,断面设计!$F$11,IF(A42=6,断面设计!$F$12,IF(A42=7,断面设计!$F$13,IF(A42=8,断面设计!$F$14,IF(A42=9,断面设计!$F$15,IF(A42=10,断面设计!$F$16))))))))))</f>
        <v>5.3820387901843603</v>
      </c>
      <c r="S42" s="83">
        <f>IF(A42=1,断面设计!$G$7,IF(A42=2,断面设计!$G$8,IF(A42=3,断面设计!$G$9,IF(A42=4,断面设计!$G$10,IF(A42=5,断面设计!$G$11,IF(A42=6,断面设计!$G$12,IF(A42=7,断面设计!$G$13,IF(A42=8,断面设计!$G$14,IF(A42=9,断面设计!$G$15,IF(A42=10,断面设计!$G$16))))))))))</f>
        <v>6.445728347111662</v>
      </c>
      <c r="T42" s="83">
        <f t="shared" si="15"/>
        <v>0.83497760072312976</v>
      </c>
      <c r="U42" s="83">
        <f t="shared" si="16"/>
        <v>0.8360013053489711</v>
      </c>
      <c r="V42" s="123">
        <f t="shared" si="17"/>
        <v>7.9430108587291433E-4</v>
      </c>
      <c r="W42" s="110"/>
      <c r="X42" s="110">
        <f>IF(AN42=0,IF(AN41=2,(H42-H41-AE41)/O42,(H42-H41)/O42),IF(AN42=1,IF(AN41=2,IF(AE42&lt;9,(H42-H41-AE42-AE41)/断面设计!$J$7,(H42-H41-AE42-AE41)/断面设计!$J$7),(H42-H41-AE42)/O41),(H42-H41)/O42))</f>
        <v>5.5072484557237662E-3</v>
      </c>
      <c r="Y42" s="133">
        <v>0</v>
      </c>
      <c r="Z42" s="134">
        <f t="shared" si="26"/>
        <v>0</v>
      </c>
      <c r="AA42" s="142"/>
      <c r="AB42" s="133">
        <f t="shared" si="4"/>
        <v>1.58308906639964</v>
      </c>
      <c r="AC42" s="110">
        <f t="shared" si="5"/>
        <v>6.3015495415966807E-3</v>
      </c>
      <c r="AD42" s="110">
        <f t="shared" ca="1" si="18"/>
        <v>2390.3129180287738</v>
      </c>
      <c r="AE42" s="82">
        <f t="shared" si="19"/>
        <v>0</v>
      </c>
      <c r="AF42" s="110" t="str">
        <f t="shared" si="6"/>
        <v xml:space="preserve"> </v>
      </c>
      <c r="AG42" s="110" t="str">
        <f>IF(AE42=0," ",AF42-断面设计!$C$7)</f>
        <v xml:space="preserve"> </v>
      </c>
      <c r="AH42" s="110">
        <f t="shared" ca="1" si="7"/>
        <v>2390.3144647290828</v>
      </c>
      <c r="AI42" s="110">
        <f t="shared" ca="1" si="8"/>
        <v>2388.7313756626831</v>
      </c>
      <c r="AJ42" s="110">
        <f t="shared" ca="1" si="9"/>
        <v>2390.3121656295507</v>
      </c>
      <c r="AK42" s="110">
        <f t="shared" ca="1" si="10"/>
        <v>2388.729076563151</v>
      </c>
      <c r="AL42" s="110">
        <f t="shared" ca="1" si="11"/>
        <v>2390.3133151793168</v>
      </c>
      <c r="AM42" s="110">
        <f t="shared" ca="1" si="12"/>
        <v>2388.7302261129171</v>
      </c>
      <c r="AN42" s="80"/>
      <c r="AO42" s="80">
        <v>0</v>
      </c>
      <c r="AU42" s="64" t="str">
        <f t="shared" ca="1" si="20"/>
        <v>2522.63141290503,2388.73022611292</v>
      </c>
      <c r="AV42" s="64" t="str">
        <f t="shared" ca="1" si="21"/>
        <v>2522.63141290503,2390.31331517932</v>
      </c>
      <c r="AW42" s="169" t="str">
        <f t="shared" si="22"/>
        <v xml:space="preserve">pl 2522.63141290503,0 2522.63141290503,76 </v>
      </c>
      <c r="AX42" s="161" t="str">
        <f t="shared" ca="1" si="23"/>
        <v>-text 2522.63141290503,48 3.5 90 2388.730</v>
      </c>
      <c r="AY42" s="161" t="str">
        <f t="shared" ca="1" si="24"/>
        <v>-text 2522.63141290503,62.5 3.5 90 2390.313</v>
      </c>
      <c r="AZ42" s="42" t="str">
        <f t="shared" si="25"/>
        <v>-text 2522.63141290503,23.5 3.5 90 马分2+522.63</v>
      </c>
    </row>
    <row r="43" spans="1:206" s="55" customFormat="1" x14ac:dyDescent="0.25">
      <c r="A43" s="92">
        <v>2</v>
      </c>
      <c r="B43" s="93" t="str">
        <f>线路!B40</f>
        <v>4#倒虹吸进</v>
      </c>
      <c r="C43" s="94">
        <f>线路!E40</f>
        <v>451085.4987</v>
      </c>
      <c r="D43" s="94">
        <f>线路!F40</f>
        <v>3045969.1453</v>
      </c>
      <c r="E43" s="95">
        <f>线路!G40</f>
        <v>0</v>
      </c>
      <c r="F43" s="95">
        <f>线路!H40</f>
        <v>1E-3</v>
      </c>
      <c r="G43" s="96">
        <f>线路!L40</f>
        <v>2553.2678272329072</v>
      </c>
      <c r="H43" s="96">
        <f>线路!M40</f>
        <v>2553.2678272329072</v>
      </c>
      <c r="I43" s="96">
        <f>线路!N40</f>
        <v>2553.2678272329072</v>
      </c>
      <c r="J43" s="115">
        <f t="shared" si="0"/>
        <v>0</v>
      </c>
      <c r="K43" s="115">
        <f t="shared" si="13"/>
        <v>30.63641432787972</v>
      </c>
      <c r="L43" s="115">
        <f>IF(A43=1,断面设计!$D$7,IF(A43=2,断面设计!$D$8,IF(A43=3,断面设计!$D$9,IF(A43=4,断面设计!$D$10,IF(A43=5,断面设计!$D$11,IF(A43=6,断面设计!$D$12,IF(A43=7,断面设计!$D$13,IF(A43=8,断面设计!$D$14,IF(A43=9,断面设计!$D$15,IF(A43=10,断面设计!$D$16))))))))))</f>
        <v>1.5</v>
      </c>
      <c r="M43" s="115">
        <f t="shared" si="14"/>
        <v>1.2</v>
      </c>
      <c r="N43" s="116">
        <f t="shared" si="1"/>
        <v>1.4999999999999999E-2</v>
      </c>
      <c r="O43" s="115">
        <f>IF(A43=1,断面设计!$J$7,IF(A43=2,断面设计!$J$8,IF(A43=3,断面设计!$J$9,IF(A43=4,断面设计!$J$10,IF(A43=5,断面设计!$J$11,IF(A43=6,断面设计!$J$12,IF(A43=7,断面设计!$J$13,IF(A43=8,断面设计!$J$14,IF(A43=9,断面设计!$J$15,IF(A43=10,断面设计!$J$16))))))))))</f>
        <v>5000</v>
      </c>
      <c r="P43" s="117">
        <f>IF(A43=1,断面设计!$K$7,IF(A43=2,断面设计!$K$8,IF(A43=3,断面设计!$K$9,IF(A43=4,断面设计!$K$10,IF(A43=5,断面设计!$K$11,IF(A43=6,断面设计!$K$12,IF(A43=7,断面设计!$K$13,IF(A43=8,断面设计!$K$14,IF(A43=9,断面设计!$K$15,IF(A43=10,断面设计!$K$16))))))))))</f>
        <v>4.4993914540329225</v>
      </c>
      <c r="Q43" s="116">
        <f>IF(A43=1,断面设计!$C$7,IF(A43=2,断面设计!$C$8,IF(A43=3,断面设计!$C$9,IF(A43=4,断面设计!$C$10,IF(A43=5,断面设计!$C$11,IF(A43=6,断面设计!$C$12,IF(A43=7,断面设计!$C$13,IF(A43=8,断面设计!$C$14,IF(A43=9,断面设计!$C$15,IF(A43=10,断面设计!$C$16))))))))))</f>
        <v>1.58308906639964</v>
      </c>
      <c r="R43" s="115">
        <f>IF(A43=1,断面设计!$F$7,IF(A43=2,断面设计!$F$8,IF(A43=3,断面设计!$F$9,IF(A43=4,断面设计!$F$10,IF(A43=5,断面设计!$F$11,IF(A43=6,断面设计!$F$12,IF(A43=7,断面设计!$F$13,IF(A43=8,断面设计!$F$14,IF(A43=9,断面设计!$F$15,IF(A43=10,断面设计!$F$16))))))))))</f>
        <v>5.3820387901843603</v>
      </c>
      <c r="S43" s="115">
        <f>IF(A43=1,断面设计!$G$7,IF(A43=2,断面设计!$G$8,IF(A43=3,断面设计!$G$9,IF(A43=4,断面设计!$G$10,IF(A43=5,断面设计!$G$11,IF(A43=6,断面设计!$G$12,IF(A43=7,断面设计!$G$13,IF(A43=8,断面设计!$G$14,IF(A43=9,断面设计!$G$15,IF(A43=10,断面设计!$G$16))))))))))</f>
        <v>6.445728347111662</v>
      </c>
      <c r="T43" s="115">
        <f t="shared" si="15"/>
        <v>0.83497760072312976</v>
      </c>
      <c r="U43" s="115">
        <f t="shared" si="16"/>
        <v>0.8360013053489711</v>
      </c>
      <c r="V43" s="125"/>
      <c r="W43" s="116"/>
      <c r="X43" s="116"/>
      <c r="Y43" s="139">
        <v>0</v>
      </c>
      <c r="Z43" s="140">
        <f t="shared" si="26"/>
        <v>0</v>
      </c>
      <c r="AA43" s="143"/>
      <c r="AB43" s="139">
        <f t="shared" si="4"/>
        <v>1.58308906639964</v>
      </c>
      <c r="AC43" s="116">
        <f t="shared" si="5"/>
        <v>0</v>
      </c>
      <c r="AD43" s="116">
        <f t="shared" ca="1" si="18"/>
        <v>2390.3129180287738</v>
      </c>
      <c r="AE43" s="141">
        <f t="shared" si="19"/>
        <v>0</v>
      </c>
      <c r="AF43" s="116" t="str">
        <f t="shared" si="6"/>
        <v xml:space="preserve"> </v>
      </c>
      <c r="AG43" s="116" t="str">
        <f>IF(AE43=0," ",AF43-断面设计!$C$7)</f>
        <v xml:space="preserve"> </v>
      </c>
      <c r="AH43" s="116" t="str">
        <f t="shared" si="7"/>
        <v xml:space="preserve"> </v>
      </c>
      <c r="AI43" s="116" t="str">
        <f t="shared" si="8"/>
        <v xml:space="preserve"> </v>
      </c>
      <c r="AJ43" s="116" t="str">
        <f t="shared" si="9"/>
        <v xml:space="preserve"> </v>
      </c>
      <c r="AK43" s="116" t="str">
        <f t="shared" si="10"/>
        <v xml:space="preserve"> </v>
      </c>
      <c r="AL43" s="116">
        <f t="shared" ca="1" si="11"/>
        <v>2390.3129180287738</v>
      </c>
      <c r="AM43" s="116">
        <f t="shared" ca="1" si="12"/>
        <v>2388.7298289623741</v>
      </c>
      <c r="AN43" s="92"/>
      <c r="AO43" s="92">
        <v>0</v>
      </c>
      <c r="AP43" s="42"/>
      <c r="AQ43" s="42"/>
      <c r="AR43" s="42"/>
      <c r="AS43" s="42"/>
      <c r="AT43" s="42"/>
      <c r="AU43" s="64" t="str">
        <f t="shared" ca="1" si="20"/>
        <v>2553.26782723291,2388.72982896237</v>
      </c>
      <c r="AV43" s="64" t="str">
        <f t="shared" ca="1" si="21"/>
        <v>2553.26782723291,2390.31291802877</v>
      </c>
      <c r="AW43" s="169" t="str">
        <f t="shared" si="22"/>
        <v xml:space="preserve">pl 2553.26782723291,0 2553.26782723291,76 </v>
      </c>
      <c r="AX43" s="161" t="str">
        <f t="shared" ca="1" si="23"/>
        <v>-text 2553.26782723291,48 3.5 90 2388.730</v>
      </c>
      <c r="AY43" s="161" t="str">
        <f t="shared" ca="1" si="24"/>
        <v>-text 2553.26782723291,62.5 3.5 90 2390.313</v>
      </c>
      <c r="AZ43" s="42" t="str">
        <f t="shared" si="25"/>
        <v>-text 2553.26782723291,23.5 3.5 90 马分2+553.27</v>
      </c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42"/>
      <c r="DO43" s="42"/>
      <c r="DP43" s="42"/>
      <c r="DQ43" s="42"/>
      <c r="DR43" s="42"/>
      <c r="DS43" s="42"/>
      <c r="DT43" s="42"/>
      <c r="DU43" s="42"/>
      <c r="DV43" s="42"/>
      <c r="DW43" s="42"/>
      <c r="DX43" s="42"/>
      <c r="DY43" s="42"/>
      <c r="DZ43" s="42"/>
      <c r="EA43" s="42"/>
      <c r="EB43" s="42"/>
      <c r="EC43" s="42"/>
      <c r="ED43" s="42"/>
      <c r="EE43" s="42"/>
      <c r="EF43" s="42"/>
      <c r="EG43" s="42"/>
      <c r="EH43" s="42"/>
      <c r="EI43" s="42"/>
      <c r="EJ43" s="42"/>
      <c r="EK43" s="42"/>
      <c r="EL43" s="42"/>
      <c r="EM43" s="42"/>
      <c r="EN43" s="42"/>
      <c r="EO43" s="42"/>
      <c r="EP43" s="42"/>
      <c r="EQ43" s="42"/>
      <c r="ER43" s="42"/>
      <c r="ES43" s="42"/>
      <c r="ET43" s="42"/>
      <c r="EU43" s="42"/>
      <c r="EV43" s="42"/>
      <c r="EW43" s="42"/>
      <c r="EX43" s="42"/>
      <c r="EY43" s="42"/>
      <c r="EZ43" s="42"/>
      <c r="FA43" s="42"/>
      <c r="FB43" s="42"/>
      <c r="FC43" s="42"/>
      <c r="FD43" s="42"/>
      <c r="FE43" s="42"/>
      <c r="FF43" s="42"/>
      <c r="FG43" s="42"/>
      <c r="FH43" s="42"/>
      <c r="FI43" s="42"/>
      <c r="FJ43" s="42"/>
      <c r="FK43" s="42"/>
      <c r="FL43" s="42"/>
      <c r="FM43" s="42"/>
      <c r="FN43" s="42"/>
      <c r="FO43" s="42"/>
      <c r="FP43" s="42"/>
      <c r="FQ43" s="42"/>
      <c r="FR43" s="42"/>
      <c r="FS43" s="42"/>
      <c r="FT43" s="42"/>
      <c r="FU43" s="42"/>
      <c r="FV43" s="42"/>
      <c r="FW43" s="42"/>
      <c r="FX43" s="42"/>
      <c r="FY43" s="42"/>
      <c r="FZ43" s="42"/>
      <c r="GA43" s="42"/>
      <c r="GB43" s="42"/>
      <c r="GC43" s="42"/>
      <c r="GD43" s="42"/>
      <c r="GE43" s="42"/>
      <c r="GF43" s="42"/>
      <c r="GG43" s="42"/>
      <c r="GH43" s="42"/>
      <c r="GI43" s="42"/>
      <c r="GJ43" s="42"/>
      <c r="GK43" s="42"/>
      <c r="GL43" s="42"/>
      <c r="GM43" s="42"/>
      <c r="GN43" s="42"/>
      <c r="GO43" s="42"/>
      <c r="GP43" s="42"/>
      <c r="GQ43" s="42"/>
      <c r="GR43" s="42"/>
      <c r="GS43" s="42"/>
      <c r="GT43" s="42"/>
      <c r="GU43" s="42"/>
      <c r="GV43" s="42"/>
      <c r="GW43" s="42"/>
      <c r="GX43" s="42"/>
    </row>
    <row r="44" spans="1:206" s="55" customFormat="1" x14ac:dyDescent="0.25">
      <c r="A44" s="92">
        <v>2</v>
      </c>
      <c r="B44" s="93" t="str">
        <f>线路!B41</f>
        <v>IP31</v>
      </c>
      <c r="C44" s="94">
        <f>线路!E41</f>
        <v>451052.85249999998</v>
      </c>
      <c r="D44" s="94">
        <f>线路!F41</f>
        <v>3045843.2656</v>
      </c>
      <c r="E44" s="95">
        <f>线路!G41</f>
        <v>6</v>
      </c>
      <c r="F44" s="95">
        <f>线路!H41</f>
        <v>9.4499999999999993</v>
      </c>
      <c r="G44" s="96">
        <f>线路!L41</f>
        <v>2682.8160220382078</v>
      </c>
      <c r="H44" s="96">
        <f>线路!M41</f>
        <v>2683.3108228811484</v>
      </c>
      <c r="I44" s="96">
        <f>线路!N41</f>
        <v>2683.8056237240885</v>
      </c>
      <c r="J44" s="115">
        <f t="shared" si="0"/>
        <v>0.98960168588064334</v>
      </c>
      <c r="K44" s="115">
        <f t="shared" si="13"/>
        <v>130.04299564824123</v>
      </c>
      <c r="L44" s="115">
        <f>IF(A44=1,断面设计!$D$7,IF(A44=2,断面设计!$D$8,IF(A44=3,断面设计!$D$9,IF(A44=4,断面设计!$D$10,IF(A44=5,断面设计!$D$11,IF(A44=6,断面设计!$D$12,IF(A44=7,断面设计!$D$13,IF(A44=8,断面设计!$D$14,IF(A44=9,断面设计!$D$15,IF(A44=10,断面设计!$D$16))))))))))</f>
        <v>1.5</v>
      </c>
      <c r="M44" s="115">
        <f t="shared" si="14"/>
        <v>1.2</v>
      </c>
      <c r="N44" s="116">
        <f t="shared" si="1"/>
        <v>1.4999999999999999E-2</v>
      </c>
      <c r="O44" s="115">
        <f>IF(A44=1,断面设计!$J$7,IF(A44=2,断面设计!$J$8,IF(A44=3,断面设计!$J$9,IF(A44=4,断面设计!$J$10,IF(A44=5,断面设计!$J$11,IF(A44=6,断面设计!$J$12,IF(A44=7,断面设计!$J$13,IF(A44=8,断面设计!$J$14,IF(A44=9,断面设计!$J$15,IF(A44=10,断面设计!$J$16))))))))))</f>
        <v>5000</v>
      </c>
      <c r="P44" s="117">
        <f>IF(A44=1,断面设计!$K$7,IF(A44=2,断面设计!$K$8,IF(A44=3,断面设计!$K$9,IF(A44=4,断面设计!$K$10,IF(A44=5,断面设计!$K$11,IF(A44=6,断面设计!$K$12,IF(A44=7,断面设计!$K$13,IF(A44=8,断面设计!$K$14,IF(A44=9,断面设计!$K$15,IF(A44=10,断面设计!$K$16))))))))))</f>
        <v>4.4993914540329225</v>
      </c>
      <c r="Q44" s="116">
        <f>IF(A44=1,断面设计!$C$7,IF(A44=2,断面设计!$C$8,IF(A44=3,断面设计!$C$9,IF(A44=4,断面设计!$C$10,IF(A44=5,断面设计!$C$11,IF(A44=6,断面设计!$C$12,IF(A44=7,断面设计!$C$13,IF(A44=8,断面设计!$C$14,IF(A44=9,断面设计!$C$15,IF(A44=10,断面设计!$C$16))))))))))</f>
        <v>1.58308906639964</v>
      </c>
      <c r="R44" s="115">
        <f>IF(A44=1,断面设计!$F$7,IF(A44=2,断面设计!$F$8,IF(A44=3,断面设计!$F$9,IF(A44=4,断面设计!$F$10,IF(A44=5,断面设计!$F$11,IF(A44=6,断面设计!$F$12,IF(A44=7,断面设计!$F$13,IF(A44=8,断面设计!$F$14,IF(A44=9,断面设计!$F$15,IF(A44=10,断面设计!$F$16))))))))))</f>
        <v>5.3820387901843603</v>
      </c>
      <c r="S44" s="115">
        <f>IF(A44=1,断面设计!$G$7,IF(A44=2,断面设计!$G$8,IF(A44=3,断面设计!$G$9,IF(A44=4,断面设计!$G$10,IF(A44=5,断面设计!$G$11,IF(A44=6,断面设计!$G$12,IF(A44=7,断面设计!$G$13,IF(A44=8,断面设计!$G$14,IF(A44=9,断面设计!$G$15,IF(A44=10,断面设计!$G$16))))))))))</f>
        <v>6.445728347111662</v>
      </c>
      <c r="T44" s="115">
        <f t="shared" si="15"/>
        <v>0.83497760072312976</v>
      </c>
      <c r="U44" s="115">
        <f t="shared" si="16"/>
        <v>0.8360013053489711</v>
      </c>
      <c r="V44" s="125"/>
      <c r="W44" s="116"/>
      <c r="X44" s="116"/>
      <c r="Y44" s="139">
        <v>0</v>
      </c>
      <c r="Z44" s="140">
        <f t="shared" si="26"/>
        <v>0</v>
      </c>
      <c r="AA44" s="143"/>
      <c r="AB44" s="139">
        <f t="shared" si="4"/>
        <v>1.58308906639964</v>
      </c>
      <c r="AC44" s="116">
        <f t="shared" si="5"/>
        <v>0</v>
      </c>
      <c r="AD44" s="116">
        <f t="shared" ca="1" si="18"/>
        <v>2390.3129180287738</v>
      </c>
      <c r="AE44" s="141">
        <f t="shared" si="19"/>
        <v>0</v>
      </c>
      <c r="AF44" s="116" t="str">
        <f t="shared" si="6"/>
        <v xml:space="preserve"> </v>
      </c>
      <c r="AG44" s="116" t="str">
        <f>IF(AE44=0," ",AF44-断面设计!$C$7)</f>
        <v xml:space="preserve"> </v>
      </c>
      <c r="AH44" s="116">
        <f t="shared" ca="1" si="7"/>
        <v>2390.3130169889423</v>
      </c>
      <c r="AI44" s="116">
        <f t="shared" ca="1" si="8"/>
        <v>2388.7299279225426</v>
      </c>
      <c r="AJ44" s="116">
        <f t="shared" ca="1" si="9"/>
        <v>2390.3128190686052</v>
      </c>
      <c r="AK44" s="116">
        <f t="shared" ca="1" si="10"/>
        <v>2388.7297300022055</v>
      </c>
      <c r="AL44" s="116">
        <f t="shared" ca="1" si="11"/>
        <v>2390.3129180287738</v>
      </c>
      <c r="AM44" s="116">
        <f t="shared" ca="1" si="12"/>
        <v>2388.7298289623741</v>
      </c>
      <c r="AN44" s="92"/>
      <c r="AO44" s="92">
        <v>0</v>
      </c>
      <c r="AP44" s="42"/>
      <c r="AQ44" s="42"/>
      <c r="AR44" s="42"/>
      <c r="AS44" s="42"/>
      <c r="AT44" s="42"/>
      <c r="AU44" s="64" t="str">
        <f t="shared" ca="1" si="20"/>
        <v>2683.31082288115,2388.72982896237</v>
      </c>
      <c r="AV44" s="64" t="str">
        <f t="shared" ca="1" si="21"/>
        <v>2683.31082288115,2390.31291802877</v>
      </c>
      <c r="AW44" s="169" t="str">
        <f t="shared" si="22"/>
        <v xml:space="preserve">pl 2683.31082288115,0 2683.31082288115,76 </v>
      </c>
      <c r="AX44" s="161" t="str">
        <f t="shared" ref="AX44:AX107" ca="1" si="27">"-text"&amp;" "&amp;H44&amp;","&amp;48&amp;" "&amp;"3.5"&amp;" "&amp;"90"&amp;" "&amp;FIXED(AM44,3,TRUE)</f>
        <v>-text 2683.31082288115,48 3.5 90 2388.730</v>
      </c>
      <c r="AY44" s="161" t="str">
        <f t="shared" ref="AY44:AY107" ca="1" si="28">"-text"&amp;" "&amp;H44&amp;","&amp;62.5&amp;" "&amp;"3.5"&amp;" "&amp;"90"&amp;" "&amp;FIXED(AL44,3,TRUE)</f>
        <v>-text 2683.31082288115,62.5 3.5 90 2390.313</v>
      </c>
      <c r="AZ44" s="42" t="str">
        <f t="shared" ref="AZ44:AZ107" si="29">"-text"&amp;" "&amp;H44&amp;","&amp;23.5&amp;" "&amp;"3.5"&amp;" "&amp;"90"&amp;" "&amp;TEXT(H44,"马分0+000.00")</f>
        <v>-text 2683.31082288115,23.5 3.5 90 马分2+683.31</v>
      </c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42"/>
      <c r="DO44" s="42"/>
      <c r="DP44" s="42"/>
      <c r="DQ44" s="42"/>
      <c r="DR44" s="42"/>
      <c r="DS44" s="42"/>
      <c r="DT44" s="42"/>
      <c r="DU44" s="42"/>
      <c r="DV44" s="42"/>
      <c r="DW44" s="42"/>
      <c r="DX44" s="42"/>
      <c r="DY44" s="42"/>
      <c r="DZ44" s="42"/>
      <c r="EA44" s="42"/>
      <c r="EB44" s="42"/>
      <c r="EC44" s="42"/>
      <c r="ED44" s="42"/>
      <c r="EE44" s="42"/>
      <c r="EF44" s="42"/>
      <c r="EG44" s="42"/>
      <c r="EH44" s="42"/>
      <c r="EI44" s="42"/>
      <c r="EJ44" s="42"/>
      <c r="EK44" s="42"/>
      <c r="EL44" s="42"/>
      <c r="EM44" s="42"/>
      <c r="EN44" s="42"/>
      <c r="EO44" s="42"/>
      <c r="EP44" s="42"/>
      <c r="EQ44" s="42"/>
      <c r="ER44" s="42"/>
      <c r="ES44" s="42"/>
      <c r="ET44" s="42"/>
      <c r="EU44" s="42"/>
      <c r="EV44" s="42"/>
      <c r="EW44" s="42"/>
      <c r="EX44" s="42"/>
      <c r="EY44" s="42"/>
      <c r="EZ44" s="42"/>
      <c r="FA44" s="42"/>
      <c r="FB44" s="42"/>
      <c r="FC44" s="42"/>
      <c r="FD44" s="42"/>
      <c r="FE44" s="42"/>
      <c r="FF44" s="42"/>
      <c r="FG44" s="42"/>
      <c r="FH44" s="42"/>
      <c r="FI44" s="42"/>
      <c r="FJ44" s="42"/>
      <c r="FK44" s="42"/>
      <c r="FL44" s="42"/>
      <c r="FM44" s="42"/>
      <c r="FN44" s="42"/>
      <c r="FO44" s="42"/>
      <c r="FP44" s="42"/>
      <c r="FQ44" s="42"/>
      <c r="FR44" s="42"/>
      <c r="FS44" s="42"/>
      <c r="FT44" s="42"/>
      <c r="FU44" s="42"/>
      <c r="FV44" s="42"/>
      <c r="FW44" s="42"/>
      <c r="FX44" s="42"/>
      <c r="FY44" s="42"/>
      <c r="FZ44" s="42"/>
      <c r="GA44" s="42"/>
      <c r="GB44" s="42"/>
      <c r="GC44" s="42"/>
      <c r="GD44" s="42"/>
      <c r="GE44" s="42"/>
      <c r="GF44" s="42"/>
      <c r="GG44" s="42"/>
      <c r="GH44" s="42"/>
      <c r="GI44" s="42"/>
      <c r="GJ44" s="42"/>
      <c r="GK44" s="42"/>
      <c r="GL44" s="42"/>
      <c r="GM44" s="42"/>
      <c r="GN44" s="42"/>
      <c r="GO44" s="42"/>
      <c r="GP44" s="42"/>
      <c r="GQ44" s="42"/>
      <c r="GR44" s="42"/>
      <c r="GS44" s="42"/>
      <c r="GT44" s="42"/>
      <c r="GU44" s="42"/>
      <c r="GV44" s="42"/>
      <c r="GW44" s="42"/>
      <c r="GX44" s="42"/>
    </row>
    <row r="45" spans="1:206" s="55" customFormat="1" x14ac:dyDescent="0.25">
      <c r="A45" s="92">
        <v>2</v>
      </c>
      <c r="B45" s="93" t="str">
        <f>线路!B42</f>
        <v>4#倒虹吸出</v>
      </c>
      <c r="C45" s="94">
        <f>线路!E42</f>
        <v>451048.72590000002</v>
      </c>
      <c r="D45" s="94">
        <f>线路!F42</f>
        <v>3045796.9257999999</v>
      </c>
      <c r="E45" s="95">
        <f>线路!G42</f>
        <v>0</v>
      </c>
      <c r="F45" s="95">
        <f>线路!H42</f>
        <v>0</v>
      </c>
      <c r="G45" s="96">
        <f>线路!L42</f>
        <v>2729.8328739999442</v>
      </c>
      <c r="H45" s="96">
        <f>线路!M42</f>
        <v>2729.8328739999442</v>
      </c>
      <c r="I45" s="96">
        <f>线路!N42</f>
        <v>2729.8328739999442</v>
      </c>
      <c r="J45" s="115">
        <f t="shared" si="0"/>
        <v>0</v>
      </c>
      <c r="K45" s="115">
        <f t="shared" si="13"/>
        <v>46.522051118795844</v>
      </c>
      <c r="L45" s="115">
        <f>IF(A45=1,断面设计!$D$7,IF(A45=2,断面设计!$D$8,IF(A45=3,断面设计!$D$9,IF(A45=4,断面设计!$D$10,IF(A45=5,断面设计!$D$11,IF(A45=6,断面设计!$D$12,IF(A45=7,断面设计!$D$13,IF(A45=8,断面设计!$D$14,IF(A45=9,断面设计!$D$15,IF(A45=10,断面设计!$D$16))))))))))</f>
        <v>1.5</v>
      </c>
      <c r="M45" s="115">
        <f t="shared" si="14"/>
        <v>1.2</v>
      </c>
      <c r="N45" s="116">
        <f t="shared" si="1"/>
        <v>1.4999999999999999E-2</v>
      </c>
      <c r="O45" s="115">
        <f>IF(A45=1,断面设计!$J$7,IF(A45=2,断面设计!$J$8,IF(A45=3,断面设计!$J$9,IF(A45=4,断面设计!$J$10,IF(A45=5,断面设计!$J$11,IF(A45=6,断面设计!$J$12,IF(A45=7,断面设计!$J$13,IF(A45=8,断面设计!$J$14,IF(A45=9,断面设计!$J$15,IF(A45=10,断面设计!$J$16))))))))))</f>
        <v>5000</v>
      </c>
      <c r="P45" s="117">
        <f>IF(A45=1,断面设计!$K$7,IF(A45=2,断面设计!$K$8,IF(A45=3,断面设计!$K$9,IF(A45=4,断面设计!$K$10,IF(A45=5,断面设计!$K$11,IF(A45=6,断面设计!$K$12,IF(A45=7,断面设计!$K$13,IF(A45=8,断面设计!$K$14,IF(A45=9,断面设计!$K$15,IF(A45=10,断面设计!$K$16))))))))))</f>
        <v>4.4993914540329225</v>
      </c>
      <c r="Q45" s="116">
        <f>IF(A45=1,断面设计!$C$7,IF(A45=2,断面设计!$C$8,IF(A45=3,断面设计!$C$9,IF(A45=4,断面设计!$C$10,IF(A45=5,断面设计!$C$11,IF(A45=6,断面设计!$C$12,IF(A45=7,断面设计!$C$13,IF(A45=8,断面设计!$C$14,IF(A45=9,断面设计!$C$15,IF(A45=10,断面设计!$C$16))))))))))</f>
        <v>1.58308906639964</v>
      </c>
      <c r="R45" s="115">
        <f>IF(A45=1,断面设计!$F$7,IF(A45=2,断面设计!$F$8,IF(A45=3,断面设计!$F$9,IF(A45=4,断面设计!$F$10,IF(A45=5,断面设计!$F$11,IF(A45=6,断面设计!$F$12,IF(A45=7,断面设计!$F$13,IF(A45=8,断面设计!$F$14,IF(A45=9,断面设计!$F$15,IF(A45=10,断面设计!$F$16))))))))))</f>
        <v>5.3820387901843603</v>
      </c>
      <c r="S45" s="115">
        <f>IF(A45=1,断面设计!$G$7,IF(A45=2,断面设计!$G$8,IF(A45=3,断面设计!$G$9,IF(A45=4,断面设计!$G$10,IF(A45=5,断面设计!$G$11,IF(A45=6,断面设计!$G$12,IF(A45=7,断面设计!$G$13,IF(A45=8,断面设计!$G$14,IF(A45=9,断面设计!$G$15,IF(A45=10,断面设计!$G$16))))))))))</f>
        <v>6.445728347111662</v>
      </c>
      <c r="T45" s="115">
        <f t="shared" si="15"/>
        <v>0.83497760072312976</v>
      </c>
      <c r="U45" s="115">
        <f t="shared" si="16"/>
        <v>0.8360013053489711</v>
      </c>
      <c r="V45" s="125"/>
      <c r="W45" s="116"/>
      <c r="X45" s="116">
        <f ca="1">倒虹管水头损失计算!D236</f>
        <v>0.42079264403125616</v>
      </c>
      <c r="Y45" s="139">
        <v>0</v>
      </c>
      <c r="Z45" s="140">
        <f t="shared" si="26"/>
        <v>0</v>
      </c>
      <c r="AA45" s="143"/>
      <c r="AB45" s="139">
        <f t="shared" si="4"/>
        <v>1.58308906639964</v>
      </c>
      <c r="AC45" s="116">
        <f t="shared" ca="1" si="5"/>
        <v>0.42079264403125616</v>
      </c>
      <c r="AD45" s="116">
        <f t="shared" ca="1" si="18"/>
        <v>2389.8921253847425</v>
      </c>
      <c r="AE45" s="141">
        <f t="shared" si="19"/>
        <v>0</v>
      </c>
      <c r="AF45" s="116" t="str">
        <f t="shared" si="6"/>
        <v xml:space="preserve"> </v>
      </c>
      <c r="AG45" s="116" t="str">
        <f>IF(AE45=0," ",AF45-断面设计!$C$7)</f>
        <v xml:space="preserve"> </v>
      </c>
      <c r="AH45" s="116" t="str">
        <f t="shared" si="7"/>
        <v xml:space="preserve"> </v>
      </c>
      <c r="AI45" s="116" t="str">
        <f t="shared" si="8"/>
        <v xml:space="preserve"> </v>
      </c>
      <c r="AJ45" s="116" t="str">
        <f t="shared" si="9"/>
        <v xml:space="preserve"> </v>
      </c>
      <c r="AK45" s="116" t="str">
        <f t="shared" si="10"/>
        <v xml:space="preserve"> </v>
      </c>
      <c r="AL45" s="116">
        <f t="shared" ca="1" si="11"/>
        <v>2389.8921253847425</v>
      </c>
      <c r="AM45" s="116">
        <f t="shared" ca="1" si="12"/>
        <v>2388.3090363183428</v>
      </c>
      <c r="AN45" s="92"/>
      <c r="AO45" s="92">
        <v>0</v>
      </c>
      <c r="AP45" s="42"/>
      <c r="AQ45" s="42"/>
      <c r="AR45" s="42"/>
      <c r="AS45" s="42"/>
      <c r="AT45" s="42"/>
      <c r="AU45" s="64" t="str">
        <f t="shared" ca="1" si="20"/>
        <v>2729.83287399994,2388.30903631834</v>
      </c>
      <c r="AV45" s="64" t="str">
        <f t="shared" ref="AV45:AV108" ca="1" si="30">H45&amp;","&amp;AL45</f>
        <v>2729.83287399994,2389.89212538474</v>
      </c>
      <c r="AW45" s="169" t="str">
        <f t="shared" ref="AW45:AW108" si="31">"pl "&amp;H45&amp;",0 "&amp;H45&amp;",76 "</f>
        <v xml:space="preserve">pl 2729.83287399994,0 2729.83287399994,76 </v>
      </c>
      <c r="AX45" s="161" t="str">
        <f t="shared" ca="1" si="27"/>
        <v>-text 2729.83287399994,48 3.5 90 2388.309</v>
      </c>
      <c r="AY45" s="161" t="str">
        <f t="shared" ca="1" si="28"/>
        <v>-text 2729.83287399994,62.5 3.5 90 2389.892</v>
      </c>
      <c r="AZ45" s="42" t="str">
        <f t="shared" si="29"/>
        <v>-text 2729.83287399994,23.5 3.5 90 马分2+729.83</v>
      </c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42"/>
      <c r="DO45" s="42"/>
      <c r="DP45" s="42"/>
      <c r="DQ45" s="42"/>
      <c r="DR45" s="42"/>
      <c r="DS45" s="42"/>
      <c r="DT45" s="42"/>
      <c r="DU45" s="42"/>
      <c r="DV45" s="42"/>
      <c r="DW45" s="42"/>
      <c r="DX45" s="42"/>
      <c r="DY45" s="42"/>
      <c r="DZ45" s="42"/>
      <c r="EA45" s="42"/>
      <c r="EB45" s="42"/>
      <c r="EC45" s="42"/>
      <c r="ED45" s="42"/>
      <c r="EE45" s="42"/>
      <c r="EF45" s="42"/>
      <c r="EG45" s="42"/>
      <c r="EH45" s="42"/>
      <c r="EI45" s="42"/>
      <c r="EJ45" s="42"/>
      <c r="EK45" s="42"/>
      <c r="EL45" s="42"/>
      <c r="EM45" s="42"/>
      <c r="EN45" s="42"/>
      <c r="EO45" s="42"/>
      <c r="EP45" s="42"/>
      <c r="EQ45" s="42"/>
      <c r="ER45" s="42"/>
      <c r="ES45" s="42"/>
      <c r="ET45" s="42"/>
      <c r="EU45" s="42"/>
      <c r="EV45" s="42"/>
      <c r="EW45" s="42"/>
      <c r="EX45" s="42"/>
      <c r="EY45" s="42"/>
      <c r="EZ45" s="42"/>
      <c r="FA45" s="42"/>
      <c r="FB45" s="42"/>
      <c r="FC45" s="42"/>
      <c r="FD45" s="42"/>
      <c r="FE45" s="42"/>
      <c r="FF45" s="42"/>
      <c r="FG45" s="42"/>
      <c r="FH45" s="42"/>
      <c r="FI45" s="42"/>
      <c r="FJ45" s="42"/>
      <c r="FK45" s="42"/>
      <c r="FL45" s="42"/>
      <c r="FM45" s="42"/>
      <c r="FN45" s="42"/>
      <c r="FO45" s="42"/>
      <c r="FP45" s="42"/>
      <c r="FQ45" s="42"/>
      <c r="FR45" s="42"/>
      <c r="FS45" s="42"/>
      <c r="FT45" s="42"/>
      <c r="FU45" s="42"/>
      <c r="FV45" s="42"/>
      <c r="FW45" s="42"/>
      <c r="FX45" s="42"/>
      <c r="FY45" s="42"/>
      <c r="FZ45" s="42"/>
      <c r="GA45" s="42"/>
      <c r="GB45" s="42"/>
      <c r="GC45" s="42"/>
      <c r="GD45" s="42"/>
      <c r="GE45" s="42"/>
      <c r="GF45" s="42"/>
      <c r="GG45" s="42"/>
      <c r="GH45" s="42"/>
      <c r="GI45" s="42"/>
      <c r="GJ45" s="42"/>
      <c r="GK45" s="42"/>
      <c r="GL45" s="42"/>
      <c r="GM45" s="42"/>
      <c r="GN45" s="42"/>
      <c r="GO45" s="42"/>
      <c r="GP45" s="42"/>
      <c r="GQ45" s="42"/>
      <c r="GR45" s="42"/>
      <c r="GS45" s="42"/>
      <c r="GT45" s="42"/>
      <c r="GU45" s="42"/>
      <c r="GV45" s="42"/>
      <c r="GW45" s="42"/>
      <c r="GX45" s="42"/>
    </row>
    <row r="46" spans="1:206" s="42" customFormat="1" x14ac:dyDescent="0.25">
      <c r="A46" s="80">
        <v>2</v>
      </c>
      <c r="B46" s="76" t="str">
        <f>线路!B43</f>
        <v>IP32</v>
      </c>
      <c r="C46" s="81">
        <f>线路!E43</f>
        <v>451045.62030000001</v>
      </c>
      <c r="D46" s="81">
        <f>线路!F43</f>
        <v>3045762.0514000002</v>
      </c>
      <c r="E46" s="85">
        <f>线路!G43</f>
        <v>13</v>
      </c>
      <c r="F46" s="85">
        <f>线路!H43</f>
        <v>76.283000000000001</v>
      </c>
      <c r="G46" s="86">
        <f>线路!L43</f>
        <v>2754.6367634645771</v>
      </c>
      <c r="H46" s="86">
        <f>线路!M43</f>
        <v>2763.2907953010194</v>
      </c>
      <c r="I46" s="86">
        <f>线路!N43</f>
        <v>2771.9448271374622</v>
      </c>
      <c r="J46" s="83">
        <f t="shared" si="0"/>
        <v>17.308063672885055</v>
      </c>
      <c r="K46" s="83">
        <f t="shared" si="13"/>
        <v>33.457921301075203</v>
      </c>
      <c r="L46" s="83">
        <f>IF(A46=1,断面设计!$D$7,IF(A46=2,断面设计!$D$8,IF(A46=3,断面设计!$D$9,IF(A46=4,断面设计!$D$10,IF(A46=5,断面设计!$D$11,IF(A46=6,断面设计!$D$12,IF(A46=7,断面设计!$D$13,IF(A46=8,断面设计!$D$14,IF(A46=9,断面设计!$D$15,IF(A46=10,断面设计!$D$16))))))))))</f>
        <v>1.5</v>
      </c>
      <c r="M46" s="83">
        <f t="shared" si="14"/>
        <v>1.2</v>
      </c>
      <c r="N46" s="110">
        <f t="shared" si="1"/>
        <v>1.4999999999999999E-2</v>
      </c>
      <c r="O46" s="83">
        <f>IF(A46=1,断面设计!$J$7,IF(A46=2,断面设计!$J$8,IF(A46=3,断面设计!$J$9,IF(A46=4,断面设计!$J$10,IF(A46=5,断面设计!$J$11,IF(A46=6,断面设计!$J$12,IF(A46=7,断面设计!$J$13,IF(A46=8,断面设计!$J$14,IF(A46=9,断面设计!$J$15,IF(A46=10,断面设计!$J$16))))))))))</f>
        <v>5000</v>
      </c>
      <c r="P46" s="111">
        <f>IF(A46=1,断面设计!$K$7,IF(A46=2,断面设计!$K$8,IF(A46=3,断面设计!$K$9,IF(A46=4,断面设计!$K$10,IF(A46=5,断面设计!$K$11,IF(A46=6,断面设计!$K$12,IF(A46=7,断面设计!$K$13,IF(A46=8,断面设计!$K$14,IF(A46=9,断面设计!$K$15,IF(A46=10,断面设计!$K$16))))))))))</f>
        <v>4.4993914540329225</v>
      </c>
      <c r="Q46" s="110">
        <f>IF(A46=1,断面设计!$C$7,IF(A46=2,断面设计!$C$8,IF(A46=3,断面设计!$C$9,IF(A46=4,断面设计!$C$10,IF(A46=5,断面设计!$C$11,IF(A46=6,断面设计!$C$12,IF(A46=7,断面设计!$C$13,IF(A46=8,断面设计!$C$14,IF(A46=9,断面设计!$C$15,IF(A46=10,断面设计!$C$16))))))))))</f>
        <v>1.58308906639964</v>
      </c>
      <c r="R46" s="83">
        <f>IF(A46=1,断面设计!$F$7,IF(A46=2,断面设计!$F$8,IF(A46=3,断面设计!$F$9,IF(A46=4,断面设计!$F$10,IF(A46=5,断面设计!$F$11,IF(A46=6,断面设计!$F$12,IF(A46=7,断面设计!$F$13,IF(A46=8,断面设计!$F$14,IF(A46=9,断面设计!$F$15,IF(A46=10,断面设计!$F$16))))))))))</f>
        <v>5.3820387901843603</v>
      </c>
      <c r="S46" s="83">
        <f>IF(A46=1,断面设计!$G$7,IF(A46=2,断面设计!$G$8,IF(A46=3,断面设计!$G$9,IF(A46=4,断面设计!$G$10,IF(A46=5,断面设计!$G$11,IF(A46=6,断面设计!$G$12,IF(A46=7,断面设计!$G$13,IF(A46=8,断面设计!$G$14,IF(A46=9,断面设计!$G$15,IF(A46=10,断面设计!$G$16))))))))))</f>
        <v>6.445728347111662</v>
      </c>
      <c r="T46" s="83">
        <f t="shared" si="15"/>
        <v>0.83497760072312976</v>
      </c>
      <c r="U46" s="83">
        <f t="shared" si="16"/>
        <v>0.8360013053489711</v>
      </c>
      <c r="V46" s="123">
        <f t="shared" si="17"/>
        <v>1.8271966989428753E-3</v>
      </c>
      <c r="W46" s="110"/>
      <c r="X46" s="110">
        <f>IF(AN46=0,IF(AN45=2,(H46-H45-AE45)/O46,(H46-H45)/O46),IF(AN46=1,IF(AN45=2,IF(AE46&lt;9,(H46-H45-AE46-AE45)/断面设计!$J$7,(H46-H45-AE46-AE45)/断面设计!$J$7),(H46-H45-AE46)/O45),(H46-H45)/O46))</f>
        <v>6.6915842602150409E-3</v>
      </c>
      <c r="Y46" s="133">
        <v>0</v>
      </c>
      <c r="Z46" s="134">
        <f t="shared" si="26"/>
        <v>0</v>
      </c>
      <c r="AA46" s="142"/>
      <c r="AB46" s="133">
        <f t="shared" si="4"/>
        <v>1.58308906639964</v>
      </c>
      <c r="AC46" s="110">
        <f t="shared" si="5"/>
        <v>8.5187809591579164E-3</v>
      </c>
      <c r="AD46" s="110">
        <f t="shared" ca="1" si="18"/>
        <v>2389.8836066037834</v>
      </c>
      <c r="AE46" s="82">
        <f t="shared" si="19"/>
        <v>0</v>
      </c>
      <c r="AF46" s="110" t="str">
        <f t="shared" si="6"/>
        <v xml:space="preserve"> </v>
      </c>
      <c r="AG46" s="110" t="str">
        <f>IF(AE46=0," ",AF46-断面设计!$C$7)</f>
        <v xml:space="preserve"> </v>
      </c>
      <c r="AH46" s="110">
        <f t="shared" ca="1" si="7"/>
        <v>2389.8871646068496</v>
      </c>
      <c r="AI46" s="110">
        <f t="shared" ca="1" si="8"/>
        <v>2388.30407554045</v>
      </c>
      <c r="AJ46" s="110">
        <f t="shared" ca="1" si="9"/>
        <v>2389.8818757974159</v>
      </c>
      <c r="AK46" s="110">
        <f t="shared" ca="1" si="10"/>
        <v>2388.2987867310162</v>
      </c>
      <c r="AL46" s="110">
        <f t="shared" ca="1" si="11"/>
        <v>2389.884520202133</v>
      </c>
      <c r="AM46" s="110">
        <f t="shared" ca="1" si="12"/>
        <v>2388.3014311357333</v>
      </c>
      <c r="AN46" s="80"/>
      <c r="AO46" s="80">
        <v>0</v>
      </c>
      <c r="AU46" s="64" t="str">
        <f t="shared" ca="1" si="20"/>
        <v>2763.29079530102,2388.30143113573</v>
      </c>
      <c r="AV46" s="64" t="str">
        <f t="shared" ca="1" si="30"/>
        <v>2763.29079530102,2389.88452020213</v>
      </c>
      <c r="AW46" s="169" t="str">
        <f t="shared" si="31"/>
        <v xml:space="preserve">pl 2763.29079530102,0 2763.29079530102,76 </v>
      </c>
      <c r="AX46" s="161" t="str">
        <f t="shared" ca="1" si="27"/>
        <v>-text 2763.29079530102,48 3.5 90 2388.301</v>
      </c>
      <c r="AY46" s="161" t="str">
        <f t="shared" ca="1" si="28"/>
        <v>-text 2763.29079530102,62.5 3.5 90 2389.885</v>
      </c>
      <c r="AZ46" s="42" t="str">
        <f t="shared" si="29"/>
        <v>-text 2763.29079530102,23.5 3.5 90 马分2+763.29</v>
      </c>
    </row>
    <row r="47" spans="1:206" s="42" customFormat="1" x14ac:dyDescent="0.25">
      <c r="A47" s="80">
        <v>2</v>
      </c>
      <c r="B47" s="76" t="str">
        <f>线路!B44</f>
        <v>IP33</v>
      </c>
      <c r="C47" s="81">
        <f>线路!E44</f>
        <v>451115.75150000001</v>
      </c>
      <c r="D47" s="81">
        <f>线路!F44</f>
        <v>3045738.1691000001</v>
      </c>
      <c r="E47" s="85">
        <f>线路!G44</f>
        <v>13</v>
      </c>
      <c r="F47" s="85">
        <f>线路!H44</f>
        <v>69.983000000000004</v>
      </c>
      <c r="G47" s="86">
        <f>线路!L44</f>
        <v>2826.7225821010466</v>
      </c>
      <c r="H47" s="86">
        <f>线路!M44</f>
        <v>2834.6619016087975</v>
      </c>
      <c r="I47" s="86">
        <f>线路!N44</f>
        <v>2842.601221116548</v>
      </c>
      <c r="J47" s="83">
        <f t="shared" si="0"/>
        <v>15.878639015501449</v>
      </c>
      <c r="K47" s="83">
        <f t="shared" si="13"/>
        <v>71.371106307778064</v>
      </c>
      <c r="L47" s="83">
        <f>IF(A47=1,断面设计!$D$7,IF(A47=2,断面设计!$D$8,IF(A47=3,断面设计!$D$9,IF(A47=4,断面设计!$D$10,IF(A47=5,断面设计!$D$11,IF(A47=6,断面设计!$D$12,IF(A47=7,断面设计!$D$13,IF(A47=8,断面设计!$D$14,IF(A47=9,断面设计!$D$15,IF(A47=10,断面设计!$D$16))))))))))</f>
        <v>1.5</v>
      </c>
      <c r="M47" s="83">
        <f t="shared" si="14"/>
        <v>1.2</v>
      </c>
      <c r="N47" s="110">
        <f t="shared" si="1"/>
        <v>1.4999999999999999E-2</v>
      </c>
      <c r="O47" s="83">
        <f>IF(A47=1,断面设计!$J$7,IF(A47=2,断面设计!$J$8,IF(A47=3,断面设计!$J$9,IF(A47=4,断面设计!$J$10,IF(A47=5,断面设计!$J$11,IF(A47=6,断面设计!$J$12,IF(A47=7,断面设计!$J$13,IF(A47=8,断面设计!$J$14,IF(A47=9,断面设计!$J$15,IF(A47=10,断面设计!$J$16))))))))))</f>
        <v>5000</v>
      </c>
      <c r="P47" s="111">
        <f>IF(A47=1,断面设计!$K$7,IF(A47=2,断面设计!$K$8,IF(A47=3,断面设计!$K$9,IF(A47=4,断面设计!$K$10,IF(A47=5,断面设计!$K$11,IF(A47=6,断面设计!$K$12,IF(A47=7,断面设计!$K$13,IF(A47=8,断面设计!$K$14,IF(A47=9,断面设计!$K$15,IF(A47=10,断面设计!$K$16))))))))))</f>
        <v>4.4993914540329225</v>
      </c>
      <c r="Q47" s="110">
        <f>IF(A47=1,断面设计!$C$7,IF(A47=2,断面设计!$C$8,IF(A47=3,断面设计!$C$9,IF(A47=4,断面设计!$C$10,IF(A47=5,断面设计!$C$11,IF(A47=6,断面设计!$C$12,IF(A47=7,断面设计!$C$13,IF(A47=8,断面设计!$C$14,IF(A47=9,断面设计!$C$15,IF(A47=10,断面设计!$C$16))))))))))</f>
        <v>1.58308906639964</v>
      </c>
      <c r="R47" s="83">
        <f>IF(A47=1,断面设计!$F$7,IF(A47=2,断面设计!$F$8,IF(A47=3,断面设计!$F$9,IF(A47=4,断面设计!$F$10,IF(A47=5,断面设计!$F$11,IF(A47=6,断面设计!$F$12,IF(A47=7,断面设计!$F$13,IF(A47=8,断面设计!$F$14,IF(A47=9,断面设计!$F$15,IF(A47=10,断面设计!$F$16))))))))))</f>
        <v>5.3820387901843603</v>
      </c>
      <c r="S47" s="83">
        <f>IF(A47=1,断面设计!$G$7,IF(A47=2,断面设计!$G$8,IF(A47=3,断面设计!$G$9,IF(A47=4,断面设计!$G$10,IF(A47=5,断面设计!$G$11,IF(A47=6,断面设计!$G$12,IF(A47=7,断面设计!$G$13,IF(A47=8,断面设计!$G$14,IF(A47=9,断面设计!$G$15,IF(A47=10,断面设计!$G$16))))))))))</f>
        <v>6.445728347111662</v>
      </c>
      <c r="T47" s="83">
        <f t="shared" si="15"/>
        <v>0.83497760072312976</v>
      </c>
      <c r="U47" s="83">
        <f t="shared" si="16"/>
        <v>0.8360013053489711</v>
      </c>
      <c r="V47" s="123">
        <f t="shared" si="17"/>
        <v>1.6762936248196502E-3</v>
      </c>
      <c r="W47" s="110"/>
      <c r="X47" s="110">
        <f>IF(AN47=0,IF(AN46=2,(H47-H46-AE46)/O47,(H47-H46)/O47),IF(AN47=1,IF(AN46=2,IF(AE47&lt;9,(H47-H46-AE47-AE46)/断面设计!$J$7,(H47-H46-AE47-AE46)/断面设计!$J$7),(H47-H46-AE47)/O46),(H47-H46)/O47))</f>
        <v>1.4274221261555612E-2</v>
      </c>
      <c r="Y47" s="133">
        <v>0</v>
      </c>
      <c r="Z47" s="134">
        <f t="shared" si="26"/>
        <v>0</v>
      </c>
      <c r="AA47" s="142"/>
      <c r="AB47" s="133">
        <f t="shared" si="4"/>
        <v>1.58308906639964</v>
      </c>
      <c r="AC47" s="110">
        <f t="shared" si="5"/>
        <v>1.5950514886375264E-2</v>
      </c>
      <c r="AD47" s="110">
        <f t="shared" ca="1" si="18"/>
        <v>2389.8676560888971</v>
      </c>
      <c r="AE47" s="82">
        <f t="shared" si="19"/>
        <v>0</v>
      </c>
      <c r="AF47" s="110" t="str">
        <f t="shared" si="6"/>
        <v xml:space="preserve"> </v>
      </c>
      <c r="AG47" s="110" t="str">
        <f>IF(AE47=0," ",AF47-断面设计!$C$8)</f>
        <v xml:space="preserve"> </v>
      </c>
      <c r="AH47" s="110">
        <f t="shared" ca="1" si="7"/>
        <v>2389.8709202464233</v>
      </c>
      <c r="AI47" s="110">
        <f t="shared" ca="1" si="8"/>
        <v>2388.2878311800237</v>
      </c>
      <c r="AJ47" s="110">
        <f t="shared" ca="1" si="9"/>
        <v>2389.8660682249956</v>
      </c>
      <c r="AK47" s="110">
        <f t="shared" ca="1" si="10"/>
        <v>2388.2829791585959</v>
      </c>
      <c r="AL47" s="110">
        <f t="shared" ca="1" si="11"/>
        <v>2389.8684942357095</v>
      </c>
      <c r="AM47" s="110">
        <f t="shared" ca="1" si="12"/>
        <v>2388.2854051693098</v>
      </c>
      <c r="AN47" s="80"/>
      <c r="AO47" s="80">
        <v>0</v>
      </c>
      <c r="AU47" s="64" t="str">
        <f t="shared" ca="1" si="20"/>
        <v>2834.6619016088,2388.28540516931</v>
      </c>
      <c r="AV47" s="64" t="str">
        <f t="shared" ca="1" si="30"/>
        <v>2834.6619016088,2389.86849423571</v>
      </c>
      <c r="AW47" s="169" t="str">
        <f t="shared" si="31"/>
        <v xml:space="preserve">pl 2834.6619016088,0 2834.6619016088,76 </v>
      </c>
      <c r="AX47" s="161" t="str">
        <f t="shared" ca="1" si="27"/>
        <v>-text 2834.6619016088,48 3.5 90 2388.285</v>
      </c>
      <c r="AY47" s="161" t="str">
        <f t="shared" ca="1" si="28"/>
        <v>-text 2834.6619016088,62.5 3.5 90 2389.868</v>
      </c>
      <c r="AZ47" s="42" t="str">
        <f t="shared" si="29"/>
        <v>-text 2834.6619016088,23.5 3.5 90 马分2+834.66</v>
      </c>
    </row>
    <row r="48" spans="1:206" s="56" customFormat="1" x14ac:dyDescent="0.25">
      <c r="A48" s="97">
        <v>2</v>
      </c>
      <c r="B48" s="98" t="str">
        <f>线路!B45</f>
        <v>1#渡槽进</v>
      </c>
      <c r="C48" s="99">
        <f>线路!E45</f>
        <v>451116.28019999998</v>
      </c>
      <c r="D48" s="99">
        <f>线路!F45</f>
        <v>3045713.1631999998</v>
      </c>
      <c r="E48" s="100">
        <f>线路!G45</f>
        <v>0</v>
      </c>
      <c r="F48" s="100">
        <f>线路!H45</f>
        <v>0</v>
      </c>
      <c r="G48" s="101">
        <f>线路!L45</f>
        <v>2858.5128855095959</v>
      </c>
      <c r="H48" s="101">
        <f>线路!M45</f>
        <v>2858.5128855095959</v>
      </c>
      <c r="I48" s="101">
        <f>线路!N45</f>
        <v>2858.5128855095959</v>
      </c>
      <c r="J48" s="118">
        <f t="shared" si="0"/>
        <v>0</v>
      </c>
      <c r="K48" s="118">
        <f t="shared" si="13"/>
        <v>23.850983900798383</v>
      </c>
      <c r="L48" s="118">
        <f>IF(A48=1,断面设计!$D$7,IF(A48=2,断面设计!$D$8,IF(A48=3,断面设计!$D$9,IF(A48=4,断面设计!$D$10,IF(A48=5,断面设计!$D$11,IF(A48=6,断面设计!$D$12,IF(A48=7,断面设计!$D$13,IF(A48=8,断面设计!$D$14,IF(A48=9,断面设计!$D$15,IF(A48=10,断面设计!$D$16))))))))))</f>
        <v>1.5</v>
      </c>
      <c r="M48" s="118">
        <f t="shared" si="14"/>
        <v>0</v>
      </c>
      <c r="N48" s="119">
        <f t="shared" si="1"/>
        <v>1.4E-2</v>
      </c>
      <c r="O48" s="118">
        <f>IF(A48=2,断面设计!$H$22,IF(A48=3,断面设计!$H$23,IF(A48=6,断面设计!$H$24)))</f>
        <v>2000</v>
      </c>
      <c r="P48" s="120">
        <f>IF(A48=1,断面设计!$K$7,IF(A48=2,断面设计!$K$8,IF(A48=3,断面设计!$K$9,IF(A48=4,断面设计!$K$10,IF(A48=5,断面设计!$K$11,IF(A48=6,断面设计!$K$12,IF(A48=7,断面设计!$K$13,IF(A48=8,断面设计!$K$14,IF(A48=9,断面设计!$K$15,IF(A48=10,断面设计!$K$16))))))))))</f>
        <v>4.4993914540329225</v>
      </c>
      <c r="Q48" s="119">
        <f>IF(A48=2,断面设计!$C$22,IF(A48=3,断面设计!$C$23,IF(A48=6,断面设计!$C$24)))</f>
        <v>1.65569614266399</v>
      </c>
      <c r="R48" s="118">
        <f>IF(A48=2,断面设计!$E$22,IF(A48=3,断面设计!$E$23,IF(A48=6,断面设计!$E$24)))</f>
        <v>3.4686096172770009</v>
      </c>
      <c r="S48" s="118">
        <f>IF(A48=2,断面设计!$R$22,IF(A48=3,断面设计!$R$23,IF(A48=6,断面设计!$R$24)))</f>
        <v>4.7383831023152219</v>
      </c>
      <c r="T48" s="118">
        <f t="shared" si="15"/>
        <v>0.73202388713192124</v>
      </c>
      <c r="U48" s="118">
        <f t="shared" si="16"/>
        <v>1.2971743581698096</v>
      </c>
      <c r="V48" s="126"/>
      <c r="W48" s="119">
        <f>1.15*(U48^2/2-U47^2/2)/9.81</f>
        <v>5.7661957333857532E-2</v>
      </c>
      <c r="X48" s="119">
        <f>IF(AN48=0,IF(AN47=2,(H48-H47-AE47)/O48,(H48-H47)/O48),IF(AN48=1,IF(AN47=2,IF(AE48&lt;9,(H48-H47-AE48-AE47)/断面设计!$J$7,(H48-H47-AE48-AE47)/断面设计!$J$7),(H48-H47-AE48)/O47),(H48-H47)/O48))</f>
        <v>3.3701967801596767E-3</v>
      </c>
      <c r="Y48" s="144">
        <v>0</v>
      </c>
      <c r="Z48" s="145">
        <f t="shared" si="26"/>
        <v>0</v>
      </c>
      <c r="AA48" s="146"/>
      <c r="AB48" s="144">
        <f t="shared" si="4"/>
        <v>1.65569614266399</v>
      </c>
      <c r="AC48" s="119">
        <f t="shared" si="5"/>
        <v>6.1032154114017211E-2</v>
      </c>
      <c r="AD48" s="119">
        <f t="shared" ca="1" si="18"/>
        <v>2389.8066239347831</v>
      </c>
      <c r="AE48" s="147">
        <v>7</v>
      </c>
      <c r="AF48" s="119">
        <f t="shared" ca="1" si="6"/>
        <v>2389.8642858921171</v>
      </c>
      <c r="AG48" s="119">
        <f ca="1">IF(AE48=0," ",AF48-断面设计!$C$8)</f>
        <v>2388.2811968257174</v>
      </c>
      <c r="AH48" s="119" t="str">
        <f t="shared" si="7"/>
        <v xml:space="preserve"> </v>
      </c>
      <c r="AI48" s="119" t="str">
        <f t="shared" si="8"/>
        <v xml:space="preserve"> </v>
      </c>
      <c r="AJ48" s="119" t="str">
        <f t="shared" si="9"/>
        <v xml:space="preserve"> </v>
      </c>
      <c r="AK48" s="119" t="str">
        <f t="shared" si="10"/>
        <v xml:space="preserve"> </v>
      </c>
      <c r="AL48" s="119">
        <f t="shared" ca="1" si="11"/>
        <v>2389.8066239347831</v>
      </c>
      <c r="AM48" s="119">
        <f t="shared" ca="1" si="12"/>
        <v>2388.1509277921191</v>
      </c>
      <c r="AN48" s="97">
        <v>1</v>
      </c>
      <c r="AO48" s="97">
        <v>2</v>
      </c>
      <c r="AP48" s="42"/>
      <c r="AQ48" s="42"/>
      <c r="AR48" s="42"/>
      <c r="AS48" s="42"/>
      <c r="AT48" s="42"/>
      <c r="AU48" s="64" t="str">
        <f t="shared" ca="1" si="20"/>
        <v>2858.5128855096,2388.15092779212</v>
      </c>
      <c r="AV48" s="64" t="str">
        <f t="shared" ca="1" si="30"/>
        <v>2858.5128855096,2389.80662393478</v>
      </c>
      <c r="AW48" s="169" t="str">
        <f t="shared" si="31"/>
        <v xml:space="preserve">pl 2858.5128855096,0 2858.5128855096,76 </v>
      </c>
      <c r="AX48" s="161" t="str">
        <f t="shared" ca="1" si="27"/>
        <v>-text 2858.5128855096,48 3.5 90 2388.151</v>
      </c>
      <c r="AY48" s="161" t="str">
        <f t="shared" ca="1" si="28"/>
        <v>-text 2858.5128855096,62.5 3.5 90 2389.807</v>
      </c>
      <c r="AZ48" s="42" t="str">
        <f t="shared" si="29"/>
        <v>-text 2858.5128855096,23.5 3.5 90 马分2+858.51</v>
      </c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42"/>
      <c r="DO48" s="42"/>
      <c r="DP48" s="42"/>
      <c r="DQ48" s="42"/>
      <c r="DR48" s="42"/>
      <c r="DS48" s="42"/>
      <c r="DT48" s="42"/>
      <c r="DU48" s="42"/>
      <c r="DV48" s="42"/>
      <c r="DW48" s="42"/>
      <c r="DX48" s="42"/>
      <c r="DY48" s="42"/>
      <c r="DZ48" s="42"/>
      <c r="EA48" s="42"/>
      <c r="EB48" s="42"/>
      <c r="EC48" s="42"/>
      <c r="ED48" s="42"/>
      <c r="EE48" s="42"/>
      <c r="EF48" s="42"/>
      <c r="EG48" s="42"/>
      <c r="EH48" s="42"/>
      <c r="EI48" s="42"/>
      <c r="EJ48" s="42"/>
      <c r="EK48" s="42"/>
      <c r="EL48" s="42"/>
      <c r="EM48" s="42"/>
      <c r="EN48" s="42"/>
      <c r="EO48" s="42"/>
      <c r="EP48" s="42"/>
      <c r="EQ48" s="42"/>
      <c r="ER48" s="42"/>
      <c r="ES48" s="42"/>
      <c r="ET48" s="42"/>
      <c r="EU48" s="42"/>
      <c r="EV48" s="42"/>
      <c r="EW48" s="42"/>
      <c r="EX48" s="42"/>
      <c r="EY48" s="42"/>
      <c r="EZ48" s="42"/>
      <c r="FA48" s="42"/>
      <c r="FB48" s="42"/>
      <c r="FC48" s="42"/>
      <c r="FD48" s="42"/>
      <c r="FE48" s="42"/>
      <c r="FF48" s="42"/>
      <c r="FG48" s="42"/>
      <c r="FH48" s="42"/>
      <c r="FI48" s="42"/>
      <c r="FJ48" s="42"/>
      <c r="FK48" s="42"/>
      <c r="FL48" s="42"/>
      <c r="FM48" s="42"/>
      <c r="FN48" s="42"/>
      <c r="FO48" s="42"/>
      <c r="FP48" s="42"/>
      <c r="FQ48" s="42"/>
      <c r="FR48" s="42"/>
      <c r="FS48" s="42"/>
      <c r="FT48" s="42"/>
      <c r="FU48" s="42"/>
      <c r="FV48" s="42"/>
      <c r="FW48" s="42"/>
      <c r="FX48" s="42"/>
      <c r="FY48" s="42"/>
      <c r="FZ48" s="42"/>
      <c r="GA48" s="42"/>
      <c r="GB48" s="42"/>
      <c r="GC48" s="42"/>
      <c r="GD48" s="42"/>
      <c r="GE48" s="42"/>
      <c r="GF48" s="42"/>
      <c r="GG48" s="42"/>
      <c r="GH48" s="42"/>
      <c r="GI48" s="42"/>
      <c r="GJ48" s="42"/>
      <c r="GK48" s="42"/>
      <c r="GL48" s="42"/>
      <c r="GM48" s="42"/>
      <c r="GN48" s="42"/>
      <c r="GO48" s="42"/>
      <c r="GP48" s="42"/>
      <c r="GQ48" s="42"/>
      <c r="GR48" s="42"/>
      <c r="GS48" s="42"/>
      <c r="GT48" s="42"/>
      <c r="GU48" s="42"/>
      <c r="GV48" s="42"/>
      <c r="GW48" s="42"/>
      <c r="GX48" s="42"/>
    </row>
    <row r="49" spans="1:206" s="56" customFormat="1" x14ac:dyDescent="0.25">
      <c r="A49" s="97">
        <v>2</v>
      </c>
      <c r="B49" s="98" t="str">
        <f>线路!B46</f>
        <v>1#渡槽出</v>
      </c>
      <c r="C49" s="99">
        <f>线路!E46</f>
        <v>451118.05550000002</v>
      </c>
      <c r="D49" s="99">
        <f>线路!F46</f>
        <v>3045629.1825999999</v>
      </c>
      <c r="E49" s="100">
        <f>线路!G46</f>
        <v>0</v>
      </c>
      <c r="F49" s="100">
        <f>线路!H46</f>
        <v>0</v>
      </c>
      <c r="G49" s="101">
        <f>线路!L46</f>
        <v>2942.5122478073672</v>
      </c>
      <c r="H49" s="101">
        <f>线路!M46</f>
        <v>2942.5122478073672</v>
      </c>
      <c r="I49" s="101">
        <f>线路!N46</f>
        <v>2942.5122478073672</v>
      </c>
      <c r="J49" s="118">
        <f t="shared" si="0"/>
        <v>0</v>
      </c>
      <c r="K49" s="118">
        <f t="shared" si="13"/>
        <v>83.999362297771313</v>
      </c>
      <c r="L49" s="118">
        <f>IF(A49=1,断面设计!$D$7,IF(A49=2,断面设计!$D$8,IF(A49=3,断面设计!$D$9,IF(A49=4,断面设计!$D$10,IF(A49=5,断面设计!$D$11,IF(A49=6,断面设计!$D$12,IF(A49=7,断面设计!$D$13,IF(A49=8,断面设计!$D$14,IF(A49=9,断面设计!$D$15,IF(A49=10,断面设计!$D$16))))))))))</f>
        <v>1.5</v>
      </c>
      <c r="M49" s="118">
        <f t="shared" si="14"/>
        <v>0</v>
      </c>
      <c r="N49" s="119">
        <f t="shared" si="1"/>
        <v>1.4E-2</v>
      </c>
      <c r="O49" s="118">
        <f>IF(A49=2,断面设计!$H$22,IF(A49=3,断面设计!$H$23,IF(A49=6,断面设计!$H$24)))</f>
        <v>2000</v>
      </c>
      <c r="P49" s="120">
        <f>IF(A49=1,断面设计!$K$7,IF(A49=2,断面设计!$K$8,IF(A49=3,断面设计!$K$9,IF(A49=4,断面设计!$K$10,IF(A49=5,断面设计!$K$11,IF(A49=6,断面设计!$K$12,IF(A49=7,断面设计!$K$13,IF(A49=8,断面设计!$K$14,IF(A49=9,断面设计!$K$15,IF(A49=10,断面设计!$K$16))))))))))</f>
        <v>4.4993914540329225</v>
      </c>
      <c r="Q49" s="119">
        <f>IF(A49=2,断面设计!$C$22,IF(A49=3,断面设计!$C$23,IF(A49=6,断面设计!$C$24)))</f>
        <v>1.65569614266399</v>
      </c>
      <c r="R49" s="118">
        <f>IF(A49=2,断面设计!$E$22,IF(A49=3,断面设计!$E$23,IF(A49=6,断面设计!$E$24)))</f>
        <v>3.4686096172770009</v>
      </c>
      <c r="S49" s="118">
        <f>IF(A49=2,断面设计!$R$22,IF(A49=3,断面设计!$R$23,IF(A49=6,断面设计!$R$24)))</f>
        <v>4.7383831023152219</v>
      </c>
      <c r="T49" s="118">
        <f t="shared" si="15"/>
        <v>0.73202388713192124</v>
      </c>
      <c r="U49" s="118">
        <f t="shared" si="16"/>
        <v>1.2971743581698096</v>
      </c>
      <c r="V49" s="126"/>
      <c r="W49" s="119">
        <f>-0.6*(U49^2/2-U50^2/2)/9.81</f>
        <v>-3.0084499478534366E-2</v>
      </c>
      <c r="X49" s="119">
        <f>IF(AN49=0,IF(AN48=2,(H49-H48-AE48)/O49,(H49-H48)/O49),IF(AN49=1,IF(AN48=2,IF(AE49&lt;9,(H49-H48-AE49-AE48)/断面设计!$J$7,(H49-H48-AE49-AE48)/断面设计!$J$7),(H49-H48-AE49)/O48),(H49-H48)/O49))</f>
        <v>4.1999681148885658E-2</v>
      </c>
      <c r="Y49" s="144">
        <v>0</v>
      </c>
      <c r="Z49" s="145">
        <f t="shared" si="26"/>
        <v>0</v>
      </c>
      <c r="AA49" s="146"/>
      <c r="AB49" s="144">
        <f t="shared" si="4"/>
        <v>1.65569614266399</v>
      </c>
      <c r="AC49" s="119">
        <f t="shared" si="5"/>
        <v>1.1915181670351292E-2</v>
      </c>
      <c r="AD49" s="119">
        <f t="shared" ca="1" si="18"/>
        <v>2389.7947087531129</v>
      </c>
      <c r="AE49" s="147">
        <v>10</v>
      </c>
      <c r="AF49" s="119">
        <f t="shared" ca="1" si="6"/>
        <v>2389.7947087531129</v>
      </c>
      <c r="AG49" s="119">
        <f ca="1">IF(AE49=0," ",AF49-断面设计!$C$7)</f>
        <v>2388.194762916713</v>
      </c>
      <c r="AH49" s="119" t="str">
        <f t="shared" si="7"/>
        <v xml:space="preserve"> </v>
      </c>
      <c r="AI49" s="119" t="str">
        <f t="shared" si="8"/>
        <v xml:space="preserve"> </v>
      </c>
      <c r="AJ49" s="119" t="str">
        <f t="shared" si="9"/>
        <v xml:space="preserve"> </v>
      </c>
      <c r="AK49" s="119" t="str">
        <f t="shared" si="10"/>
        <v xml:space="preserve"> </v>
      </c>
      <c r="AL49" s="119">
        <f t="shared" ca="1" si="11"/>
        <v>2389.7646242536343</v>
      </c>
      <c r="AM49" s="119">
        <f t="shared" ca="1" si="12"/>
        <v>2388.1089281109703</v>
      </c>
      <c r="AN49" s="97">
        <v>2</v>
      </c>
      <c r="AO49" s="97">
        <v>2</v>
      </c>
      <c r="AP49" s="42"/>
      <c r="AQ49" s="42"/>
      <c r="AR49" s="42"/>
      <c r="AS49" s="42"/>
      <c r="AT49" s="42"/>
      <c r="AU49" s="64" t="str">
        <f t="shared" ca="1" si="20"/>
        <v>2942.51224780737,2388.10892811097</v>
      </c>
      <c r="AV49" s="64" t="str">
        <f t="shared" ca="1" si="30"/>
        <v>2942.51224780737,2389.76462425363</v>
      </c>
      <c r="AW49" s="169" t="str">
        <f t="shared" si="31"/>
        <v xml:space="preserve">pl 2942.51224780737,0 2942.51224780737,76 </v>
      </c>
      <c r="AX49" s="161" t="str">
        <f t="shared" ca="1" si="27"/>
        <v>-text 2942.51224780737,48 3.5 90 2388.109</v>
      </c>
      <c r="AY49" s="161" t="str">
        <f t="shared" ca="1" si="28"/>
        <v>-text 2942.51224780737,62.5 3.5 90 2389.765</v>
      </c>
      <c r="AZ49" s="42" t="str">
        <f t="shared" si="29"/>
        <v>-text 2942.51224780737,23.5 3.5 90 马分2+942.51</v>
      </c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42"/>
      <c r="DO49" s="42"/>
      <c r="DP49" s="42"/>
      <c r="DQ49" s="42"/>
      <c r="DR49" s="42"/>
      <c r="DS49" s="42"/>
      <c r="DT49" s="42"/>
      <c r="DU49" s="42"/>
      <c r="DV49" s="42"/>
      <c r="DW49" s="42"/>
      <c r="DX49" s="42"/>
      <c r="DY49" s="42"/>
      <c r="DZ49" s="42"/>
      <c r="EA49" s="42"/>
      <c r="EB49" s="42"/>
      <c r="EC49" s="42"/>
      <c r="ED49" s="42"/>
      <c r="EE49" s="42"/>
      <c r="EF49" s="42"/>
      <c r="EG49" s="42"/>
      <c r="EH49" s="42"/>
      <c r="EI49" s="42"/>
      <c r="EJ49" s="42"/>
      <c r="EK49" s="42"/>
      <c r="EL49" s="42"/>
      <c r="EM49" s="42"/>
      <c r="EN49" s="42"/>
      <c r="EO49" s="42"/>
      <c r="EP49" s="42"/>
      <c r="EQ49" s="42"/>
      <c r="ER49" s="42"/>
      <c r="ES49" s="42"/>
      <c r="ET49" s="42"/>
      <c r="EU49" s="42"/>
      <c r="EV49" s="42"/>
      <c r="EW49" s="42"/>
      <c r="EX49" s="42"/>
      <c r="EY49" s="42"/>
      <c r="EZ49" s="42"/>
      <c r="FA49" s="42"/>
      <c r="FB49" s="42"/>
      <c r="FC49" s="42"/>
      <c r="FD49" s="42"/>
      <c r="FE49" s="42"/>
      <c r="FF49" s="42"/>
      <c r="FG49" s="42"/>
      <c r="FH49" s="42"/>
      <c r="FI49" s="42"/>
      <c r="FJ49" s="42"/>
      <c r="FK49" s="42"/>
      <c r="FL49" s="42"/>
      <c r="FM49" s="42"/>
      <c r="FN49" s="42"/>
      <c r="FO49" s="42"/>
      <c r="FP49" s="42"/>
      <c r="FQ49" s="42"/>
      <c r="FR49" s="42"/>
      <c r="FS49" s="42"/>
      <c r="FT49" s="42"/>
      <c r="FU49" s="42"/>
      <c r="FV49" s="42"/>
      <c r="FW49" s="42"/>
      <c r="FX49" s="42"/>
      <c r="FY49" s="42"/>
      <c r="FZ49" s="42"/>
      <c r="GA49" s="42"/>
      <c r="GB49" s="42"/>
      <c r="GC49" s="42"/>
      <c r="GD49" s="42"/>
      <c r="GE49" s="42"/>
      <c r="GF49" s="42"/>
      <c r="GG49" s="42"/>
      <c r="GH49" s="42"/>
      <c r="GI49" s="42"/>
      <c r="GJ49" s="42"/>
      <c r="GK49" s="42"/>
      <c r="GL49" s="42"/>
      <c r="GM49" s="42"/>
      <c r="GN49" s="42"/>
      <c r="GO49" s="42"/>
      <c r="GP49" s="42"/>
      <c r="GQ49" s="42"/>
      <c r="GR49" s="42"/>
      <c r="GS49" s="42"/>
      <c r="GT49" s="42"/>
      <c r="GU49" s="42"/>
      <c r="GV49" s="42"/>
      <c r="GW49" s="42"/>
      <c r="GX49" s="42"/>
    </row>
    <row r="50" spans="1:206" s="42" customFormat="1" x14ac:dyDescent="0.25">
      <c r="A50" s="80">
        <v>2</v>
      </c>
      <c r="B50" s="76" t="str">
        <f>线路!B47</f>
        <v>IP34</v>
      </c>
      <c r="C50" s="81">
        <f>线路!E47</f>
        <v>451118.41769999999</v>
      </c>
      <c r="D50" s="81">
        <f>线路!F47</f>
        <v>3045612.0479000001</v>
      </c>
      <c r="E50" s="85">
        <f>线路!G47</f>
        <v>13</v>
      </c>
      <c r="F50" s="85">
        <f>线路!H47</f>
        <v>46.162999999999997</v>
      </c>
      <c r="G50" s="86">
        <f>线路!L47</f>
        <v>2954.1107661436081</v>
      </c>
      <c r="H50" s="86">
        <f>线路!M47</f>
        <v>2959.3477923704959</v>
      </c>
      <c r="I50" s="86">
        <f>线路!N47</f>
        <v>2964.5848185973841</v>
      </c>
      <c r="J50" s="83">
        <f t="shared" si="0"/>
        <v>10.474052453776039</v>
      </c>
      <c r="K50" s="83">
        <f t="shared" si="13"/>
        <v>16.835544563128678</v>
      </c>
      <c r="L50" s="83">
        <f>IF(A50=1,断面设计!$D$7,IF(A50=2,断面设计!$D$8,IF(A50=3,断面设计!$D$9,IF(A50=4,断面设计!$D$10,IF(A50=5,断面设计!$D$11,IF(A50=6,断面设计!$D$12,IF(A50=7,断面设计!$D$13,IF(A50=8,断面设计!$D$14,IF(A50=9,断面设计!$D$15,IF(A50=10,断面设计!$D$16))))))))))</f>
        <v>1.5</v>
      </c>
      <c r="M50" s="83">
        <f t="shared" si="14"/>
        <v>1.2</v>
      </c>
      <c r="N50" s="110">
        <f t="shared" si="1"/>
        <v>1.4999999999999999E-2</v>
      </c>
      <c r="O50" s="83">
        <f>IF(A50=1,断面设计!$J$7,IF(A50=2,断面设计!$J$8,IF(A50=3,断面设计!$J$9,IF(A50=4,断面设计!$J$10,IF(A50=5,断面设计!$J$11,IF(A50=6,断面设计!$J$12,IF(A50=7,断面设计!$J$13,IF(A50=8,断面设计!$J$14,IF(A50=9,断面设计!$J$15,IF(A50=10,断面设计!$J$16))))))))))</f>
        <v>5000</v>
      </c>
      <c r="P50" s="111">
        <f>IF(A50=1,断面设计!$K$7,IF(A50=2,断面设计!$K$8,IF(A50=3,断面设计!$K$9,IF(A50=4,断面设计!$K$10,IF(A50=5,断面设计!$K$11,IF(A50=6,断面设计!$K$12,IF(A50=7,断面设计!$K$13,IF(A50=8,断面设计!$K$14,IF(A50=9,断面设计!$K$15,IF(A50=10,断面设计!$K$16))))))))))</f>
        <v>4.4993914540329225</v>
      </c>
      <c r="Q50" s="110">
        <f>IF(A50=1,断面设计!$C$7,IF(A50=2,断面设计!$C$8,IF(A50=3,断面设计!$C$9,IF(A50=4,断面设计!$C$10,IF(A50=5,断面设计!$C$11,IF(A50=6,断面设计!$C$12,IF(A50=7,断面设计!$C$13,IF(A50=8,断面设计!$C$14,IF(A50=9,断面设计!$C$15,IF(A50=10,断面设计!$C$16))))))))))</f>
        <v>1.58308906639964</v>
      </c>
      <c r="R50" s="83">
        <f>IF(A50=1,断面设计!$F$7,IF(A50=2,断面设计!$F$8,IF(A50=3,断面设计!$F$9,IF(A50=4,断面设计!$F$10,IF(A50=5,断面设计!$F$11,IF(A50=6,断面设计!$F$12,IF(A50=7,断面设计!$F$13,IF(A50=8,断面设计!$F$14,IF(A50=9,断面设计!$F$15,IF(A50=10,断面设计!$F$16))))))))))</f>
        <v>5.3820387901843603</v>
      </c>
      <c r="S50" s="83">
        <f>IF(A50=1,断面设计!$G$7,IF(A50=2,断面设计!$G$8,IF(A50=3,断面设计!$G$9,IF(A50=4,断面设计!$G$10,IF(A50=5,断面设计!$G$11,IF(A50=6,断面设计!$G$12,IF(A50=7,断面设计!$G$13,IF(A50=8,断面设计!$G$14,IF(A50=9,断面设计!$G$15,IF(A50=10,断面设计!$G$16))))))))))</f>
        <v>6.445728347111662</v>
      </c>
      <c r="T50" s="83">
        <f t="shared" si="15"/>
        <v>0.83497760072312976</v>
      </c>
      <c r="U50" s="83">
        <f t="shared" si="16"/>
        <v>0.8360013053489711</v>
      </c>
      <c r="V50" s="123">
        <f t="shared" si="17"/>
        <v>1.1057362874205324E-3</v>
      </c>
      <c r="W50" s="110"/>
      <c r="X50" s="110">
        <f>IF(AN50=0,IF(AN49=2,(H50-H49-AE49)/O50,(H50-H49)/O50),IF(AN50=1,IF(AN49=2,IF(AE50&lt;9,(H50-H49-AE50-AE49)/断面设计!$J$7,(H50-H49-AE50-AE49)/断面设计!$J$7),(H50-H49-AE50)/O49),(H50-H49)/O50))</f>
        <v>1.3671089126257357E-3</v>
      </c>
      <c r="Y50" s="133">
        <v>0</v>
      </c>
      <c r="Z50" s="134">
        <f t="shared" si="26"/>
        <v>0</v>
      </c>
      <c r="AA50" s="142"/>
      <c r="AB50" s="133">
        <f t="shared" si="4"/>
        <v>1.58308906639964</v>
      </c>
      <c r="AC50" s="110">
        <f t="shared" si="5"/>
        <v>2.4728452000462682E-3</v>
      </c>
      <c r="AD50" s="110">
        <f t="shared" ca="1" si="18"/>
        <v>2389.792235907913</v>
      </c>
      <c r="AE50" s="82">
        <f t="shared" si="19"/>
        <v>0</v>
      </c>
      <c r="AF50" s="110" t="str">
        <f t="shared" si="6"/>
        <v xml:space="preserve"> </v>
      </c>
      <c r="AG50" s="110" t="str">
        <f>IF(AE50=0," ",AF50-断面设计!$C$7)</f>
        <v xml:space="preserve"> </v>
      </c>
      <c r="AH50" s="110">
        <f t="shared" ca="1" si="7"/>
        <v>2389.7943890494462</v>
      </c>
      <c r="AI50" s="110">
        <f t="shared" ca="1" si="8"/>
        <v>2388.2112999830465</v>
      </c>
      <c r="AJ50" s="110">
        <f t="shared" ca="1" si="9"/>
        <v>2389.7911885026674</v>
      </c>
      <c r="AK50" s="110">
        <f t="shared" ca="1" si="10"/>
        <v>2388.2080994362677</v>
      </c>
      <c r="AL50" s="110">
        <f t="shared" ca="1" si="11"/>
        <v>2389.7927887760566</v>
      </c>
      <c r="AM50" s="110">
        <f t="shared" ca="1" si="12"/>
        <v>2388.2096997096569</v>
      </c>
      <c r="AN50" s="80"/>
      <c r="AO50" s="80">
        <v>0</v>
      </c>
      <c r="AU50" s="64" t="str">
        <f t="shared" ca="1" si="20"/>
        <v>2959.3477923705,2388.20969970966</v>
      </c>
      <c r="AV50" s="64" t="str">
        <f t="shared" ca="1" si="30"/>
        <v>2959.3477923705,2389.79278877606</v>
      </c>
      <c r="AW50" s="169" t="str">
        <f t="shared" si="31"/>
        <v xml:space="preserve">pl 2959.3477923705,0 2959.3477923705,76 </v>
      </c>
      <c r="AX50" s="161" t="str">
        <f t="shared" ca="1" si="27"/>
        <v>-text 2959.3477923705,48 3.5 90 2388.210</v>
      </c>
      <c r="AY50" s="161" t="str">
        <f t="shared" ca="1" si="28"/>
        <v>-text 2959.3477923705,62.5 3.5 90 2389.793</v>
      </c>
      <c r="AZ50" s="42" t="str">
        <f t="shared" si="29"/>
        <v>-text 2959.3477923705,23.5 3.5 90 马分2+959.35</v>
      </c>
    </row>
    <row r="51" spans="1:206" s="42" customFormat="1" x14ac:dyDescent="0.25">
      <c r="A51" s="80">
        <v>2</v>
      </c>
      <c r="B51" s="76" t="str">
        <f>线路!B48</f>
        <v>IP35</v>
      </c>
      <c r="C51" s="81">
        <f>线路!E48</f>
        <v>451099.57040000003</v>
      </c>
      <c r="D51" s="81">
        <f>线路!F48</f>
        <v>3045593.1693000002</v>
      </c>
      <c r="E51" s="85">
        <f>线路!G48</f>
        <v>13</v>
      </c>
      <c r="F51" s="85">
        <f>线路!H48</f>
        <v>32.344999999999999</v>
      </c>
      <c r="G51" s="86">
        <f>线路!L48</f>
        <v>2981.9509742226414</v>
      </c>
      <c r="H51" s="86">
        <f>线路!M48</f>
        <v>2985.6203980752657</v>
      </c>
      <c r="I51" s="86">
        <f>线路!N48</f>
        <v>2989.28982192789</v>
      </c>
      <c r="J51" s="83">
        <f t="shared" si="0"/>
        <v>7.3388477052485541</v>
      </c>
      <c r="K51" s="83">
        <f t="shared" si="13"/>
        <v>26.27260570476983</v>
      </c>
      <c r="L51" s="83">
        <f>IF(A51=1,断面设计!$D$7,IF(A51=2,断面设计!$D$8,IF(A51=3,断面设计!$D$9,IF(A51=4,断面设计!$D$10,IF(A51=5,断面设计!$D$11,IF(A51=6,断面设计!$D$12,IF(A51=7,断面设计!$D$13,IF(A51=8,断面设计!$D$14,IF(A51=9,断面设计!$D$15,IF(A51=10,断面设计!$D$16))))))))))</f>
        <v>1.5</v>
      </c>
      <c r="M51" s="83">
        <f t="shared" si="14"/>
        <v>1.2</v>
      </c>
      <c r="N51" s="110">
        <f t="shared" si="1"/>
        <v>1.4999999999999999E-2</v>
      </c>
      <c r="O51" s="83">
        <f>IF(A51=1,断面设计!$J$7,IF(A51=2,断面设计!$J$8,IF(A51=3,断面设计!$J$9,IF(A51=4,断面设计!$J$10,IF(A51=5,断面设计!$J$11,IF(A51=6,断面设计!$J$12,IF(A51=7,断面设计!$J$13,IF(A51=8,断面设计!$J$14,IF(A51=9,断面设计!$J$15,IF(A51=10,断面设计!$J$16))))))))))</f>
        <v>5000</v>
      </c>
      <c r="P51" s="111">
        <f>IF(A51=1,断面设计!$K$7,IF(A51=2,断面设计!$K$8,IF(A51=3,断面设计!$K$9,IF(A51=4,断面设计!$K$10,IF(A51=5,断面设计!$K$11,IF(A51=6,断面设计!$K$12,IF(A51=7,断面设计!$K$13,IF(A51=8,断面设计!$K$14,IF(A51=9,断面设计!$K$15,IF(A51=10,断面设计!$K$16))))))))))</f>
        <v>4.4993914540329225</v>
      </c>
      <c r="Q51" s="110">
        <f>IF(A51=1,断面设计!$C$7,IF(A51=2,断面设计!$C$8,IF(A51=3,断面设计!$C$9,IF(A51=4,断面设计!$C$10,IF(A51=5,断面设计!$C$11,IF(A51=6,断面设计!$C$12,IF(A51=7,断面设计!$C$13,IF(A51=8,断面设计!$C$14,IF(A51=9,断面设计!$C$15,IF(A51=10,断面设计!$C$16))))))))))</f>
        <v>1.58308906639964</v>
      </c>
      <c r="R51" s="83">
        <f>IF(A51=1,断面设计!$F$7,IF(A51=2,断面设计!$F$8,IF(A51=3,断面设计!$F$9,IF(A51=4,断面设计!$F$10,IF(A51=5,断面设计!$F$11,IF(A51=6,断面设计!$F$12,IF(A51=7,断面设计!$F$13,IF(A51=8,断面设计!$F$14,IF(A51=9,断面设计!$F$15,IF(A51=10,断面设计!$F$16))))))))))</f>
        <v>5.3820387901843603</v>
      </c>
      <c r="S51" s="83">
        <f>IF(A51=1,断面设计!$G$7,IF(A51=2,断面设计!$G$8,IF(A51=3,断面设计!$G$9,IF(A51=4,断面设计!$G$10,IF(A51=5,断面设计!$G$11,IF(A51=6,断面设计!$G$12,IF(A51=7,断面设计!$G$13,IF(A51=8,断面设计!$G$14,IF(A51=9,断面设计!$G$15,IF(A51=10,断面设计!$G$16))))))))))</f>
        <v>6.445728347111662</v>
      </c>
      <c r="T51" s="83">
        <f t="shared" si="15"/>
        <v>0.83497760072312976</v>
      </c>
      <c r="U51" s="83">
        <f t="shared" si="16"/>
        <v>0.8360013053489711</v>
      </c>
      <c r="V51" s="123">
        <f t="shared" si="17"/>
        <v>7.7475554484365047E-4</v>
      </c>
      <c r="W51" s="127"/>
      <c r="X51" s="110">
        <f>IF(AN51=0,IF(AN50=2,(H51-H50-AE50)/O51,(H51-H50)/O51),IF(AN51=1,IF(AN50=2,IF(AE51&lt;9,(H51-H50-AE51-AE50)/断面设计!$J$7,(H51-H50-AE51-AE50)/断面设计!$J$7),(H51-H50-AE51)/O50),(H51-H50)/O51))</f>
        <v>5.2545211409539662E-3</v>
      </c>
      <c r="Y51" s="133">
        <v>0</v>
      </c>
      <c r="Z51" s="134">
        <f t="shared" si="26"/>
        <v>0</v>
      </c>
      <c r="AA51" s="142"/>
      <c r="AB51" s="133">
        <f t="shared" si="4"/>
        <v>1.58308906639964</v>
      </c>
      <c r="AC51" s="110">
        <f t="shared" si="5"/>
        <v>6.0292766857976167E-3</v>
      </c>
      <c r="AD51" s="110">
        <f t="shared" ca="1" si="18"/>
        <v>2389.7862066312273</v>
      </c>
      <c r="AE51" s="82">
        <f t="shared" si="19"/>
        <v>0</v>
      </c>
      <c r="AF51" s="110" t="str">
        <f t="shared" si="6"/>
        <v xml:space="preserve"> </v>
      </c>
      <c r="AG51" s="110" t="str">
        <f>IF(AE51=0," ",AF51-断面设计!$C$7)</f>
        <v xml:space="preserve"> </v>
      </c>
      <c r="AH51" s="110">
        <f t="shared" ca="1" si="7"/>
        <v>2389.7877152715423</v>
      </c>
      <c r="AI51" s="110">
        <f t="shared" ca="1" si="8"/>
        <v>2388.2046262051426</v>
      </c>
      <c r="AJ51" s="110">
        <f t="shared" ca="1" si="9"/>
        <v>2389.7854727464569</v>
      </c>
      <c r="AK51" s="110">
        <f t="shared" ca="1" si="10"/>
        <v>2388.2023836800572</v>
      </c>
      <c r="AL51" s="110">
        <f t="shared" ca="1" si="11"/>
        <v>2389.7865940089996</v>
      </c>
      <c r="AM51" s="110">
        <f t="shared" ca="1" si="12"/>
        <v>2388.2035049425999</v>
      </c>
      <c r="AN51" s="127"/>
      <c r="AO51" s="80">
        <v>0</v>
      </c>
      <c r="AU51" s="64" t="str">
        <f t="shared" ca="1" si="20"/>
        <v>2985.62039807527,2388.2035049426</v>
      </c>
      <c r="AV51" s="64" t="str">
        <f t="shared" ca="1" si="30"/>
        <v>2985.62039807527,2389.786594009</v>
      </c>
      <c r="AW51" s="169" t="str">
        <f t="shared" si="31"/>
        <v xml:space="preserve">pl 2985.62039807527,0 2985.62039807527,76 </v>
      </c>
      <c r="AX51" s="161" t="str">
        <f t="shared" ca="1" si="27"/>
        <v>-text 2985.62039807527,48 3.5 90 2388.204</v>
      </c>
      <c r="AY51" s="161" t="str">
        <f t="shared" ca="1" si="28"/>
        <v>-text 2985.62039807527,62.5 3.5 90 2389.787</v>
      </c>
      <c r="AZ51" s="42" t="str">
        <f t="shared" si="29"/>
        <v>-text 2985.62039807527,23.5 3.5 90 马分2+985.62</v>
      </c>
    </row>
    <row r="52" spans="1:206" s="57" customFormat="1" x14ac:dyDescent="0.25">
      <c r="A52" s="102">
        <v>2</v>
      </c>
      <c r="B52" s="88" t="str">
        <f>线路!B49</f>
        <v>二流量段末(2#斗门)</v>
      </c>
      <c r="C52" s="89">
        <f>线路!E49</f>
        <v>451096.16590000002</v>
      </c>
      <c r="D52" s="89">
        <f>线路!F49</f>
        <v>3045577.9482999998</v>
      </c>
      <c r="E52" s="90">
        <f>线路!G49</f>
        <v>0</v>
      </c>
      <c r="F52" s="90">
        <f>线路!H49</f>
        <v>0</v>
      </c>
      <c r="G52" s="91">
        <f>线路!L49</f>
        <v>3001.1168359017238</v>
      </c>
      <c r="H52" s="91">
        <f>线路!M49</f>
        <v>3001.1168359017238</v>
      </c>
      <c r="I52" s="91">
        <f>线路!N49</f>
        <v>3001.1168359017238</v>
      </c>
      <c r="J52" s="112">
        <f t="shared" si="0"/>
        <v>0</v>
      </c>
      <c r="K52" s="112">
        <f t="shared" si="13"/>
        <v>15.496437826458077</v>
      </c>
      <c r="L52" s="112">
        <f>IF(A52=1,断面设计!$D$7,IF(A52=2,断面设计!$D$8,IF(A52=3,断面设计!$D$9,IF(A52=4,断面设计!$D$10,IF(A52=5,断面设计!$D$11,IF(A52=6,断面设计!$D$12,IF(A52=7,断面设计!$D$13,IF(A52=8,断面设计!$D$14,IF(A52=9,断面设计!$D$15,IF(A52=10,断面设计!$D$16))))))))))</f>
        <v>1.5</v>
      </c>
      <c r="M52" s="112">
        <f t="shared" si="14"/>
        <v>1.2</v>
      </c>
      <c r="N52" s="113">
        <f t="shared" si="1"/>
        <v>1.4999999999999999E-2</v>
      </c>
      <c r="O52" s="112">
        <f>IF(A52=1,断面设计!$J$7,IF(A52=2,断面设计!$J$8,IF(A52=3,断面设计!$J$9,IF(A52=4,断面设计!$J$10,IF(A52=5,断面设计!$J$11,IF(A52=6,断面设计!$J$12,IF(A52=7,断面设计!$J$13,IF(A52=8,断面设计!$J$14,IF(A52=9,断面设计!$J$15,IF(A52=10,断面设计!$J$16))))))))))</f>
        <v>5000</v>
      </c>
      <c r="P52" s="114">
        <f>IF(A52=1,断面设计!$K$7,IF(A52=2,断面设计!$K$8,IF(A52=3,断面设计!$K$9,IF(A52=4,断面设计!$K$10,IF(A52=5,断面设计!$K$11,IF(A52=6,断面设计!$K$12,IF(A52=7,断面设计!$K$13,IF(A52=8,断面设计!$K$14,IF(A52=9,断面设计!$K$15,IF(A52=10,断面设计!$K$16))))))))))</f>
        <v>4.4993914540329225</v>
      </c>
      <c r="Q52" s="113">
        <f>IF(A52=1,断面设计!$C$7,IF(A52=2,断面设计!$C$8,IF(A52=3,断面设计!$C$9,IF(A52=4,断面设计!$C$10,IF(A52=5,断面设计!$C$11,IF(A52=6,断面设计!$C$12,IF(A52=7,断面设计!$C$13,IF(A52=8,断面设计!$C$14,IF(A52=9,断面设计!$C$15,IF(A52=10,断面设计!$C$16))))))))))</f>
        <v>1.58308906639964</v>
      </c>
      <c r="R52" s="112">
        <f>IF(A52=1,断面设计!$F$7,IF(A52=2,断面设计!$F$8,IF(A52=3,断面设计!$F$9,IF(A52=4,断面设计!$F$10,IF(A52=5,断面设计!$F$11,IF(A52=6,断面设计!$F$12,IF(A52=7,断面设计!$F$13,IF(A52=8,断面设计!$F$14,IF(A52=9,断面设计!$F$15,IF(A52=10,断面设计!$F$16))))))))))</f>
        <v>5.3820387901843603</v>
      </c>
      <c r="S52" s="112">
        <f>IF(A52=1,断面设计!$G$7,IF(A52=2,断面设计!$G$8,IF(A52=3,断面设计!$G$9,IF(A52=4,断面设计!$G$10,IF(A52=5,断面设计!$G$11,IF(A52=6,断面设计!$G$12,IF(A52=7,断面设计!$G$13,IF(A52=8,断面设计!$G$14,IF(A52=9,断面设计!$G$15,IF(A52=10,断面设计!$G$16))))))))))</f>
        <v>6.445728347111662</v>
      </c>
      <c r="T52" s="112">
        <f t="shared" si="15"/>
        <v>0.83497760072312976</v>
      </c>
      <c r="U52" s="112">
        <f t="shared" si="16"/>
        <v>0.8360013053489711</v>
      </c>
      <c r="V52" s="124"/>
      <c r="W52" s="128"/>
      <c r="X52" s="113">
        <f>IF(AN52=0,IF(AN51=2,(H52-H51-AE51)/O52,(H52-H51)/O52),IF(AN52=1,IF(AN51=2,IF(AE52&lt;9,(H52-H51-AE52-AE51)/断面设计!$J$7,(H52-H51-AE52-AE51)/断面设计!$J$7),(H52-H51-AE52)/O51),(H52-H51)/O52))</f>
        <v>3.0992875652916156E-3</v>
      </c>
      <c r="Y52" s="136">
        <v>0</v>
      </c>
      <c r="Z52" s="137">
        <f t="shared" si="26"/>
        <v>0</v>
      </c>
      <c r="AA52" s="148"/>
      <c r="AB52" s="136">
        <f t="shared" si="4"/>
        <v>1.58308906639964</v>
      </c>
      <c r="AC52" s="113">
        <f t="shared" si="5"/>
        <v>3.0992875652916156E-3</v>
      </c>
      <c r="AD52" s="113">
        <f t="shared" ca="1" si="18"/>
        <v>2389.7831073436619</v>
      </c>
      <c r="AE52" s="138">
        <f t="shared" si="19"/>
        <v>0</v>
      </c>
      <c r="AF52" s="113" t="str">
        <f t="shared" si="6"/>
        <v xml:space="preserve"> </v>
      </c>
      <c r="AG52" s="113" t="str">
        <f>IF(AE52=0," ",AF52-断面设计!$C$7)</f>
        <v xml:space="preserve"> </v>
      </c>
      <c r="AH52" s="113" t="str">
        <f t="shared" si="7"/>
        <v xml:space="preserve"> </v>
      </c>
      <c r="AI52" s="113" t="str">
        <f t="shared" si="8"/>
        <v xml:space="preserve"> </v>
      </c>
      <c r="AJ52" s="113" t="str">
        <f t="shared" si="9"/>
        <v xml:space="preserve"> </v>
      </c>
      <c r="AK52" s="113" t="str">
        <f t="shared" si="10"/>
        <v xml:space="preserve"> </v>
      </c>
      <c r="AL52" s="113">
        <f t="shared" ca="1" si="11"/>
        <v>2389.7831073436619</v>
      </c>
      <c r="AM52" s="113">
        <f t="shared" ca="1" si="12"/>
        <v>2388.2000182772622</v>
      </c>
      <c r="AN52" s="128"/>
      <c r="AO52" s="102">
        <v>0</v>
      </c>
      <c r="AP52" s="42"/>
      <c r="AQ52" s="42"/>
      <c r="AR52" s="42"/>
      <c r="AS52" s="42"/>
      <c r="AT52" s="42"/>
      <c r="AU52" s="64" t="str">
        <f t="shared" ca="1" si="20"/>
        <v>3001.11683590172,2388.20001827726</v>
      </c>
      <c r="AV52" s="64" t="str">
        <f t="shared" ca="1" si="30"/>
        <v>3001.11683590172,2389.78310734366</v>
      </c>
      <c r="AW52" s="169" t="str">
        <f t="shared" si="31"/>
        <v xml:space="preserve">pl 3001.11683590172,0 3001.11683590172,76 </v>
      </c>
      <c r="AX52" s="161" t="str">
        <f t="shared" ca="1" si="27"/>
        <v>-text 3001.11683590172,48 3.5 90 2388.200</v>
      </c>
      <c r="AY52" s="161" t="str">
        <f t="shared" ca="1" si="28"/>
        <v>-text 3001.11683590172,62.5 3.5 90 2389.783</v>
      </c>
      <c r="AZ52" s="42" t="str">
        <f t="shared" si="29"/>
        <v>-text 3001.11683590172,23.5 3.5 90 马分3+001.12</v>
      </c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42"/>
      <c r="DO52" s="42"/>
      <c r="DP52" s="42"/>
      <c r="DQ52" s="42"/>
      <c r="DR52" s="42"/>
      <c r="DS52" s="42"/>
      <c r="DT52" s="42"/>
      <c r="DU52" s="42"/>
      <c r="DV52" s="42"/>
      <c r="DW52" s="42"/>
      <c r="DX52" s="42"/>
      <c r="DY52" s="42"/>
      <c r="DZ52" s="42"/>
      <c r="EA52" s="42"/>
      <c r="EB52" s="42"/>
      <c r="EC52" s="42"/>
      <c r="ED52" s="42"/>
      <c r="EE52" s="42"/>
      <c r="EF52" s="42"/>
      <c r="EG52" s="42"/>
      <c r="EH52" s="42"/>
      <c r="EI52" s="42"/>
      <c r="EJ52" s="42"/>
      <c r="EK52" s="42"/>
      <c r="EL52" s="42"/>
      <c r="EM52" s="42"/>
      <c r="EN52" s="42"/>
      <c r="EO52" s="42"/>
      <c r="EP52" s="42"/>
      <c r="EQ52" s="42"/>
      <c r="ER52" s="42"/>
      <c r="ES52" s="42"/>
      <c r="ET52" s="42"/>
      <c r="EU52" s="42"/>
      <c r="EV52" s="42"/>
      <c r="EW52" s="42"/>
      <c r="EX52" s="42"/>
      <c r="EY52" s="42"/>
      <c r="EZ52" s="42"/>
      <c r="FA52" s="42"/>
      <c r="FB52" s="42"/>
      <c r="FC52" s="42"/>
      <c r="FD52" s="42"/>
      <c r="FE52" s="42"/>
      <c r="FF52" s="42"/>
      <c r="FG52" s="42"/>
      <c r="FH52" s="42"/>
      <c r="FI52" s="42"/>
      <c r="FJ52" s="42"/>
      <c r="FK52" s="42"/>
      <c r="FL52" s="42"/>
      <c r="FM52" s="42"/>
      <c r="FN52" s="42"/>
      <c r="FO52" s="42"/>
      <c r="FP52" s="42"/>
      <c r="FQ52" s="42"/>
      <c r="FR52" s="42"/>
      <c r="FS52" s="42"/>
      <c r="FT52" s="42"/>
      <c r="FU52" s="42"/>
      <c r="FV52" s="42"/>
      <c r="FW52" s="42"/>
      <c r="FX52" s="42"/>
      <c r="FY52" s="42"/>
      <c r="FZ52" s="42"/>
      <c r="GA52" s="42"/>
      <c r="GB52" s="42"/>
      <c r="GC52" s="42"/>
      <c r="GD52" s="42"/>
      <c r="GE52" s="42"/>
      <c r="GF52" s="42"/>
      <c r="GG52" s="42"/>
      <c r="GH52" s="42"/>
      <c r="GI52" s="42"/>
      <c r="GJ52" s="42"/>
      <c r="GK52" s="42"/>
      <c r="GL52" s="42"/>
      <c r="GM52" s="42"/>
      <c r="GN52" s="42"/>
      <c r="GO52" s="42"/>
      <c r="GP52" s="42"/>
      <c r="GQ52" s="42"/>
      <c r="GR52" s="42"/>
      <c r="GS52" s="42"/>
      <c r="GT52" s="42"/>
      <c r="GU52" s="42"/>
      <c r="GV52" s="42"/>
      <c r="GW52" s="42"/>
      <c r="GX52" s="42"/>
    </row>
    <row r="53" spans="1:206" s="42" customFormat="1" x14ac:dyDescent="0.25">
      <c r="A53" s="80">
        <v>3</v>
      </c>
      <c r="B53" s="76" t="str">
        <f>线路!B50</f>
        <v>IP36</v>
      </c>
      <c r="C53" s="81">
        <f>线路!E50</f>
        <v>451049.23540000001</v>
      </c>
      <c r="D53" s="81">
        <f>线路!F50</f>
        <v>3045368.1313</v>
      </c>
      <c r="E53" s="85">
        <f>线路!G50</f>
        <v>13</v>
      </c>
      <c r="F53" s="85">
        <f>线路!H50</f>
        <v>5.3230000000000004</v>
      </c>
      <c r="G53" s="86">
        <f>线路!L50</f>
        <v>3215.5140267251982</v>
      </c>
      <c r="H53" s="86">
        <f>线路!M50</f>
        <v>3216.1179019197421</v>
      </c>
      <c r="I53" s="86">
        <f>线路!N50</f>
        <v>3216.7217771142859</v>
      </c>
      <c r="J53" s="83">
        <f t="shared" si="0"/>
        <v>1.2077503890877779</v>
      </c>
      <c r="K53" s="83">
        <f t="shared" si="13"/>
        <v>215.00106601801826</v>
      </c>
      <c r="L53" s="83">
        <f>IF(A53=1,断面设计!$D$7,IF(A53=2,断面设计!$D$8,IF(A53=3,断面设计!$D$9,IF(A53=4,断面设计!$D$10,IF(A53=5,断面设计!$D$11,IF(A53=6,断面设计!$D$12,IF(A53=7,断面设计!$D$13,IF(A53=8,断面设计!$D$14,IF(A53=9,断面设计!$D$15,IF(A53=10,断面设计!$D$16))))))))))</f>
        <v>1.5</v>
      </c>
      <c r="M53" s="83">
        <f t="shared" si="14"/>
        <v>1.2</v>
      </c>
      <c r="N53" s="110">
        <f t="shared" si="1"/>
        <v>1.4999999999999999E-2</v>
      </c>
      <c r="O53" s="83">
        <f>IF(A53=1,断面设计!$J$7,IF(A53=2,断面设计!$J$8,IF(A53=3,断面设计!$J$9,IF(A53=4,断面设计!$J$10,IF(A53=5,断面设计!$J$11,IF(A53=6,断面设计!$J$12,IF(A53=7,断面设计!$J$13,IF(A53=8,断面设计!$J$14,IF(A53=9,断面设计!$J$15,IF(A53=10,断面设计!$J$16))))))))))</f>
        <v>5000</v>
      </c>
      <c r="P53" s="111">
        <f>IF(A53=1,断面设计!$K$7,IF(A53=2,断面设计!$K$8,IF(A53=3,断面设计!$K$9,IF(A53=4,断面设计!$K$10,IF(A53=5,断面设计!$K$11,IF(A53=6,断面设计!$K$12,IF(A53=7,断面设计!$K$13,IF(A53=8,断面设计!$K$14,IF(A53=9,断面设计!$K$15,IF(A53=10,断面设计!$K$16))))))))))</f>
        <v>4.3005791249620255</v>
      </c>
      <c r="Q53" s="110">
        <f>IF(A53=1,断面设计!$C$7,IF(A53=2,断面设计!$C$8,IF(A53=3,断面设计!$C$9,IF(A53=4,断面设计!$C$10,IF(A53=5,断面设计!$C$11,IF(A53=6,断面设计!$C$12,IF(A53=7,断面设计!$C$13,IF(A53=8,断面设计!$C$14,IF(A53=9,断面设计!$C$15,IF(A53=10,断面设计!$C$16))))))))))</f>
        <v>1.5491171243039099</v>
      </c>
      <c r="R53" s="83">
        <f>IF(A53=1,断面设计!$F$7,IF(A53=2,断面设计!$F$8,IF(A53=3,断面设计!$F$9,IF(A53=4,断面设计!$F$10,IF(A53=5,断面设计!$F$11,IF(A53=6,断面设计!$F$12,IF(A53=7,断面设计!$F$13,IF(A53=8,断面设计!$F$14,IF(A53=9,断面设计!$F$15,IF(A53=10,断面设计!$F$16))))))))))</f>
        <v>5.2033923242298039</v>
      </c>
      <c r="S53" s="83">
        <f>IF(A53=1,断面设计!$G$7,IF(A53=2,断面设计!$G$8,IF(A53=3,断面设计!$G$9,IF(A53=4,断面设计!$G$10,IF(A53=5,断面设计!$G$11,IF(A53=6,断面设计!$G$12,IF(A53=7,断面设计!$G$13,IF(A53=8,断面设计!$G$14,IF(A53=9,断面设计!$G$15,IF(A53=10,断面设计!$G$16))))))))))</f>
        <v>6.3395966072144239</v>
      </c>
      <c r="T53" s="83">
        <f t="shared" si="15"/>
        <v>0.8207765646016616</v>
      </c>
      <c r="U53" s="83">
        <f t="shared" si="16"/>
        <v>0.82649526635464465</v>
      </c>
      <c r="V53" s="123">
        <f t="shared" si="17"/>
        <v>1.2644740706232641E-4</v>
      </c>
      <c r="W53" s="127"/>
      <c r="X53" s="110">
        <f>IF(AN53=0,IF(AN52=2,(H53-H52-AE52)/O53,(H53-H52)/O53),IF(AN53=1,IF(AN52=2,IF(AE53&lt;9,(H53-H52-AE53-AE52)/断面设计!$J$7,(H53-H52-AE53-AE52)/断面设计!$J$7),(H53-H52-AE53)/O52),(H53-H52)/O53))</f>
        <v>4.300021320360365E-2</v>
      </c>
      <c r="Y53" s="133">
        <v>0</v>
      </c>
      <c r="Z53" s="134">
        <f t="shared" si="26"/>
        <v>0</v>
      </c>
      <c r="AA53" s="142"/>
      <c r="AB53" s="133">
        <f t="shared" si="4"/>
        <v>1.5491171243039099</v>
      </c>
      <c r="AC53" s="110">
        <f t="shared" si="5"/>
        <v>4.3126660610665973E-2</v>
      </c>
      <c r="AD53" s="110">
        <f t="shared" ca="1" si="18"/>
        <v>2389.7399806830513</v>
      </c>
      <c r="AE53" s="82">
        <f t="shared" si="19"/>
        <v>0</v>
      </c>
      <c r="AF53" s="110" t="str">
        <f t="shared" si="6"/>
        <v xml:space="preserve"> </v>
      </c>
      <c r="AG53" s="110" t="str">
        <f>IF(AE53=0," ",AF53-断面设计!$C$7)</f>
        <v xml:space="preserve"> </v>
      </c>
      <c r="AH53" s="110">
        <f t="shared" ca="1" si="7"/>
        <v>2389.7402279054972</v>
      </c>
      <c r="AI53" s="110">
        <f t="shared" ca="1" si="8"/>
        <v>2388.1911107811934</v>
      </c>
      <c r="AJ53" s="110">
        <f t="shared" ca="1" si="9"/>
        <v>2389.7398599080125</v>
      </c>
      <c r="AK53" s="110">
        <f t="shared" ca="1" si="10"/>
        <v>2388.1907427837086</v>
      </c>
      <c r="AL53" s="110">
        <f t="shared" ca="1" si="11"/>
        <v>2389.7400439067546</v>
      </c>
      <c r="AM53" s="110">
        <f t="shared" ca="1" si="12"/>
        <v>2388.1909267824508</v>
      </c>
      <c r="AN53" s="127"/>
      <c r="AO53" s="80">
        <v>0</v>
      </c>
      <c r="AU53" s="64" t="str">
        <f t="shared" ca="1" si="20"/>
        <v>3216.11790191974,2388.19092678245</v>
      </c>
      <c r="AV53" s="64" t="str">
        <f t="shared" ca="1" si="30"/>
        <v>3216.11790191974,2389.74004390675</v>
      </c>
      <c r="AW53" s="169" t="str">
        <f t="shared" si="31"/>
        <v xml:space="preserve">pl 3216.11790191974,0 3216.11790191974,76 </v>
      </c>
      <c r="AX53" s="161" t="str">
        <f t="shared" ca="1" si="27"/>
        <v>-text 3216.11790191974,48 3.5 90 2388.191</v>
      </c>
      <c r="AY53" s="161" t="str">
        <f t="shared" ca="1" si="28"/>
        <v>-text 3216.11790191974,62.5 3.5 90 2389.740</v>
      </c>
      <c r="AZ53" s="42" t="str">
        <f t="shared" si="29"/>
        <v>-text 3216.11790191974,23.5 3.5 90 马分3+216.12</v>
      </c>
    </row>
    <row r="54" spans="1:206" s="42" customFormat="1" x14ac:dyDescent="0.25">
      <c r="A54" s="80">
        <v>3</v>
      </c>
      <c r="B54" s="76" t="str">
        <f>线路!B51</f>
        <v>IP37</v>
      </c>
      <c r="C54" s="81">
        <f>线路!E51</f>
        <v>451043.1384</v>
      </c>
      <c r="D54" s="81">
        <f>线路!F51</f>
        <v>3045320.4402999999</v>
      </c>
      <c r="E54" s="85">
        <f>线路!G51</f>
        <v>13</v>
      </c>
      <c r="F54" s="85">
        <f>线路!H51</f>
        <v>36.646000000000001</v>
      </c>
      <c r="G54" s="86">
        <f>线路!L51</f>
        <v>3259.8914905238325</v>
      </c>
      <c r="H54" s="86">
        <f>线路!M51</f>
        <v>3264.0488473487903</v>
      </c>
      <c r="I54" s="86">
        <f>线路!N51</f>
        <v>3268.2062041737486</v>
      </c>
      <c r="J54" s="83">
        <f t="shared" si="0"/>
        <v>8.3147136499160297</v>
      </c>
      <c r="K54" s="83">
        <f t="shared" si="13"/>
        <v>47.930945429048279</v>
      </c>
      <c r="L54" s="83">
        <f>IF(A54=1,断面设计!$D$7,IF(A54=2,断面设计!$D$8,IF(A54=3,断面设计!$D$9,IF(A54=4,断面设计!$D$10,IF(A54=5,断面设计!$D$11,IF(A54=6,断面设计!$D$12,IF(A54=7,断面设计!$D$13,IF(A54=8,断面设计!$D$14,IF(A54=9,断面设计!$D$15,IF(A54=10,断面设计!$D$16))))))))))</f>
        <v>1.5</v>
      </c>
      <c r="M54" s="83">
        <f t="shared" si="14"/>
        <v>1.2</v>
      </c>
      <c r="N54" s="110">
        <f t="shared" si="1"/>
        <v>1.4999999999999999E-2</v>
      </c>
      <c r="O54" s="83">
        <f>IF(A54=1,断面设计!$J$7,IF(A54=2,断面设计!$J$8,IF(A54=3,断面设计!$J$9,IF(A54=4,断面设计!$J$10,IF(A54=5,断面设计!$J$11,IF(A54=6,断面设计!$J$12,IF(A54=7,断面设计!$J$13,IF(A54=8,断面设计!$J$14,IF(A54=9,断面设计!$J$15,IF(A54=10,断面设计!$J$16))))))))))</f>
        <v>5000</v>
      </c>
      <c r="P54" s="111">
        <f>IF(A54=1,断面设计!$K$7,IF(A54=2,断面设计!$K$8,IF(A54=3,断面设计!$K$9,IF(A54=4,断面设计!$K$10,IF(A54=5,断面设计!$K$11,IF(A54=6,断面设计!$K$12,IF(A54=7,断面设计!$K$13,IF(A54=8,断面设计!$K$14,IF(A54=9,断面设计!$K$15,IF(A54=10,断面设计!$K$16))))))))))</f>
        <v>4.3005791249620255</v>
      </c>
      <c r="Q54" s="110">
        <f>IF(A54=1,断面设计!$C$7,IF(A54=2,断面设计!$C$8,IF(A54=3,断面设计!$C$9,IF(A54=4,断面设计!$C$10,IF(A54=5,断面设计!$C$11,IF(A54=6,断面设计!$C$12,IF(A54=7,断面设计!$C$13,IF(A54=8,断面设计!$C$14,IF(A54=9,断面设计!$C$15,IF(A54=10,断面设计!$C$16))))))))))</f>
        <v>1.5491171243039099</v>
      </c>
      <c r="R54" s="83">
        <f>IF(A54=1,断面设计!$F$7,IF(A54=2,断面设计!$F$8,IF(A54=3,断面设计!$F$9,IF(A54=4,断面设计!$F$10,IF(A54=5,断面设计!$F$11,IF(A54=6,断面设计!$F$12,IF(A54=7,断面设计!$F$13,IF(A54=8,断面设计!$F$14,IF(A54=9,断面设计!$F$15,IF(A54=10,断面设计!$F$16))))))))))</f>
        <v>5.2033923242298039</v>
      </c>
      <c r="S54" s="83">
        <f>IF(A54=1,断面设计!$G$7,IF(A54=2,断面设计!$G$8,IF(A54=3,断面设计!$G$9,IF(A54=4,断面设计!$G$10,IF(A54=5,断面设计!$G$11,IF(A54=6,断面设计!$G$12,IF(A54=7,断面设计!$G$13,IF(A54=8,断面设计!$G$14,IF(A54=9,断面设计!$G$15,IF(A54=10,断面设计!$G$16))))))))))</f>
        <v>6.3395966072144239</v>
      </c>
      <c r="T54" s="83">
        <f t="shared" si="15"/>
        <v>0.8207765646016616</v>
      </c>
      <c r="U54" s="83">
        <f t="shared" si="16"/>
        <v>0.82649526635464465</v>
      </c>
      <c r="V54" s="123">
        <f t="shared" si="17"/>
        <v>8.7052257734458174E-4</v>
      </c>
      <c r="W54" s="110"/>
      <c r="X54" s="110">
        <f>IF(AN54=0,IF(AN53=2,(H54-H53-AE53)/O54,(H54-H53)/O54),IF(AN54=1,IF(AN53=2,IF(AE54&lt;9,(H54-H53-AE54-AE53)/断面设计!$J$7,(H54-H53-AE54-AE53)/断面设计!$J$7),(H54-H53-AE54)/O53),(H54-H53)/O54))</f>
        <v>9.5861890858096564E-3</v>
      </c>
      <c r="Y54" s="133">
        <v>0</v>
      </c>
      <c r="Z54" s="134">
        <f t="shared" si="26"/>
        <v>0</v>
      </c>
      <c r="AA54" s="142"/>
      <c r="AB54" s="133">
        <f t="shared" si="4"/>
        <v>1.5491171243039099</v>
      </c>
      <c r="AC54" s="110">
        <f t="shared" si="5"/>
        <v>1.0456711663154239E-2</v>
      </c>
      <c r="AD54" s="110">
        <f t="shared" ca="1" si="18"/>
        <v>2389.7295239713881</v>
      </c>
      <c r="AE54" s="82">
        <f t="shared" si="19"/>
        <v>0</v>
      </c>
      <c r="AF54" s="110" t="str">
        <f t="shared" si="6"/>
        <v xml:space="preserve"> </v>
      </c>
      <c r="AG54" s="110" t="str">
        <f>IF(AE54=0," ",AF54-断面设计!$C$9)</f>
        <v xml:space="preserve"> </v>
      </c>
      <c r="AH54" s="110">
        <f t="shared" ca="1" si="7"/>
        <v>2389.7312259653304</v>
      </c>
      <c r="AI54" s="110">
        <f t="shared" ca="1" si="8"/>
        <v>2388.1821088410265</v>
      </c>
      <c r="AJ54" s="110">
        <f t="shared" ca="1" si="9"/>
        <v>2389.728692500023</v>
      </c>
      <c r="AK54" s="110">
        <f t="shared" ca="1" si="10"/>
        <v>2388.1795753757192</v>
      </c>
      <c r="AL54" s="110">
        <f t="shared" ca="1" si="11"/>
        <v>2389.7299592326767</v>
      </c>
      <c r="AM54" s="110">
        <f t="shared" ca="1" si="12"/>
        <v>2388.1808421083729</v>
      </c>
      <c r="AN54" s="127"/>
      <c r="AO54" s="80">
        <v>0</v>
      </c>
      <c r="AU54" s="64" t="str">
        <f t="shared" ca="1" si="20"/>
        <v>3264.04884734879,2388.18084210837</v>
      </c>
      <c r="AV54" s="64" t="str">
        <f t="shared" ca="1" si="30"/>
        <v>3264.04884734879,2389.72995923268</v>
      </c>
      <c r="AW54" s="169" t="str">
        <f t="shared" si="31"/>
        <v xml:space="preserve">pl 3264.04884734879,0 3264.04884734879,76 </v>
      </c>
      <c r="AX54" s="161" t="str">
        <f t="shared" ca="1" si="27"/>
        <v>-text 3264.04884734879,48 3.5 90 2388.181</v>
      </c>
      <c r="AY54" s="161" t="str">
        <f t="shared" ca="1" si="28"/>
        <v>-text 3264.04884734879,62.5 3.5 90 2389.730</v>
      </c>
      <c r="AZ54" s="42" t="str">
        <f t="shared" si="29"/>
        <v>-text 3264.04884734879,23.5 3.5 90 马分3+264.05</v>
      </c>
    </row>
    <row r="55" spans="1:206" s="56" customFormat="1" x14ac:dyDescent="0.25">
      <c r="A55" s="97">
        <v>3</v>
      </c>
      <c r="B55" s="98" t="str">
        <f>线路!B52</f>
        <v>2#渡槽进</v>
      </c>
      <c r="C55" s="99">
        <f>线路!E52</f>
        <v>451074.39549999998</v>
      </c>
      <c r="D55" s="99">
        <f>线路!F52</f>
        <v>3045264.8790000002</v>
      </c>
      <c r="E55" s="100">
        <f>线路!G52</f>
        <v>0</v>
      </c>
      <c r="F55" s="100">
        <f>线路!H52</f>
        <v>0</v>
      </c>
      <c r="G55" s="101">
        <f>线路!L52</f>
        <v>3327.6510897270268</v>
      </c>
      <c r="H55" s="101">
        <f>线路!M52</f>
        <v>3327.6510897270268</v>
      </c>
      <c r="I55" s="101">
        <f>线路!N52</f>
        <v>3327.6510897270268</v>
      </c>
      <c r="J55" s="118">
        <f t="shared" si="0"/>
        <v>0</v>
      </c>
      <c r="K55" s="118">
        <f t="shared" si="13"/>
        <v>63.602242378236497</v>
      </c>
      <c r="L55" s="118">
        <f>IF(A55=1,断面设计!$D$7,IF(A55=2,断面设计!$D$8,IF(A55=3,断面设计!$D$9,IF(A55=4,断面设计!$D$10,IF(A55=5,断面设计!$D$11,IF(A55=6,断面设计!$D$12,IF(A55=7,断面设计!$D$13,IF(A55=8,断面设计!$D$14,IF(A55=9,断面设计!$D$15,IF(A55=10,断面设计!$D$16))))))))))</f>
        <v>1.5</v>
      </c>
      <c r="M55" s="118">
        <f t="shared" si="14"/>
        <v>0</v>
      </c>
      <c r="N55" s="119">
        <f t="shared" si="1"/>
        <v>1.4E-2</v>
      </c>
      <c r="O55" s="118">
        <f>IF(A55=2,断面设计!$H$22,IF(A55=3,断面设计!$H$23,IF(A55=6,断面设计!$H$24)))</f>
        <v>2000</v>
      </c>
      <c r="P55" s="120">
        <f>IF(A55=1,断面设计!$K$7,IF(A55=2,断面设计!$K$8,IF(A55=3,断面设计!$K$9,IF(A55=4,断面设计!$K$10,IF(A55=5,断面设计!$K$11,IF(A55=6,断面设计!$K$12,IF(A55=7,断面设计!$K$13,IF(A55=8,断面设计!$K$14,IF(A55=9,断面设计!$K$15,IF(A55=10,断面设计!$K$16))))))))))</f>
        <v>4.3005791249620255</v>
      </c>
      <c r="Q55" s="119">
        <f>IF(A55=2,断面设计!$C$22,IF(A55=3,断面设计!$C$23,IF(A55=6,断面设计!$C$24)))</f>
        <v>1.6073166549589899</v>
      </c>
      <c r="R55" s="118">
        <f>IF(A55=2,断面设计!$E$22,IF(A55=3,断面设计!$E$23,IF(A55=6,断面设计!$E$24)))</f>
        <v>3.3476608980145008</v>
      </c>
      <c r="S55" s="118">
        <f>IF(A55=2,断面设计!$R$22,IF(A55=3,断面设计!$R$23,IF(A55=6,断面设计!$R$24)))</f>
        <v>4.6416241269052207</v>
      </c>
      <c r="T55" s="118">
        <f t="shared" si="15"/>
        <v>0.72122619292022183</v>
      </c>
      <c r="U55" s="118">
        <f t="shared" si="16"/>
        <v>1.2846519572853692</v>
      </c>
      <c r="V55" s="126"/>
      <c r="W55" s="119">
        <f>1.15*(U55^2/2-U54^2/2)/9.81</f>
        <v>5.6693254839860811E-2</v>
      </c>
      <c r="X55" s="119">
        <f>IF(AN55=0,IF(AN54=2,(H55-H54-AE54)/O55,(H55-H54)/O55),IF(AN55=1,IF(AN54=2,IF(AE55&lt;9,(H55-H54-AE55-AE54)/断面设计!$J$7,(H55-H54-AE55-AE54)/断面设计!$J$7),(H55-H54-AE55)/O54),(H55-H54)/O55))</f>
        <v>1.13204484756473E-2</v>
      </c>
      <c r="Y55" s="144">
        <v>0</v>
      </c>
      <c r="Z55" s="145">
        <f t="shared" si="26"/>
        <v>0</v>
      </c>
      <c r="AA55" s="146"/>
      <c r="AB55" s="144">
        <f t="shared" si="4"/>
        <v>1.6073166549589899</v>
      </c>
      <c r="AC55" s="119">
        <f t="shared" si="5"/>
        <v>6.8013703315508114E-2</v>
      </c>
      <c r="AD55" s="119">
        <f t="shared" ca="1" si="18"/>
        <v>2389.6615102680726</v>
      </c>
      <c r="AE55" s="147">
        <v>7</v>
      </c>
      <c r="AF55" s="119">
        <f t="shared" ca="1" si="6"/>
        <v>2389.7182035229125</v>
      </c>
      <c r="AG55" s="119">
        <f ca="1">IF(AE55=0," ",AF55-断面设计!$C$9)</f>
        <v>2388.1690863986087</v>
      </c>
      <c r="AH55" s="119" t="str">
        <f t="shared" si="7"/>
        <v xml:space="preserve"> </v>
      </c>
      <c r="AI55" s="119" t="str">
        <f t="shared" si="8"/>
        <v xml:space="preserve"> </v>
      </c>
      <c r="AJ55" s="119" t="str">
        <f t="shared" si="9"/>
        <v xml:space="preserve"> </v>
      </c>
      <c r="AK55" s="119" t="str">
        <f t="shared" si="10"/>
        <v xml:space="preserve"> </v>
      </c>
      <c r="AL55" s="119">
        <f t="shared" ca="1" si="11"/>
        <v>2389.6615102680726</v>
      </c>
      <c r="AM55" s="119">
        <f t="shared" ca="1" si="12"/>
        <v>2388.0541936131135</v>
      </c>
      <c r="AN55" s="152">
        <v>1</v>
      </c>
      <c r="AO55" s="97">
        <v>2</v>
      </c>
      <c r="AP55" s="42"/>
      <c r="AQ55" s="42"/>
      <c r="AR55" s="42"/>
      <c r="AS55" s="42"/>
      <c r="AT55" s="42"/>
      <c r="AU55" s="64" t="str">
        <f t="shared" ca="1" si="20"/>
        <v>3327.65108972703,2388.05419361311</v>
      </c>
      <c r="AV55" s="64" t="str">
        <f t="shared" ca="1" si="30"/>
        <v>3327.65108972703,2389.66151026807</v>
      </c>
      <c r="AW55" s="169" t="str">
        <f t="shared" si="31"/>
        <v xml:space="preserve">pl 3327.65108972703,0 3327.65108972703,76 </v>
      </c>
      <c r="AX55" s="161" t="str">
        <f t="shared" ca="1" si="27"/>
        <v>-text 3327.65108972703,48 3.5 90 2388.054</v>
      </c>
      <c r="AY55" s="161" t="str">
        <f t="shared" ca="1" si="28"/>
        <v>-text 3327.65108972703,62.5 3.5 90 2389.662</v>
      </c>
      <c r="AZ55" s="42" t="str">
        <f t="shared" si="29"/>
        <v>-text 3327.65108972703,23.5 3.5 90 马分3+327.65</v>
      </c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  <c r="CW55" s="42"/>
      <c r="CX55" s="42"/>
      <c r="CY55" s="42"/>
      <c r="CZ55" s="42"/>
      <c r="DA55" s="42"/>
      <c r="DB55" s="42"/>
      <c r="DC55" s="42"/>
      <c r="DD55" s="42"/>
      <c r="DE55" s="42"/>
      <c r="DF55" s="42"/>
      <c r="DG55" s="42"/>
      <c r="DH55" s="42"/>
      <c r="DI55" s="42"/>
      <c r="DJ55" s="42"/>
      <c r="DK55" s="42"/>
      <c r="DL55" s="42"/>
      <c r="DM55" s="42"/>
      <c r="DN55" s="42"/>
      <c r="DO55" s="42"/>
      <c r="DP55" s="42"/>
      <c r="DQ55" s="42"/>
      <c r="DR55" s="42"/>
      <c r="DS55" s="42"/>
      <c r="DT55" s="42"/>
      <c r="DU55" s="42"/>
      <c r="DV55" s="42"/>
      <c r="DW55" s="42"/>
      <c r="DX55" s="42"/>
      <c r="DY55" s="42"/>
      <c r="DZ55" s="42"/>
      <c r="EA55" s="42"/>
      <c r="EB55" s="42"/>
      <c r="EC55" s="42"/>
      <c r="ED55" s="42"/>
      <c r="EE55" s="42"/>
      <c r="EF55" s="42"/>
      <c r="EG55" s="42"/>
      <c r="EH55" s="42"/>
      <c r="EI55" s="42"/>
      <c r="EJ55" s="42"/>
      <c r="EK55" s="42"/>
      <c r="EL55" s="42"/>
      <c r="EM55" s="42"/>
      <c r="EN55" s="42"/>
      <c r="EO55" s="42"/>
      <c r="EP55" s="42"/>
      <c r="EQ55" s="42"/>
      <c r="ER55" s="42"/>
      <c r="ES55" s="42"/>
      <c r="ET55" s="42"/>
      <c r="EU55" s="42"/>
      <c r="EV55" s="42"/>
      <c r="EW55" s="42"/>
      <c r="EX55" s="42"/>
      <c r="EY55" s="42"/>
      <c r="EZ55" s="42"/>
      <c r="FA55" s="42"/>
      <c r="FB55" s="42"/>
      <c r="FC55" s="42"/>
      <c r="FD55" s="42"/>
      <c r="FE55" s="42"/>
      <c r="FF55" s="42"/>
      <c r="FG55" s="42"/>
      <c r="FH55" s="42"/>
      <c r="FI55" s="42"/>
      <c r="FJ55" s="42"/>
      <c r="FK55" s="42"/>
      <c r="FL55" s="42"/>
      <c r="FM55" s="42"/>
      <c r="FN55" s="42"/>
      <c r="FO55" s="42"/>
      <c r="FP55" s="42"/>
      <c r="FQ55" s="42"/>
      <c r="FR55" s="42"/>
      <c r="FS55" s="42"/>
      <c r="FT55" s="42"/>
      <c r="FU55" s="42"/>
      <c r="FV55" s="42"/>
      <c r="FW55" s="42"/>
      <c r="FX55" s="42"/>
      <c r="FY55" s="42"/>
      <c r="FZ55" s="42"/>
      <c r="GA55" s="42"/>
      <c r="GB55" s="42"/>
      <c r="GC55" s="42"/>
      <c r="GD55" s="42"/>
      <c r="GE55" s="42"/>
      <c r="GF55" s="42"/>
      <c r="GG55" s="42"/>
      <c r="GH55" s="42"/>
      <c r="GI55" s="42"/>
      <c r="GJ55" s="42"/>
      <c r="GK55" s="42"/>
      <c r="GL55" s="42"/>
      <c r="GM55" s="42"/>
      <c r="GN55" s="42"/>
      <c r="GO55" s="42"/>
      <c r="GP55" s="42"/>
      <c r="GQ55" s="42"/>
      <c r="GR55" s="42"/>
      <c r="GS55" s="42"/>
      <c r="GT55" s="42"/>
      <c r="GU55" s="42"/>
      <c r="GV55" s="42"/>
      <c r="GW55" s="42"/>
      <c r="GX55" s="42"/>
    </row>
    <row r="56" spans="1:206" s="56" customFormat="1" x14ac:dyDescent="0.25">
      <c r="A56" s="97">
        <v>3</v>
      </c>
      <c r="B56" s="98" t="str">
        <f>线路!B53</f>
        <v>2#渡槽出</v>
      </c>
      <c r="C56" s="99">
        <f>线路!E53</f>
        <v>451133.23229999997</v>
      </c>
      <c r="D56" s="99">
        <f>线路!F53</f>
        <v>3045160.2930000001</v>
      </c>
      <c r="E56" s="100">
        <f>线路!G53</f>
        <v>0</v>
      </c>
      <c r="F56" s="100">
        <f>线路!H53</f>
        <v>0</v>
      </c>
      <c r="G56" s="101">
        <f>线路!L53</f>
        <v>3447.6510915197991</v>
      </c>
      <c r="H56" s="101">
        <f>线路!M53</f>
        <v>3447.6510915197991</v>
      </c>
      <c r="I56" s="101">
        <f>线路!N53</f>
        <v>3447.6510915197991</v>
      </c>
      <c r="J56" s="118">
        <f t="shared" si="0"/>
        <v>0</v>
      </c>
      <c r="K56" s="118">
        <f t="shared" si="13"/>
        <v>120.00000179277231</v>
      </c>
      <c r="L56" s="118">
        <f>IF(A56=1,断面设计!$D$7,IF(A56=2,断面设计!$D$8,IF(A56=3,断面设计!$D$9,IF(A56=4,断面设计!$D$10,IF(A56=5,断面设计!$D$11,IF(A56=6,断面设计!$D$12,IF(A56=7,断面设计!$D$13,IF(A56=8,断面设计!$D$14,IF(A56=9,断面设计!$D$15,IF(A56=10,断面设计!$D$16))))))))))</f>
        <v>1.5</v>
      </c>
      <c r="M56" s="118">
        <f t="shared" si="14"/>
        <v>0</v>
      </c>
      <c r="N56" s="119">
        <f t="shared" si="1"/>
        <v>1.4E-2</v>
      </c>
      <c r="O56" s="118">
        <f>IF(A56=2,断面设计!$H$22,IF(A56=3,断面设计!$H$23,IF(A56=6,断面设计!$H$24)))</f>
        <v>2000</v>
      </c>
      <c r="P56" s="120">
        <f>IF(A56=1,断面设计!$K$7,IF(A56=2,断面设计!$K$8,IF(A56=3,断面设计!$K$9,IF(A56=4,断面设计!$K$10,IF(A56=5,断面设计!$K$11,IF(A56=6,断面设计!$K$12,IF(A56=7,断面设计!$K$13,IF(A56=8,断面设计!$K$14,IF(A56=9,断面设计!$K$15,IF(A56=10,断面设计!$K$16))))))))))</f>
        <v>4.3005791249620255</v>
      </c>
      <c r="Q56" s="119">
        <f>IF(A56=2,断面设计!$C$22,IF(A56=3,断面设计!$C$23,IF(A56=6,断面设计!$C$24)))</f>
        <v>1.6073166549589899</v>
      </c>
      <c r="R56" s="118">
        <f>IF(A56=2,断面设计!$E$22,IF(A56=3,断面设计!$E$23,IF(A56=6,断面设计!$E$24)))</f>
        <v>3.3476608980145008</v>
      </c>
      <c r="S56" s="118">
        <f>IF(A56=2,断面设计!$R$22,IF(A56=3,断面设计!$R$23,IF(A56=6,断面设计!$R$24)))</f>
        <v>4.6416241269052207</v>
      </c>
      <c r="T56" s="118">
        <f t="shared" si="15"/>
        <v>0.72122619292022183</v>
      </c>
      <c r="U56" s="118">
        <f t="shared" si="16"/>
        <v>1.2846519572853692</v>
      </c>
      <c r="V56" s="126"/>
      <c r="W56" s="119">
        <f>-0.6*(U56^2/2-U57^2/2)/9.81</f>
        <v>-2.9579089481666512E-2</v>
      </c>
      <c r="X56" s="119">
        <f>IF(AN56=0,IF(AN55=2,(H56-H55-AE55)/O56,(H56-H55)/O56),IF(AN56=1,IF(AN55=2,IF(AE56&lt;9,(H56-H55-AE56-AE55)/断面设计!$J$7,(H56-H55-AE56-AE55)/断面设计!$J$7),(H56-H55-AE56)/O55),(H56-H55)/O56))</f>
        <v>6.0000000896386158E-2</v>
      </c>
      <c r="Y56" s="144">
        <v>0</v>
      </c>
      <c r="Z56" s="145">
        <f t="shared" si="26"/>
        <v>0</v>
      </c>
      <c r="AA56" s="146"/>
      <c r="AB56" s="144">
        <f t="shared" si="4"/>
        <v>1.6073166549589899</v>
      </c>
      <c r="AC56" s="119">
        <f t="shared" si="5"/>
        <v>3.0420911414719646E-2</v>
      </c>
      <c r="AD56" s="119">
        <f t="shared" ca="1" si="18"/>
        <v>2389.6310893566579</v>
      </c>
      <c r="AE56" s="147">
        <v>7</v>
      </c>
      <c r="AF56" s="119">
        <f t="shared" ca="1" si="6"/>
        <v>2389.6310893566579</v>
      </c>
      <c r="AG56" s="119">
        <f ca="1">IF(AE56=0," ",AF56-断面设计!$C$7)</f>
        <v>2388.031143520258</v>
      </c>
      <c r="AH56" s="119" t="str">
        <f t="shared" si="7"/>
        <v xml:space="preserve"> </v>
      </c>
      <c r="AI56" s="119" t="str">
        <f t="shared" si="8"/>
        <v xml:space="preserve"> </v>
      </c>
      <c r="AJ56" s="119" t="str">
        <f t="shared" si="9"/>
        <v xml:space="preserve"> </v>
      </c>
      <c r="AK56" s="119" t="str">
        <f t="shared" si="10"/>
        <v xml:space="preserve"> </v>
      </c>
      <c r="AL56" s="119">
        <f t="shared" ca="1" si="11"/>
        <v>2389.6015102671763</v>
      </c>
      <c r="AM56" s="119">
        <f t="shared" ca="1" si="12"/>
        <v>2387.9941936122173</v>
      </c>
      <c r="AN56" s="152">
        <v>2</v>
      </c>
      <c r="AO56" s="97">
        <v>2</v>
      </c>
      <c r="AP56" s="42"/>
      <c r="AQ56" s="42"/>
      <c r="AR56" s="42"/>
      <c r="AS56" s="42"/>
      <c r="AT56" s="42"/>
      <c r="AU56" s="64" t="str">
        <f t="shared" ca="1" si="20"/>
        <v>3447.6510915198,2387.99419361222</v>
      </c>
      <c r="AV56" s="64" t="str">
        <f t="shared" ca="1" si="30"/>
        <v>3447.6510915198,2389.60151026718</v>
      </c>
      <c r="AW56" s="169" t="str">
        <f t="shared" si="31"/>
        <v xml:space="preserve">pl 3447.6510915198,0 3447.6510915198,76 </v>
      </c>
      <c r="AX56" s="161" t="str">
        <f t="shared" ca="1" si="27"/>
        <v>-text 3447.6510915198,48 3.5 90 2387.994</v>
      </c>
      <c r="AY56" s="161" t="str">
        <f t="shared" ca="1" si="28"/>
        <v>-text 3447.6510915198,62.5 3.5 90 2389.602</v>
      </c>
      <c r="AZ56" s="42" t="str">
        <f t="shared" si="29"/>
        <v>-text 3447.6510915198,23.5 3.5 90 马分3+447.65</v>
      </c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  <c r="CW56" s="42"/>
      <c r="CX56" s="42"/>
      <c r="CY56" s="42"/>
      <c r="CZ56" s="42"/>
      <c r="DA56" s="42"/>
      <c r="DB56" s="42"/>
      <c r="DC56" s="42"/>
      <c r="DD56" s="42"/>
      <c r="DE56" s="42"/>
      <c r="DF56" s="42"/>
      <c r="DG56" s="42"/>
      <c r="DH56" s="42"/>
      <c r="DI56" s="42"/>
      <c r="DJ56" s="42"/>
      <c r="DK56" s="42"/>
      <c r="DL56" s="42"/>
      <c r="DM56" s="42"/>
      <c r="DN56" s="42"/>
      <c r="DO56" s="42"/>
      <c r="DP56" s="42"/>
      <c r="DQ56" s="42"/>
      <c r="DR56" s="42"/>
      <c r="DS56" s="42"/>
      <c r="DT56" s="42"/>
      <c r="DU56" s="42"/>
      <c r="DV56" s="42"/>
      <c r="DW56" s="42"/>
      <c r="DX56" s="42"/>
      <c r="DY56" s="42"/>
      <c r="DZ56" s="42"/>
      <c r="EA56" s="42"/>
      <c r="EB56" s="42"/>
      <c r="EC56" s="42"/>
      <c r="ED56" s="42"/>
      <c r="EE56" s="42"/>
      <c r="EF56" s="42"/>
      <c r="EG56" s="42"/>
      <c r="EH56" s="42"/>
      <c r="EI56" s="42"/>
      <c r="EJ56" s="42"/>
      <c r="EK56" s="42"/>
      <c r="EL56" s="42"/>
      <c r="EM56" s="42"/>
      <c r="EN56" s="42"/>
      <c r="EO56" s="42"/>
      <c r="EP56" s="42"/>
      <c r="EQ56" s="42"/>
      <c r="ER56" s="42"/>
      <c r="ES56" s="42"/>
      <c r="ET56" s="42"/>
      <c r="EU56" s="42"/>
      <c r="EV56" s="42"/>
      <c r="EW56" s="42"/>
      <c r="EX56" s="42"/>
      <c r="EY56" s="42"/>
      <c r="EZ56" s="42"/>
      <c r="FA56" s="42"/>
      <c r="FB56" s="42"/>
      <c r="FC56" s="42"/>
      <c r="FD56" s="42"/>
      <c r="FE56" s="42"/>
      <c r="FF56" s="42"/>
      <c r="FG56" s="42"/>
      <c r="FH56" s="42"/>
      <c r="FI56" s="42"/>
      <c r="FJ56" s="42"/>
      <c r="FK56" s="42"/>
      <c r="FL56" s="42"/>
      <c r="FM56" s="42"/>
      <c r="FN56" s="42"/>
      <c r="FO56" s="42"/>
      <c r="FP56" s="42"/>
      <c r="FQ56" s="42"/>
      <c r="FR56" s="42"/>
      <c r="FS56" s="42"/>
      <c r="FT56" s="42"/>
      <c r="FU56" s="42"/>
      <c r="FV56" s="42"/>
      <c r="FW56" s="42"/>
      <c r="FX56" s="42"/>
      <c r="FY56" s="42"/>
      <c r="FZ56" s="42"/>
      <c r="GA56" s="42"/>
      <c r="GB56" s="42"/>
      <c r="GC56" s="42"/>
      <c r="GD56" s="42"/>
      <c r="GE56" s="42"/>
      <c r="GF56" s="42"/>
      <c r="GG56" s="42"/>
      <c r="GH56" s="42"/>
      <c r="GI56" s="42"/>
      <c r="GJ56" s="42"/>
      <c r="GK56" s="42"/>
      <c r="GL56" s="42"/>
      <c r="GM56" s="42"/>
      <c r="GN56" s="42"/>
      <c r="GO56" s="42"/>
      <c r="GP56" s="42"/>
      <c r="GQ56" s="42"/>
      <c r="GR56" s="42"/>
      <c r="GS56" s="42"/>
      <c r="GT56" s="42"/>
      <c r="GU56" s="42"/>
      <c r="GV56" s="42"/>
      <c r="GW56" s="42"/>
      <c r="GX56" s="42"/>
    </row>
    <row r="57" spans="1:206" s="42" customFormat="1" x14ac:dyDescent="0.25">
      <c r="A57" s="80">
        <v>3</v>
      </c>
      <c r="B57" s="76" t="str">
        <f>线路!B54</f>
        <v>IP38</v>
      </c>
      <c r="C57" s="81">
        <f>线路!E54</f>
        <v>451143.08529999998</v>
      </c>
      <c r="D57" s="81">
        <f>线路!F54</f>
        <v>3045142.7788</v>
      </c>
      <c r="E57" s="85">
        <f>线路!G54</f>
        <v>13</v>
      </c>
      <c r="F57" s="85">
        <f>线路!H54</f>
        <v>88.561000000000007</v>
      </c>
      <c r="G57" s="86">
        <f>线路!L54</f>
        <v>3455.0690500934415</v>
      </c>
      <c r="H57" s="86">
        <f>线路!M54</f>
        <v>3465.1159768460229</v>
      </c>
      <c r="I57" s="86">
        <f>线路!N54</f>
        <v>3475.1629035986048</v>
      </c>
      <c r="J57" s="83">
        <f t="shared" si="0"/>
        <v>20.093853505163224</v>
      </c>
      <c r="K57" s="83">
        <f t="shared" si="13"/>
        <v>17.464885326223794</v>
      </c>
      <c r="L57" s="83">
        <f>IF(A57=1,断面设计!$D$7,IF(A57=2,断面设计!$D$8,IF(A57=3,断面设计!$D$9,IF(A57=4,断面设计!$D$10,IF(A57=5,断面设计!$D$11,IF(A57=6,断面设计!$D$12,IF(A57=7,断面设计!$D$13,IF(A57=8,断面设计!$D$14,IF(A57=9,断面设计!$D$15,IF(A57=10,断面设计!$D$16))))))))))</f>
        <v>1.5</v>
      </c>
      <c r="M57" s="83">
        <f t="shared" si="14"/>
        <v>1.2</v>
      </c>
      <c r="N57" s="110">
        <f t="shared" si="1"/>
        <v>1.4999999999999999E-2</v>
      </c>
      <c r="O57" s="83">
        <f>IF(A57=1,断面设计!$J$7,IF(A57=2,断面设计!$J$8,IF(A57=3,断面设计!$J$9,IF(A57=4,断面设计!$J$10,IF(A57=5,断面设计!$J$11,IF(A57=6,断面设计!$J$12,IF(A57=7,断面设计!$J$13,IF(A57=8,断面设计!$J$14,IF(A57=9,断面设计!$J$15,IF(A57=10,断面设计!$J$16))))))))))</f>
        <v>5000</v>
      </c>
      <c r="P57" s="111">
        <f>IF(A57=1,断面设计!$K$7,IF(A57=2,断面设计!$K$8,IF(A57=3,断面设计!$K$9,IF(A57=4,断面设计!$K$10,IF(A57=5,断面设计!$K$11,IF(A57=6,断面设计!$K$12,IF(A57=7,断面设计!$K$13,IF(A57=8,断面设计!$K$14,IF(A57=9,断面设计!$K$15,IF(A57=10,断面设计!$K$16))))))))))</f>
        <v>4.3005791249620255</v>
      </c>
      <c r="Q57" s="110">
        <f>IF(A57=1,断面设计!$C$7,IF(A57=2,断面设计!$C$8,IF(A57=3,断面设计!$C$9,IF(A57=4,断面设计!$C$10,IF(A57=5,断面设计!$C$11,IF(A57=6,断面设计!$C$12,IF(A57=7,断面设计!$C$13,IF(A57=8,断面设计!$C$14,IF(A57=9,断面设计!$C$15,IF(A57=10,断面设计!$C$16))))))))))</f>
        <v>1.5491171243039099</v>
      </c>
      <c r="R57" s="83">
        <f>IF(A57=1,断面设计!$F$7,IF(A57=2,断面设计!$F$8,IF(A57=3,断面设计!$F$9,IF(A57=4,断面设计!$F$10,IF(A57=5,断面设计!$F$11,IF(A57=6,断面设计!$F$12,IF(A57=7,断面设计!$F$13,IF(A57=8,断面设计!$F$14,IF(A57=9,断面设计!$F$15,IF(A57=10,断面设计!$F$16))))))))))</f>
        <v>5.2033923242298039</v>
      </c>
      <c r="S57" s="83">
        <f>IF(A57=1,断面设计!$G$7,IF(A57=2,断面设计!$G$8,IF(A57=3,断面设计!$G$9,IF(A57=4,断面设计!$G$10,IF(A57=5,断面设计!$G$11,IF(A57=6,断面设计!$G$12,IF(A57=7,断面设计!$G$13,IF(A57=8,断面设计!$G$14,IF(A57=9,断面设计!$G$15,IF(A57=10,断面设计!$G$16))))))))))</f>
        <v>6.3395966072144239</v>
      </c>
      <c r="T57" s="83">
        <f t="shared" si="15"/>
        <v>0.8207765646016616</v>
      </c>
      <c r="U57" s="83">
        <f t="shared" si="16"/>
        <v>0.82649526635464465</v>
      </c>
      <c r="V57" s="123">
        <f t="shared" si="17"/>
        <v>2.1037589360970721E-3</v>
      </c>
      <c r="W57" s="127"/>
      <c r="X57" s="110">
        <f>IF(AN57=0,IF(AN56=2,(H57-H56-AE56)/O57,(H57-H56)/O57),IF(AN57=1,IF(AN56=2,IF(AE57&lt;9,(H57-H56-AE57-AE56)/断面设计!$J$7,(H57-H56-AE57-AE56)/断面设计!$J$7),(H57-H56-AE57)/O56),(H57-H56)/O57))</f>
        <v>2.0929770652447586E-3</v>
      </c>
      <c r="Y57" s="133">
        <v>0</v>
      </c>
      <c r="Z57" s="134">
        <f t="shared" si="26"/>
        <v>0</v>
      </c>
      <c r="AA57" s="142"/>
      <c r="AB57" s="133">
        <f t="shared" si="4"/>
        <v>1.5491171243039099</v>
      </c>
      <c r="AC57" s="110">
        <f t="shared" si="5"/>
        <v>4.1967360013418307E-3</v>
      </c>
      <c r="AD57" s="110">
        <f t="shared" ca="1" si="18"/>
        <v>2389.6268926206567</v>
      </c>
      <c r="AE57" s="82">
        <f t="shared" si="19"/>
        <v>0</v>
      </c>
      <c r="AF57" s="110" t="str">
        <f t="shared" si="6"/>
        <v xml:space="preserve"> </v>
      </c>
      <c r="AG57" s="110" t="str">
        <f>IF(AE57=0," ",AF57-断面设计!$C$7)</f>
        <v xml:space="preserve"> </v>
      </c>
      <c r="AH57" s="110">
        <f t="shared" ca="1" si="7"/>
        <v>2389.6310057649434</v>
      </c>
      <c r="AI57" s="110">
        <f t="shared" ca="1" si="8"/>
        <v>2388.0818886406396</v>
      </c>
      <c r="AJ57" s="110">
        <f t="shared" ca="1" si="9"/>
        <v>2389.6248832353062</v>
      </c>
      <c r="AK57" s="110">
        <f t="shared" ca="1" si="10"/>
        <v>2388.0757661110024</v>
      </c>
      <c r="AL57" s="110">
        <f t="shared" ca="1" si="11"/>
        <v>2389.6279445001246</v>
      </c>
      <c r="AM57" s="110">
        <f t="shared" ca="1" si="12"/>
        <v>2388.0788273758208</v>
      </c>
      <c r="AN57" s="127"/>
      <c r="AO57" s="80">
        <v>0</v>
      </c>
      <c r="AU57" s="64" t="str">
        <f t="shared" ca="1" si="20"/>
        <v>3465.11597684602,2388.07882737582</v>
      </c>
      <c r="AV57" s="64" t="str">
        <f t="shared" ca="1" si="30"/>
        <v>3465.11597684602,2389.62794450012</v>
      </c>
      <c r="AW57" s="169" t="str">
        <f t="shared" si="31"/>
        <v xml:space="preserve">pl 3465.11597684602,0 3465.11597684602,76 </v>
      </c>
      <c r="AX57" s="161" t="str">
        <f t="shared" ca="1" si="27"/>
        <v>-text 3465.11597684602,48 3.5 90 2388.079</v>
      </c>
      <c r="AY57" s="161" t="str">
        <f t="shared" ca="1" si="28"/>
        <v>-text 3465.11597684602,62.5 3.5 90 2389.628</v>
      </c>
      <c r="AZ57" s="42" t="str">
        <f t="shared" si="29"/>
        <v>-text 3465.11597684602,23.5 3.5 90 马分3+465.12</v>
      </c>
    </row>
    <row r="58" spans="1:206" s="42" customFormat="1" x14ac:dyDescent="0.25">
      <c r="A58" s="80">
        <v>3</v>
      </c>
      <c r="B58" s="76" t="str">
        <f>线路!B55</f>
        <v>IP39</v>
      </c>
      <c r="C58" s="81">
        <f>线路!E55</f>
        <v>451098.06550000003</v>
      </c>
      <c r="D58" s="81">
        <f>线路!F55</f>
        <v>3045115.9411999998</v>
      </c>
      <c r="E58" s="85">
        <f>线路!G55</f>
        <v>13</v>
      </c>
      <c r="F58" s="85">
        <f>线路!H55</f>
        <v>11.997999999999999</v>
      </c>
      <c r="G58" s="86">
        <f>线路!L55</f>
        <v>3513.5314485753747</v>
      </c>
      <c r="H58" s="86">
        <f>线路!M55</f>
        <v>3514.8925784991275</v>
      </c>
      <c r="I58" s="86">
        <f>线路!N55</f>
        <v>3516.2537084228802</v>
      </c>
      <c r="J58" s="83">
        <f t="shared" si="0"/>
        <v>2.7222598475054838</v>
      </c>
      <c r="K58" s="83">
        <f t="shared" si="13"/>
        <v>49.776601653104535</v>
      </c>
      <c r="L58" s="83">
        <f>IF(A58=1,断面设计!$D$7,IF(A58=2,断面设计!$D$8,IF(A58=3,断面设计!$D$9,IF(A58=4,断面设计!$D$10,IF(A58=5,断面设计!$D$11,IF(A58=6,断面设计!$D$12,IF(A58=7,断面设计!$D$13,IF(A58=8,断面设计!$D$14,IF(A58=9,断面设计!$D$15,IF(A58=10,断面设计!$D$16))))))))))</f>
        <v>1.5</v>
      </c>
      <c r="M58" s="83">
        <f t="shared" si="14"/>
        <v>1.2</v>
      </c>
      <c r="N58" s="110">
        <f t="shared" si="1"/>
        <v>1.4999999999999999E-2</v>
      </c>
      <c r="O58" s="83">
        <f>IF(A58=1,断面设计!$J$7,IF(A58=2,断面设计!$J$8,IF(A58=3,断面设计!$J$9,IF(A58=4,断面设计!$J$10,IF(A58=5,断面设计!$J$11,IF(A58=6,断面设计!$J$12,IF(A58=7,断面设计!$J$13,IF(A58=8,断面设计!$J$14,IF(A58=9,断面设计!$J$15,IF(A58=10,断面设计!$J$16))))))))))</f>
        <v>5000</v>
      </c>
      <c r="P58" s="111">
        <f>IF(A58=1,断面设计!$K$7,IF(A58=2,断面设计!$K$8,IF(A58=3,断面设计!$K$9,IF(A58=4,断面设计!$K$10,IF(A58=5,断面设计!$K$11,IF(A58=6,断面设计!$K$12,IF(A58=7,断面设计!$K$13,IF(A58=8,断面设计!$K$14,IF(A58=9,断面设计!$K$15,IF(A58=10,断面设计!$K$16))))))))))</f>
        <v>4.3005791249620255</v>
      </c>
      <c r="Q58" s="110">
        <f>IF(A58=1,断面设计!$C$7,IF(A58=2,断面设计!$C$8,IF(A58=3,断面设计!$C$9,IF(A58=4,断面设计!$C$10,IF(A58=5,断面设计!$C$11,IF(A58=6,断面设计!$C$12,IF(A58=7,断面设计!$C$13,IF(A58=8,断面设计!$C$14,IF(A58=9,断面设计!$C$15,IF(A58=10,断面设计!$C$16))))))))))</f>
        <v>1.5491171243039099</v>
      </c>
      <c r="R58" s="83">
        <f>IF(A58=1,断面设计!$F$7,IF(A58=2,断面设计!$F$8,IF(A58=3,断面设计!$F$9,IF(A58=4,断面设计!$F$10,IF(A58=5,断面设计!$F$11,IF(A58=6,断面设计!$F$12,IF(A58=7,断面设计!$F$13,IF(A58=8,断面设计!$F$14,IF(A58=9,断面设计!$F$15,IF(A58=10,断面设计!$F$16))))))))))</f>
        <v>5.2033923242298039</v>
      </c>
      <c r="S58" s="83">
        <f>IF(A58=1,断面设计!$G$7,IF(A58=2,断面设计!$G$8,IF(A58=3,断面设计!$G$9,IF(A58=4,断面设计!$G$10,IF(A58=5,断面设计!$G$11,IF(A58=6,断面设计!$G$12,IF(A58=7,断面设计!$G$13,IF(A58=8,断面设计!$G$14,IF(A58=9,断面设计!$G$15,IF(A58=10,断面设计!$G$16))))))))))</f>
        <v>6.3395966072144239</v>
      </c>
      <c r="T58" s="83">
        <f t="shared" si="15"/>
        <v>0.8207765646016616</v>
      </c>
      <c r="U58" s="83">
        <f t="shared" si="16"/>
        <v>0.82649526635464465</v>
      </c>
      <c r="V58" s="123">
        <f t="shared" si="17"/>
        <v>2.8501145781202879E-4</v>
      </c>
      <c r="W58" s="127"/>
      <c r="X58" s="110">
        <f>IF(AN58=0,IF(AN57=2,(H58-H57-AE57)/O58,(H58-H57)/O58),IF(AN58=1,IF(AN57=2,IF(AE58&lt;9,(H58-H57-AE58-AE57)/断面设计!$J$7,(H58-H57-AE58-AE57)/断面设计!$J$7),(H58-H57-AE58)/O57),(H58-H57)/O58))</f>
        <v>9.9553203306209075E-3</v>
      </c>
      <c r="Y58" s="133">
        <v>0</v>
      </c>
      <c r="Z58" s="134">
        <f t="shared" si="26"/>
        <v>0</v>
      </c>
      <c r="AA58" s="142"/>
      <c r="AB58" s="133">
        <f t="shared" si="4"/>
        <v>1.5491171243039099</v>
      </c>
      <c r="AC58" s="110">
        <f t="shared" si="5"/>
        <v>1.0240331788432937E-2</v>
      </c>
      <c r="AD58" s="110">
        <f t="shared" ca="1" si="18"/>
        <v>2389.6166522888684</v>
      </c>
      <c r="AE58" s="82">
        <f t="shared" si="19"/>
        <v>0</v>
      </c>
      <c r="AF58" s="110" t="str">
        <f t="shared" si="6"/>
        <v xml:space="preserve"> </v>
      </c>
      <c r="AG58" s="110" t="str">
        <f>IF(AE58=0," ",AF58-断面设计!$C$7)</f>
        <v xml:space="preserve"> </v>
      </c>
      <c r="AH58" s="110">
        <f t="shared" ca="1" si="7"/>
        <v>2389.6172095263109</v>
      </c>
      <c r="AI58" s="110">
        <f t="shared" ca="1" si="8"/>
        <v>2388.0680924020071</v>
      </c>
      <c r="AJ58" s="110">
        <f t="shared" ca="1" si="9"/>
        <v>2389.6163800628838</v>
      </c>
      <c r="AK58" s="110">
        <f t="shared" ca="1" si="10"/>
        <v>2388.0672629385799</v>
      </c>
      <c r="AL58" s="110">
        <f t="shared" ca="1" si="11"/>
        <v>2389.6167947945974</v>
      </c>
      <c r="AM58" s="110">
        <f t="shared" ca="1" si="12"/>
        <v>2388.0676776702935</v>
      </c>
      <c r="AN58" s="127"/>
      <c r="AO58" s="80">
        <v>0</v>
      </c>
      <c r="AU58" s="64" t="str">
        <f t="shared" ca="1" si="20"/>
        <v>3514.89257849913,2388.06767767029</v>
      </c>
      <c r="AV58" s="64" t="str">
        <f t="shared" ca="1" si="30"/>
        <v>3514.89257849913,2389.6167947946</v>
      </c>
      <c r="AW58" s="169" t="str">
        <f t="shared" si="31"/>
        <v xml:space="preserve">pl 3514.89257849913,0 3514.89257849913,76 </v>
      </c>
      <c r="AX58" s="161" t="str">
        <f t="shared" ca="1" si="27"/>
        <v>-text 3514.89257849913,48 3.5 90 2388.068</v>
      </c>
      <c r="AY58" s="161" t="str">
        <f t="shared" ca="1" si="28"/>
        <v>-text 3514.89257849913,62.5 3.5 90 2389.617</v>
      </c>
      <c r="AZ58" s="42" t="str">
        <f t="shared" si="29"/>
        <v>-text 3514.89257849913,23.5 3.5 90 马分3+514.89</v>
      </c>
    </row>
    <row r="59" spans="1:206" s="42" customFormat="1" x14ac:dyDescent="0.25">
      <c r="A59" s="80">
        <v>3</v>
      </c>
      <c r="B59" s="76" t="str">
        <f>线路!B56</f>
        <v>IP40</v>
      </c>
      <c r="C59" s="81">
        <f>线路!E56</f>
        <v>451017.22039999999</v>
      </c>
      <c r="D59" s="81">
        <f>线路!F56</f>
        <v>3045041.0813000002</v>
      </c>
      <c r="E59" s="85">
        <f>线路!G56</f>
        <v>13</v>
      </c>
      <c r="F59" s="85">
        <f>线路!H56</f>
        <v>68.587999999999994</v>
      </c>
      <c r="G59" s="86">
        <f>线路!L56</f>
        <v>3616.2029511120522</v>
      </c>
      <c r="H59" s="86">
        <f>线路!M56</f>
        <v>3623.9840128898786</v>
      </c>
      <c r="I59" s="86">
        <f>线路!N56</f>
        <v>3631.7650746677045</v>
      </c>
      <c r="J59" s="83">
        <f t="shared" si="0"/>
        <v>15.562123555652306</v>
      </c>
      <c r="K59" s="83">
        <f t="shared" si="13"/>
        <v>109.09143439075115</v>
      </c>
      <c r="L59" s="83">
        <f>IF(A59=1,断面设计!$D$7,IF(A59=2,断面设计!$D$8,IF(A59=3,断面设计!$D$9,IF(A59=4,断面设计!$D$10,IF(A59=5,断面设计!$D$11,IF(A59=6,断面设计!$D$12,IF(A59=7,断面设计!$D$13,IF(A59=8,断面设计!$D$14,IF(A59=9,断面设计!$D$15,IF(A59=10,断面设计!$D$16))))))))))</f>
        <v>1.5</v>
      </c>
      <c r="M59" s="83">
        <f t="shared" si="14"/>
        <v>1.2</v>
      </c>
      <c r="N59" s="110">
        <f t="shared" si="1"/>
        <v>1.4999999999999999E-2</v>
      </c>
      <c r="O59" s="83">
        <f>IF(A59=1,断面设计!$J$7,IF(A59=2,断面设计!$J$8,IF(A59=3,断面设计!$J$9,IF(A59=4,断面设计!$J$10,IF(A59=5,断面设计!$J$11,IF(A59=6,断面设计!$J$12,IF(A59=7,断面设计!$J$13,IF(A59=8,断面设计!$J$14,IF(A59=9,断面设计!$J$15,IF(A59=10,断面设计!$J$16))))))))))</f>
        <v>5000</v>
      </c>
      <c r="P59" s="111">
        <f>IF(A59=1,断面设计!$K$7,IF(A59=2,断面设计!$K$8,IF(A59=3,断面设计!$K$9,IF(A59=4,断面设计!$K$10,IF(A59=5,断面设计!$K$11,IF(A59=6,断面设计!$K$12,IF(A59=7,断面设计!$K$13,IF(A59=8,断面设计!$K$14,IF(A59=9,断面设计!$K$15,IF(A59=10,断面设计!$K$16))))))))))</f>
        <v>4.3005791249620255</v>
      </c>
      <c r="Q59" s="110">
        <f>IF(A59=1,断面设计!$C$7,IF(A59=2,断面设计!$C$8,IF(A59=3,断面设计!$C$9,IF(A59=4,断面设计!$C$10,IF(A59=5,断面设计!$C$11,IF(A59=6,断面设计!$C$12,IF(A59=7,断面设计!$C$13,IF(A59=8,断面设计!$C$14,IF(A59=9,断面设计!$C$15,IF(A59=10,断面设计!$C$16))))))))))</f>
        <v>1.5491171243039099</v>
      </c>
      <c r="R59" s="83">
        <f>IF(A59=1,断面设计!$F$7,IF(A59=2,断面设计!$F$8,IF(A59=3,断面设计!$F$9,IF(A59=4,断面设计!$F$10,IF(A59=5,断面设计!$F$11,IF(A59=6,断面设计!$F$12,IF(A59=7,断面设计!$F$13,IF(A59=8,断面设计!$F$14,IF(A59=9,断面设计!$F$15,IF(A59=10,断面设计!$F$16))))))))))</f>
        <v>5.2033923242298039</v>
      </c>
      <c r="S59" s="83">
        <f>IF(A59=1,断面设计!$G$7,IF(A59=2,断面设计!$G$8,IF(A59=3,断面设计!$G$9,IF(A59=4,断面设计!$G$10,IF(A59=5,断面设计!$G$11,IF(A59=6,断面设计!$G$12,IF(A59=7,断面设计!$G$13,IF(A59=8,断面设计!$G$14,IF(A59=9,断面设计!$G$15,IF(A59=10,断面设计!$G$16))))))))))</f>
        <v>6.3395966072144239</v>
      </c>
      <c r="T59" s="83">
        <f t="shared" si="15"/>
        <v>0.8207765646016616</v>
      </c>
      <c r="U59" s="83">
        <f t="shared" si="16"/>
        <v>0.82649526635464465</v>
      </c>
      <c r="V59" s="123">
        <f t="shared" si="17"/>
        <v>1.6293020393742712E-3</v>
      </c>
      <c r="W59" s="110"/>
      <c r="X59" s="110">
        <f>IF(AN59=0,IF(AN58=2,(H59-H58-AE58)/O59,(H59-H58)/O59),IF(AN59=1,IF(AN58=2,IF(AE59&lt;9,(H59-H58-AE59-AE58)/断面设计!$J$7,(H59-H58-AE59-AE58)/断面设计!$J$7),(H59-H58-AE59)/O58),(H59-H58)/O59))</f>
        <v>2.1818286878150229E-2</v>
      </c>
      <c r="Y59" s="133">
        <v>0</v>
      </c>
      <c r="Z59" s="134">
        <f t="shared" si="26"/>
        <v>0</v>
      </c>
      <c r="AA59" s="142"/>
      <c r="AB59" s="133">
        <f t="shared" si="4"/>
        <v>1.5491171243039099</v>
      </c>
      <c r="AC59" s="110">
        <f t="shared" si="5"/>
        <v>2.3447588917524499E-2</v>
      </c>
      <c r="AD59" s="110">
        <f t="shared" ca="1" si="18"/>
        <v>2389.593204699951</v>
      </c>
      <c r="AE59" s="82">
        <f t="shared" si="19"/>
        <v>0</v>
      </c>
      <c r="AF59" s="110" t="str">
        <f t="shared" si="6"/>
        <v xml:space="preserve"> </v>
      </c>
      <c r="AG59" s="110" t="str">
        <f>IF(AE59=0," ",AF59-断面设计!$C$9)</f>
        <v xml:space="preserve"> </v>
      </c>
      <c r="AH59" s="110">
        <f t="shared" ca="1" si="7"/>
        <v>2389.5963902143458</v>
      </c>
      <c r="AI59" s="110">
        <f t="shared" ca="1" si="8"/>
        <v>2388.0472730900419</v>
      </c>
      <c r="AJ59" s="110">
        <f t="shared" ca="1" si="9"/>
        <v>2389.5916484875956</v>
      </c>
      <c r="AK59" s="110">
        <f t="shared" ca="1" si="10"/>
        <v>2388.0425313632918</v>
      </c>
      <c r="AL59" s="110">
        <f t="shared" ca="1" si="11"/>
        <v>2389.5940193509705</v>
      </c>
      <c r="AM59" s="110">
        <f t="shared" ca="1" si="12"/>
        <v>2388.0449022266666</v>
      </c>
      <c r="AN59" s="127"/>
      <c r="AO59" s="80">
        <v>0</v>
      </c>
      <c r="AU59" s="64" t="str">
        <f t="shared" ca="1" si="20"/>
        <v>3623.98401288988,2388.04490222667</v>
      </c>
      <c r="AV59" s="64" t="str">
        <f t="shared" ca="1" si="30"/>
        <v>3623.98401288988,2389.59401935097</v>
      </c>
      <c r="AW59" s="169" t="str">
        <f t="shared" si="31"/>
        <v xml:space="preserve">pl 3623.98401288988,0 3623.98401288988,76 </v>
      </c>
      <c r="AX59" s="161" t="str">
        <f t="shared" ca="1" si="27"/>
        <v>-text 3623.98401288988,48 3.5 90 2388.045</v>
      </c>
      <c r="AY59" s="161" t="str">
        <f t="shared" ca="1" si="28"/>
        <v>-text 3623.98401288988,62.5 3.5 90 2389.594</v>
      </c>
      <c r="AZ59" s="42" t="str">
        <f t="shared" si="29"/>
        <v>-text 3623.98401288988,23.5 3.5 90 马分3+623.98</v>
      </c>
    </row>
    <row r="60" spans="1:206" s="56" customFormat="1" x14ac:dyDescent="0.25">
      <c r="A60" s="97">
        <v>3</v>
      </c>
      <c r="B60" s="98" t="str">
        <f>线路!B57</f>
        <v>3#渡槽进</v>
      </c>
      <c r="C60" s="99">
        <f>线路!E57</f>
        <v>451047.75469999999</v>
      </c>
      <c r="D60" s="99">
        <f>线路!F57</f>
        <v>3044963.1129000001</v>
      </c>
      <c r="E60" s="100">
        <f>线路!G57</f>
        <v>0</v>
      </c>
      <c r="F60" s="100">
        <f>线路!H57</f>
        <v>0</v>
      </c>
      <c r="G60" s="101">
        <f>线路!L57</f>
        <v>3706.6332624175607</v>
      </c>
      <c r="H60" s="101">
        <f>线路!M57</f>
        <v>3706.6332624175607</v>
      </c>
      <c r="I60" s="101">
        <f>线路!N57</f>
        <v>3706.6332624175607</v>
      </c>
      <c r="J60" s="118">
        <f t="shared" si="0"/>
        <v>0</v>
      </c>
      <c r="K60" s="118">
        <f t="shared" si="13"/>
        <v>82.649249527682059</v>
      </c>
      <c r="L60" s="118">
        <f>IF(A60=1,断面设计!$D$7,IF(A60=2,断面设计!$D$8,IF(A60=3,断面设计!$D$9,IF(A60=4,断面设计!$D$10,IF(A60=5,断面设计!$D$11,IF(A60=6,断面设计!$D$12,IF(A60=7,断面设计!$D$13,IF(A60=8,断面设计!$D$14,IF(A60=9,断面设计!$D$15,IF(A60=10,断面设计!$D$16))))))))))</f>
        <v>1.5</v>
      </c>
      <c r="M60" s="118">
        <f t="shared" si="14"/>
        <v>0</v>
      </c>
      <c r="N60" s="119">
        <f t="shared" si="1"/>
        <v>1.4E-2</v>
      </c>
      <c r="O60" s="118">
        <f>IF(A60=2,断面设计!$H$22,IF(A60=3,断面设计!$H$23,IF(A60=6,断面设计!$H$24)))</f>
        <v>2000</v>
      </c>
      <c r="P60" s="120">
        <f>IF(A60=1,断面设计!$K$7,IF(A60=2,断面设计!$K$8,IF(A60=3,断面设计!$K$9,IF(A60=4,断面设计!$K$10,IF(A60=5,断面设计!$K$11,IF(A60=6,断面设计!$K$12,IF(A60=7,断面设计!$K$13,IF(A60=8,断面设计!$K$14,IF(A60=9,断面设计!$K$15,IF(A60=10,断面设计!$K$16))))))))))</f>
        <v>4.3005791249620255</v>
      </c>
      <c r="Q60" s="119">
        <f>IF(A60=2,断面设计!$C$22,IF(A60=3,断面设计!$C$23,IF(A60=6,断面设计!$C$24)))</f>
        <v>1.6073166549589899</v>
      </c>
      <c r="R60" s="118">
        <f>IF(A60=2,断面设计!$E$22,IF(A60=3,断面设计!$E$23,IF(A60=6,断面设计!$E$24)))</f>
        <v>3.3476608980145008</v>
      </c>
      <c r="S60" s="118">
        <f>IF(A60=2,断面设计!$R$22,IF(A60=3,断面设计!$R$23,IF(A60=6,断面设计!$R$24)))</f>
        <v>4.6416241269052207</v>
      </c>
      <c r="T60" s="118">
        <f t="shared" si="15"/>
        <v>0.72122619292022183</v>
      </c>
      <c r="U60" s="118">
        <f t="shared" si="16"/>
        <v>1.2846519572853692</v>
      </c>
      <c r="V60" s="126"/>
      <c r="W60" s="119">
        <f>1.15*(U60^2/2-U59^2/2)/9.81</f>
        <v>5.6693254839860811E-2</v>
      </c>
      <c r="X60" s="119">
        <f>IF(AN60=0,IF(AN59=2,(H60-H59-AE59)/O60,(H60-H59)/O60),IF(AN60=1,IF(AN59=2,IF(AE60&lt;9,(H60-H59-AE60-AE59)/断面设计!$J$7,(H60-H59-AE60-AE59)/断面设计!$J$7),(H60-H59-AE60)/O59),(H60-H59)/O60))</f>
        <v>1.5129849905536412E-2</v>
      </c>
      <c r="Y60" s="144">
        <v>0</v>
      </c>
      <c r="Z60" s="145">
        <f t="shared" si="26"/>
        <v>0</v>
      </c>
      <c r="AA60" s="146"/>
      <c r="AB60" s="144">
        <f t="shared" si="4"/>
        <v>1.6073166549589899</v>
      </c>
      <c r="AC60" s="119">
        <f t="shared" si="5"/>
        <v>7.1823104745397229E-2</v>
      </c>
      <c r="AD60" s="119">
        <f t="shared" ca="1" si="18"/>
        <v>2389.5213815952056</v>
      </c>
      <c r="AE60" s="147">
        <v>7</v>
      </c>
      <c r="AF60" s="119">
        <f t="shared" ca="1" si="6"/>
        <v>2389.5780748500456</v>
      </c>
      <c r="AG60" s="119">
        <f ca="1">IF(AE60=0," ",AF60-断面设计!$C$9)</f>
        <v>2388.0289577257417</v>
      </c>
      <c r="AH60" s="119" t="str">
        <f t="shared" si="7"/>
        <v xml:space="preserve"> </v>
      </c>
      <c r="AI60" s="119" t="str">
        <f t="shared" si="8"/>
        <v xml:space="preserve"> </v>
      </c>
      <c r="AJ60" s="119" t="str">
        <f t="shared" si="9"/>
        <v xml:space="preserve"> </v>
      </c>
      <c r="AK60" s="119" t="str">
        <f t="shared" si="10"/>
        <v xml:space="preserve"> </v>
      </c>
      <c r="AL60" s="119">
        <f t="shared" ca="1" si="11"/>
        <v>2389.5213815952056</v>
      </c>
      <c r="AM60" s="119">
        <f t="shared" ca="1" si="12"/>
        <v>2387.9140649402466</v>
      </c>
      <c r="AN60" s="152">
        <v>1</v>
      </c>
      <c r="AO60" s="97">
        <v>2</v>
      </c>
      <c r="AP60" s="42"/>
      <c r="AQ60" s="42"/>
      <c r="AR60" s="42"/>
      <c r="AS60" s="42"/>
      <c r="AT60" s="42"/>
      <c r="AU60" s="64" t="str">
        <f t="shared" ca="1" si="20"/>
        <v>3706.63326241756,2387.91406494025</v>
      </c>
      <c r="AV60" s="64" t="str">
        <f t="shared" ca="1" si="30"/>
        <v>3706.63326241756,2389.52138159521</v>
      </c>
      <c r="AW60" s="169" t="str">
        <f t="shared" si="31"/>
        <v xml:space="preserve">pl 3706.63326241756,0 3706.63326241756,76 </v>
      </c>
      <c r="AX60" s="161" t="str">
        <f t="shared" ca="1" si="27"/>
        <v>-text 3706.63326241756,48 3.5 90 2387.914</v>
      </c>
      <c r="AY60" s="161" t="str">
        <f t="shared" ca="1" si="28"/>
        <v>-text 3706.63326241756,62.5 3.5 90 2389.521</v>
      </c>
      <c r="AZ60" s="42" t="str">
        <f t="shared" si="29"/>
        <v>-text 3706.63326241756,23.5 3.5 90 马分3+706.63</v>
      </c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42"/>
      <c r="DO60" s="42"/>
      <c r="DP60" s="42"/>
      <c r="DQ60" s="42"/>
      <c r="DR60" s="42"/>
      <c r="DS60" s="42"/>
      <c r="DT60" s="42"/>
      <c r="DU60" s="42"/>
      <c r="DV60" s="42"/>
      <c r="DW60" s="42"/>
      <c r="DX60" s="42"/>
      <c r="DY60" s="42"/>
      <c r="DZ60" s="42"/>
      <c r="EA60" s="42"/>
      <c r="EB60" s="42"/>
      <c r="EC60" s="42"/>
      <c r="ED60" s="42"/>
      <c r="EE60" s="42"/>
      <c r="EF60" s="42"/>
      <c r="EG60" s="42"/>
      <c r="EH60" s="42"/>
      <c r="EI60" s="42"/>
      <c r="EJ60" s="42"/>
      <c r="EK60" s="42"/>
      <c r="EL60" s="42"/>
      <c r="EM60" s="42"/>
      <c r="EN60" s="42"/>
      <c r="EO60" s="42"/>
      <c r="EP60" s="42"/>
      <c r="EQ60" s="42"/>
      <c r="ER60" s="42"/>
      <c r="ES60" s="42"/>
      <c r="ET60" s="42"/>
      <c r="EU60" s="42"/>
      <c r="EV60" s="42"/>
      <c r="EW60" s="42"/>
      <c r="EX60" s="42"/>
      <c r="EY60" s="42"/>
      <c r="EZ60" s="42"/>
      <c r="FA60" s="42"/>
      <c r="FB60" s="42"/>
      <c r="FC60" s="42"/>
      <c r="FD60" s="42"/>
      <c r="FE60" s="42"/>
      <c r="FF60" s="42"/>
      <c r="FG60" s="42"/>
      <c r="FH60" s="42"/>
      <c r="FI60" s="42"/>
      <c r="FJ60" s="42"/>
      <c r="FK60" s="42"/>
      <c r="FL60" s="42"/>
      <c r="FM60" s="42"/>
      <c r="FN60" s="42"/>
      <c r="FO60" s="42"/>
      <c r="FP60" s="42"/>
      <c r="FQ60" s="42"/>
      <c r="FR60" s="42"/>
      <c r="FS60" s="42"/>
      <c r="FT60" s="42"/>
      <c r="FU60" s="42"/>
      <c r="FV60" s="42"/>
      <c r="FW60" s="42"/>
      <c r="FX60" s="42"/>
      <c r="FY60" s="42"/>
      <c r="FZ60" s="42"/>
      <c r="GA60" s="42"/>
      <c r="GB60" s="42"/>
      <c r="GC60" s="42"/>
      <c r="GD60" s="42"/>
      <c r="GE60" s="42"/>
      <c r="GF60" s="42"/>
      <c r="GG60" s="42"/>
      <c r="GH60" s="42"/>
      <c r="GI60" s="42"/>
      <c r="GJ60" s="42"/>
      <c r="GK60" s="42"/>
      <c r="GL60" s="42"/>
      <c r="GM60" s="42"/>
      <c r="GN60" s="42"/>
      <c r="GO60" s="42"/>
      <c r="GP60" s="42"/>
      <c r="GQ60" s="42"/>
      <c r="GR60" s="42"/>
      <c r="GS60" s="42"/>
      <c r="GT60" s="42"/>
      <c r="GU60" s="42"/>
      <c r="GV60" s="42"/>
      <c r="GW60" s="42"/>
      <c r="GX60" s="42"/>
    </row>
    <row r="61" spans="1:206" s="56" customFormat="1" x14ac:dyDescent="0.25">
      <c r="A61" s="97">
        <v>3</v>
      </c>
      <c r="B61" s="98" t="str">
        <f>线路!B58</f>
        <v>3#渡槽出</v>
      </c>
      <c r="C61" s="99">
        <f>线路!E58</f>
        <v>451091.51370000001</v>
      </c>
      <c r="D61" s="99">
        <f>线路!F58</f>
        <v>3044851.3760000002</v>
      </c>
      <c r="E61" s="100">
        <f>线路!G58</f>
        <v>0</v>
      </c>
      <c r="F61" s="100">
        <f>线路!H58</f>
        <v>0</v>
      </c>
      <c r="G61" s="101">
        <f>线路!L58</f>
        <v>3826.6331995116684</v>
      </c>
      <c r="H61" s="101">
        <f>线路!M58</f>
        <v>3826.6331995116684</v>
      </c>
      <c r="I61" s="101">
        <f>线路!N58</f>
        <v>3826.6331995116684</v>
      </c>
      <c r="J61" s="118">
        <f t="shared" si="0"/>
        <v>0</v>
      </c>
      <c r="K61" s="118">
        <f t="shared" si="13"/>
        <v>119.99993709410774</v>
      </c>
      <c r="L61" s="118">
        <f>IF(A61=1,断面设计!$D$7,IF(A61=2,断面设计!$D$8,IF(A61=3,断面设计!$D$9,IF(A61=4,断面设计!$D$10,IF(A61=5,断面设计!$D$11,IF(A61=6,断面设计!$D$12,IF(A61=7,断面设计!$D$13,IF(A61=8,断面设计!$D$14,IF(A61=9,断面设计!$D$15,IF(A61=10,断面设计!$D$16))))))))))</f>
        <v>1.5</v>
      </c>
      <c r="M61" s="118">
        <f t="shared" si="14"/>
        <v>0</v>
      </c>
      <c r="N61" s="119">
        <f t="shared" si="1"/>
        <v>1.4E-2</v>
      </c>
      <c r="O61" s="118">
        <f>IF(A61=2,断面设计!$H$22,IF(A61=3,断面设计!$H$23,IF(A61=6,断面设计!$H$24)))</f>
        <v>2000</v>
      </c>
      <c r="P61" s="120">
        <f>IF(A61=1,断面设计!$K$7,IF(A61=2,断面设计!$K$8,IF(A61=3,断面设计!$K$9,IF(A61=4,断面设计!$K$10,IF(A61=5,断面设计!$K$11,IF(A61=6,断面设计!$K$12,IF(A61=7,断面设计!$K$13,IF(A61=8,断面设计!$K$14,IF(A61=9,断面设计!$K$15,IF(A61=10,断面设计!$K$16))))))))))</f>
        <v>4.3005791249620255</v>
      </c>
      <c r="Q61" s="119">
        <f>IF(A61=2,断面设计!$C$22,IF(A61=3,断面设计!$C$23,IF(A61=6,断面设计!$C$24)))</f>
        <v>1.6073166549589899</v>
      </c>
      <c r="R61" s="118">
        <f>IF(A61=2,断面设计!$E$22,IF(A61=3,断面设计!$E$23,IF(A61=6,断面设计!$E$24)))</f>
        <v>3.3476608980145008</v>
      </c>
      <c r="S61" s="118">
        <f>IF(A61=2,断面设计!$R$22,IF(A61=3,断面设计!$R$23,IF(A61=6,断面设计!$R$24)))</f>
        <v>4.6416241269052207</v>
      </c>
      <c r="T61" s="118">
        <f t="shared" si="15"/>
        <v>0.72122619292022183</v>
      </c>
      <c r="U61" s="118">
        <f t="shared" si="16"/>
        <v>1.2846519572853692</v>
      </c>
      <c r="V61" s="126"/>
      <c r="W61" s="119">
        <f>-0.6*(U61^2/2-U62^2/2)/9.81</f>
        <v>-2.9579089481666512E-2</v>
      </c>
      <c r="X61" s="119">
        <f>IF(AN61=0,IF(AN60=2,(H61-H60-AE60)/O61,(H61-H60)/O61),IF(AN61=1,IF(AN60=2,IF(AE61&lt;9,(H61-H60-AE61-AE60)/断面设计!$J$7,(H61-H60-AE61-AE60)/断面设计!$J$7),(H61-H60-AE61)/O60),(H61-H60)/O61))</f>
        <v>5.9999968547053868E-2</v>
      </c>
      <c r="Y61" s="144">
        <v>0</v>
      </c>
      <c r="Z61" s="145">
        <f t="shared" si="26"/>
        <v>0</v>
      </c>
      <c r="AA61" s="146"/>
      <c r="AB61" s="144">
        <f t="shared" si="4"/>
        <v>1.6073166549589899</v>
      </c>
      <c r="AC61" s="119">
        <f t="shared" si="5"/>
        <v>3.0420879065387357E-2</v>
      </c>
      <c r="AD61" s="119">
        <f t="shared" ca="1" si="18"/>
        <v>2389.4909607161403</v>
      </c>
      <c r="AE61" s="147">
        <v>7</v>
      </c>
      <c r="AF61" s="119">
        <f t="shared" ca="1" si="6"/>
        <v>2389.4909607161403</v>
      </c>
      <c r="AG61" s="119">
        <f ca="1">IF(AE61=0," ",AF61-断面设计!$C$7)</f>
        <v>2387.8910148797404</v>
      </c>
      <c r="AH61" s="119" t="str">
        <f t="shared" si="7"/>
        <v xml:space="preserve"> </v>
      </c>
      <c r="AI61" s="119" t="str">
        <f t="shared" si="8"/>
        <v xml:space="preserve"> </v>
      </c>
      <c r="AJ61" s="119" t="str">
        <f t="shared" si="9"/>
        <v xml:space="preserve"> </v>
      </c>
      <c r="AK61" s="119" t="str">
        <f t="shared" si="10"/>
        <v xml:space="preserve"> </v>
      </c>
      <c r="AL61" s="119">
        <f t="shared" ca="1" si="11"/>
        <v>2389.4613816266587</v>
      </c>
      <c r="AM61" s="119">
        <f t="shared" ca="1" si="12"/>
        <v>2387.8540649716997</v>
      </c>
      <c r="AN61" s="152">
        <v>2</v>
      </c>
      <c r="AO61" s="97">
        <v>2</v>
      </c>
      <c r="AP61" s="42"/>
      <c r="AQ61" s="42"/>
      <c r="AR61" s="42"/>
      <c r="AS61" s="42"/>
      <c r="AT61" s="42"/>
      <c r="AU61" s="64" t="str">
        <f t="shared" ca="1" si="20"/>
        <v>3826.63319951167,2387.8540649717</v>
      </c>
      <c r="AV61" s="64" t="str">
        <f t="shared" ca="1" si="30"/>
        <v>3826.63319951167,2389.46138162666</v>
      </c>
      <c r="AW61" s="169" t="str">
        <f t="shared" si="31"/>
        <v xml:space="preserve">pl 3826.63319951167,0 3826.63319951167,76 </v>
      </c>
      <c r="AX61" s="161" t="str">
        <f t="shared" ca="1" si="27"/>
        <v>-text 3826.63319951167,48 3.5 90 2387.854</v>
      </c>
      <c r="AY61" s="161" t="str">
        <f t="shared" ca="1" si="28"/>
        <v>-text 3826.63319951167,62.5 3.5 90 2389.461</v>
      </c>
      <c r="AZ61" s="42" t="str">
        <f t="shared" si="29"/>
        <v>-text 3826.63319951167,23.5 3.5 90 马分3+826.63</v>
      </c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42"/>
      <c r="DO61" s="42"/>
      <c r="DP61" s="42"/>
      <c r="DQ61" s="42"/>
      <c r="DR61" s="42"/>
      <c r="DS61" s="42"/>
      <c r="DT61" s="42"/>
      <c r="DU61" s="42"/>
      <c r="DV61" s="42"/>
      <c r="DW61" s="42"/>
      <c r="DX61" s="42"/>
      <c r="DY61" s="42"/>
      <c r="DZ61" s="42"/>
      <c r="EA61" s="42"/>
      <c r="EB61" s="42"/>
      <c r="EC61" s="42"/>
      <c r="ED61" s="42"/>
      <c r="EE61" s="42"/>
      <c r="EF61" s="42"/>
      <c r="EG61" s="42"/>
      <c r="EH61" s="42"/>
      <c r="EI61" s="42"/>
      <c r="EJ61" s="42"/>
      <c r="EK61" s="42"/>
      <c r="EL61" s="42"/>
      <c r="EM61" s="42"/>
      <c r="EN61" s="42"/>
      <c r="EO61" s="42"/>
      <c r="EP61" s="42"/>
      <c r="EQ61" s="42"/>
      <c r="ER61" s="42"/>
      <c r="ES61" s="42"/>
      <c r="ET61" s="42"/>
      <c r="EU61" s="42"/>
      <c r="EV61" s="42"/>
      <c r="EW61" s="42"/>
      <c r="EX61" s="42"/>
      <c r="EY61" s="42"/>
      <c r="EZ61" s="42"/>
      <c r="FA61" s="42"/>
      <c r="FB61" s="42"/>
      <c r="FC61" s="42"/>
      <c r="FD61" s="42"/>
      <c r="FE61" s="42"/>
      <c r="FF61" s="42"/>
      <c r="FG61" s="42"/>
      <c r="FH61" s="42"/>
      <c r="FI61" s="42"/>
      <c r="FJ61" s="42"/>
      <c r="FK61" s="42"/>
      <c r="FL61" s="42"/>
      <c r="FM61" s="42"/>
      <c r="FN61" s="42"/>
      <c r="FO61" s="42"/>
      <c r="FP61" s="42"/>
      <c r="FQ61" s="42"/>
      <c r="FR61" s="42"/>
      <c r="FS61" s="42"/>
      <c r="FT61" s="42"/>
      <c r="FU61" s="42"/>
      <c r="FV61" s="42"/>
      <c r="FW61" s="42"/>
      <c r="FX61" s="42"/>
      <c r="FY61" s="42"/>
      <c r="FZ61" s="42"/>
      <c r="GA61" s="42"/>
      <c r="GB61" s="42"/>
      <c r="GC61" s="42"/>
      <c r="GD61" s="42"/>
      <c r="GE61" s="42"/>
      <c r="GF61" s="42"/>
      <c r="GG61" s="42"/>
      <c r="GH61" s="42"/>
      <c r="GI61" s="42"/>
      <c r="GJ61" s="42"/>
      <c r="GK61" s="42"/>
      <c r="GL61" s="42"/>
      <c r="GM61" s="42"/>
      <c r="GN61" s="42"/>
      <c r="GO61" s="42"/>
      <c r="GP61" s="42"/>
      <c r="GQ61" s="42"/>
      <c r="GR61" s="42"/>
      <c r="GS61" s="42"/>
      <c r="GT61" s="42"/>
      <c r="GU61" s="42"/>
      <c r="GV61" s="42"/>
      <c r="GW61" s="42"/>
      <c r="GX61" s="42"/>
    </row>
    <row r="62" spans="1:206" s="42" customFormat="1" x14ac:dyDescent="0.25">
      <c r="A62" s="80">
        <v>3</v>
      </c>
      <c r="B62" s="76" t="str">
        <f>线路!B59</f>
        <v>IP41</v>
      </c>
      <c r="C62" s="81">
        <f>线路!E59</f>
        <v>451098.16830000002</v>
      </c>
      <c r="D62" s="81">
        <f>线路!F59</f>
        <v>3044834.3838</v>
      </c>
      <c r="E62" s="85">
        <f>线路!G59</f>
        <v>13</v>
      </c>
      <c r="F62" s="85">
        <f>线路!H59</f>
        <v>71.430000000000007</v>
      </c>
      <c r="G62" s="86">
        <f>线路!L59</f>
        <v>3835.5353863545697</v>
      </c>
      <c r="H62" s="86">
        <f>线路!M59</f>
        <v>3843.6388628051168</v>
      </c>
      <c r="I62" s="86">
        <f>线路!N59</f>
        <v>3851.7423392556639</v>
      </c>
      <c r="J62" s="83">
        <f t="shared" si="0"/>
        <v>16.206952901094155</v>
      </c>
      <c r="K62" s="83">
        <f t="shared" si="13"/>
        <v>17.005663293448379</v>
      </c>
      <c r="L62" s="83">
        <f>IF(A62=1,断面设计!$D$7,IF(A62=2,断面设计!$D$8,IF(A62=3,断面设计!$D$9,IF(A62=4,断面设计!$D$10,IF(A62=5,断面设计!$D$11,IF(A62=6,断面设计!$D$12,IF(A62=7,断面设计!$D$13,IF(A62=8,断面设计!$D$14,IF(A62=9,断面设计!$D$15,IF(A62=10,断面设计!$D$16))))))))))</f>
        <v>1.5</v>
      </c>
      <c r="M62" s="83">
        <f t="shared" si="14"/>
        <v>1.2</v>
      </c>
      <c r="N62" s="110">
        <f t="shared" si="1"/>
        <v>1.4999999999999999E-2</v>
      </c>
      <c r="O62" s="83">
        <f>IF(A62=1,断面设计!$J$7,IF(A62=2,断面设计!$J$8,IF(A62=3,断面设计!$J$9,IF(A62=4,断面设计!$J$10,IF(A62=5,断面设计!$J$11,IF(A62=6,断面设计!$J$12,IF(A62=7,断面设计!$J$13,IF(A62=8,断面设计!$J$14,IF(A62=9,断面设计!$J$15,IF(A62=10,断面设计!$J$16))))))))))</f>
        <v>5000</v>
      </c>
      <c r="P62" s="111">
        <f>IF(A62=1,断面设计!$K$7,IF(A62=2,断面设计!$K$8,IF(A62=3,断面设计!$K$9,IF(A62=4,断面设计!$K$10,IF(A62=5,断面设计!$K$11,IF(A62=6,断面设计!$K$12,IF(A62=7,断面设计!$K$13,IF(A62=8,断面设计!$K$14,IF(A62=9,断面设计!$K$15,IF(A62=10,断面设计!$K$16))))))))))</f>
        <v>4.3005791249620255</v>
      </c>
      <c r="Q62" s="110">
        <f>IF(A62=1,断面设计!$C$7,IF(A62=2,断面设计!$C$8,IF(A62=3,断面设计!$C$9,IF(A62=4,断面设计!$C$10,IF(A62=5,断面设计!$C$11,IF(A62=6,断面设计!$C$12,IF(A62=7,断面设计!$C$13,IF(A62=8,断面设计!$C$14,IF(A62=9,断面设计!$C$15,IF(A62=10,断面设计!$C$16))))))))))</f>
        <v>1.5491171243039099</v>
      </c>
      <c r="R62" s="83">
        <f>IF(A62=1,断面设计!$F$7,IF(A62=2,断面设计!$F$8,IF(A62=3,断面设计!$F$9,IF(A62=4,断面设计!$F$10,IF(A62=5,断面设计!$F$11,IF(A62=6,断面设计!$F$12,IF(A62=7,断面设计!$F$13,IF(A62=8,断面设计!$F$14,IF(A62=9,断面设计!$F$15,IF(A62=10,断面设计!$F$16))))))))))</f>
        <v>5.2033923242298039</v>
      </c>
      <c r="S62" s="83">
        <f>IF(A62=1,断面设计!$G$7,IF(A62=2,断面设计!$G$8,IF(A62=3,断面设计!$G$9,IF(A62=4,断面设计!$G$10,IF(A62=5,断面设计!$G$11,IF(A62=6,断面设计!$G$12,IF(A62=7,断面设计!$G$13,IF(A62=8,断面设计!$G$14,IF(A62=9,断面设计!$G$15,IF(A62=10,断面设计!$G$16))))))))))</f>
        <v>6.3395966072144239</v>
      </c>
      <c r="T62" s="83">
        <f t="shared" si="15"/>
        <v>0.8207765646016616</v>
      </c>
      <c r="U62" s="83">
        <f t="shared" si="16"/>
        <v>0.82649526635464465</v>
      </c>
      <c r="V62" s="123">
        <f t="shared" si="17"/>
        <v>1.6968135048770099E-3</v>
      </c>
      <c r="W62" s="127"/>
      <c r="X62" s="110">
        <f>IF(AN62=0,IF(AN61=2,(H62-H61-AE61)/O62,(H62-H61)/O62),IF(AN62=1,IF(AN61=2,IF(AE62&lt;9,(H62-H61-AE62-AE61)/断面设计!$J$7,(H62-H61-AE62-AE61)/断面设计!$J$7),(H62-H61-AE62)/O61),(H62-H61)/O62))</f>
        <v>2.0011326586896758E-3</v>
      </c>
      <c r="Y62" s="133">
        <v>0</v>
      </c>
      <c r="Z62" s="134">
        <f t="shared" si="26"/>
        <v>0</v>
      </c>
      <c r="AA62" s="142"/>
      <c r="AB62" s="133">
        <f t="shared" si="4"/>
        <v>1.5491171243039099</v>
      </c>
      <c r="AC62" s="110">
        <f t="shared" si="5"/>
        <v>3.6979461635666859E-3</v>
      </c>
      <c r="AD62" s="110">
        <f t="shared" ca="1" si="18"/>
        <v>2389.487262769977</v>
      </c>
      <c r="AE62" s="82">
        <f t="shared" si="19"/>
        <v>0</v>
      </c>
      <c r="AF62" s="110" t="str">
        <f t="shared" si="6"/>
        <v xml:space="preserve"> </v>
      </c>
      <c r="AG62" s="110" t="str">
        <f>IF(AE62=0," ",AF62-断面设计!$C$7)</f>
        <v xml:space="preserve"> </v>
      </c>
      <c r="AH62" s="110">
        <f t="shared" ca="1" si="7"/>
        <v>2389.4905802787721</v>
      </c>
      <c r="AI62" s="110">
        <f t="shared" ca="1" si="8"/>
        <v>2387.9414631544682</v>
      </c>
      <c r="AJ62" s="110">
        <f t="shared" ca="1" si="9"/>
        <v>2389.4856420746869</v>
      </c>
      <c r="AK62" s="110">
        <f t="shared" ca="1" si="10"/>
        <v>2387.936524950383</v>
      </c>
      <c r="AL62" s="110">
        <f t="shared" ca="1" si="11"/>
        <v>2389.4881111767295</v>
      </c>
      <c r="AM62" s="110">
        <f t="shared" ca="1" si="12"/>
        <v>2387.9389940524256</v>
      </c>
      <c r="AN62" s="127"/>
      <c r="AO62" s="80">
        <v>0</v>
      </c>
      <c r="AU62" s="64" t="str">
        <f t="shared" ca="1" si="20"/>
        <v>3843.63886280512,2387.93899405243</v>
      </c>
      <c r="AV62" s="64" t="str">
        <f t="shared" ca="1" si="30"/>
        <v>3843.63886280512,2389.48811117673</v>
      </c>
      <c r="AW62" s="169" t="str">
        <f t="shared" si="31"/>
        <v xml:space="preserve">pl 3843.63886280512,0 3843.63886280512,76 </v>
      </c>
      <c r="AX62" s="161" t="str">
        <f t="shared" ca="1" si="27"/>
        <v>-text 3843.63886280512,48 3.5 90 2387.939</v>
      </c>
      <c r="AY62" s="161" t="str">
        <f t="shared" ca="1" si="28"/>
        <v>-text 3843.63886280512,62.5 3.5 90 2389.488</v>
      </c>
      <c r="AZ62" s="42" t="str">
        <f t="shared" si="29"/>
        <v>-text 3843.63886280512,23.5 3.5 90 马分3+843.64</v>
      </c>
    </row>
    <row r="63" spans="1:206" s="42" customFormat="1" x14ac:dyDescent="0.25">
      <c r="A63" s="80">
        <v>3</v>
      </c>
      <c r="B63" s="76" t="str">
        <f>线路!B60</f>
        <v>IP42</v>
      </c>
      <c r="C63" s="81">
        <f>线路!E60</f>
        <v>451076.62339999998</v>
      </c>
      <c r="D63" s="81">
        <f>线路!F60</f>
        <v>3044816.3333000001</v>
      </c>
      <c r="E63" s="85">
        <f>线路!G60</f>
        <v>13</v>
      </c>
      <c r="F63" s="85">
        <f>线路!H60</f>
        <v>57.707000000000001</v>
      </c>
      <c r="G63" s="86">
        <f>线路!L60</f>
        <v>3863.3401006002441</v>
      </c>
      <c r="H63" s="86">
        <f>线路!M60</f>
        <v>3869.8867520846584</v>
      </c>
      <c r="I63" s="86">
        <f>线路!N60</f>
        <v>3876.4334035690731</v>
      </c>
      <c r="J63" s="83">
        <f t="shared" si="0"/>
        <v>13.093302968828993</v>
      </c>
      <c r="K63" s="83">
        <f t="shared" si="13"/>
        <v>26.247889279541596</v>
      </c>
      <c r="L63" s="83">
        <f>IF(A63=1,断面设计!$D$7,IF(A63=2,断面设计!$D$8,IF(A63=3,断面设计!$D$9,IF(A63=4,断面设计!$D$10,IF(A63=5,断面设计!$D$11,IF(A63=6,断面设计!$D$12,IF(A63=7,断面设计!$D$13,IF(A63=8,断面设计!$D$14,IF(A63=9,断面设计!$D$15,IF(A63=10,断面设计!$D$16))))))))))</f>
        <v>1.5</v>
      </c>
      <c r="M63" s="83">
        <f t="shared" si="14"/>
        <v>1.2</v>
      </c>
      <c r="N63" s="110">
        <f t="shared" si="1"/>
        <v>1.4999999999999999E-2</v>
      </c>
      <c r="O63" s="83">
        <f>IF(A63=1,断面设计!$J$7,IF(A63=2,断面设计!$J$8,IF(A63=3,断面设计!$J$9,IF(A63=4,断面设计!$J$10,IF(A63=5,断面设计!$J$11,IF(A63=6,断面设计!$J$12,IF(A63=7,断面设计!$J$13,IF(A63=8,断面设计!$J$14,IF(A63=9,断面设计!$J$15,IF(A63=10,断面设计!$J$16))))))))))</f>
        <v>5000</v>
      </c>
      <c r="P63" s="111">
        <f>IF(A63=1,断面设计!$K$7,IF(A63=2,断面设计!$K$8,IF(A63=3,断面设计!$K$9,IF(A63=4,断面设计!$K$10,IF(A63=5,断面设计!$K$11,IF(A63=6,断面设计!$K$12,IF(A63=7,断面设计!$K$13,IF(A63=8,断面设计!$K$14,IF(A63=9,断面设计!$K$15,IF(A63=10,断面设计!$K$16))))))))))</f>
        <v>4.3005791249620255</v>
      </c>
      <c r="Q63" s="110">
        <f>IF(A63=1,断面设计!$C$7,IF(A63=2,断面设计!$C$8,IF(A63=3,断面设计!$C$9,IF(A63=4,断面设计!$C$10,IF(A63=5,断面设计!$C$11,IF(A63=6,断面设计!$C$12,IF(A63=7,断面设计!$C$13,IF(A63=8,断面设计!$C$14,IF(A63=9,断面设计!$C$15,IF(A63=10,断面设计!$C$16))))))))))</f>
        <v>1.5491171243039099</v>
      </c>
      <c r="R63" s="83">
        <f>IF(A63=1,断面设计!$F$7,IF(A63=2,断面设计!$F$8,IF(A63=3,断面设计!$F$9,IF(A63=4,断面设计!$F$10,IF(A63=5,断面设计!$F$11,IF(A63=6,断面设计!$F$12,IF(A63=7,断面设计!$F$13,IF(A63=8,断面设计!$F$14,IF(A63=9,断面设计!$F$15,IF(A63=10,断面设计!$F$16))))))))))</f>
        <v>5.2033923242298039</v>
      </c>
      <c r="S63" s="83">
        <f>IF(A63=1,断面设计!$G$7,IF(A63=2,断面设计!$G$8,IF(A63=3,断面设计!$G$9,IF(A63=4,断面设计!$G$10,IF(A63=5,断面设计!$G$11,IF(A63=6,断面设计!$G$12,IF(A63=7,断面设计!$G$13,IF(A63=8,断面设计!$G$14,IF(A63=9,断面设计!$G$15,IF(A63=10,断面设计!$G$16))))))))))</f>
        <v>6.3395966072144239</v>
      </c>
      <c r="T63" s="83">
        <f t="shared" si="15"/>
        <v>0.8207765646016616</v>
      </c>
      <c r="U63" s="83">
        <f t="shared" si="16"/>
        <v>0.82649526635464465</v>
      </c>
      <c r="V63" s="123">
        <f t="shared" si="17"/>
        <v>1.3708248204667387E-3</v>
      </c>
      <c r="W63" s="127"/>
      <c r="X63" s="110">
        <f>IF(AN63=0,IF(AN62=2,(H63-H62-AE62)/O63,(H63-H62)/O63),IF(AN63=1,IF(AN62=2,IF(AE63&lt;9,(H63-H62-AE63-AE62)/断面设计!$J$7,(H63-H62-AE63-AE62)/断面设计!$J$7),(H63-H62-AE63)/O62),(H63-H62)/O63))</f>
        <v>5.2495778559083191E-3</v>
      </c>
      <c r="Y63" s="133">
        <v>0</v>
      </c>
      <c r="Z63" s="134">
        <f t="shared" si="26"/>
        <v>0</v>
      </c>
      <c r="AA63" s="142"/>
      <c r="AB63" s="133">
        <f t="shared" si="4"/>
        <v>1.5491171243039099</v>
      </c>
      <c r="AC63" s="110">
        <f t="shared" si="5"/>
        <v>6.6204026763750576E-3</v>
      </c>
      <c r="AD63" s="110">
        <f t="shared" ca="1" si="18"/>
        <v>2389.4806423673008</v>
      </c>
      <c r="AE63" s="82">
        <f t="shared" si="19"/>
        <v>0</v>
      </c>
      <c r="AF63" s="110" t="str">
        <f t="shared" si="6"/>
        <v xml:space="preserve"> </v>
      </c>
      <c r="AG63" s="110" t="str">
        <f>IF(AE63=0," ",AF63-断面设计!$C$7)</f>
        <v xml:space="preserve"> </v>
      </c>
      <c r="AH63" s="110">
        <f t="shared" ca="1" si="7"/>
        <v>2389.4833225224179</v>
      </c>
      <c r="AI63" s="110">
        <f t="shared" ca="1" si="8"/>
        <v>2387.934205398114</v>
      </c>
      <c r="AJ63" s="110">
        <f t="shared" ca="1" si="9"/>
        <v>2389.4793330370039</v>
      </c>
      <c r="AK63" s="110">
        <f t="shared" ca="1" si="10"/>
        <v>2387.9302159127001</v>
      </c>
      <c r="AL63" s="110">
        <f t="shared" ca="1" si="11"/>
        <v>2389.4813277797111</v>
      </c>
      <c r="AM63" s="110">
        <f t="shared" ca="1" si="12"/>
        <v>2387.9322106554073</v>
      </c>
      <c r="AN63" s="127"/>
      <c r="AO63" s="80">
        <v>0</v>
      </c>
      <c r="AU63" s="64" t="str">
        <f t="shared" ca="1" si="20"/>
        <v>3869.88675208466,2387.93221065541</v>
      </c>
      <c r="AV63" s="64" t="str">
        <f t="shared" ca="1" si="30"/>
        <v>3869.88675208466,2389.48132777971</v>
      </c>
      <c r="AW63" s="169" t="str">
        <f t="shared" si="31"/>
        <v xml:space="preserve">pl 3869.88675208466,0 3869.88675208466,76 </v>
      </c>
      <c r="AX63" s="161" t="str">
        <f t="shared" ca="1" si="27"/>
        <v>-text 3869.88675208466,48 3.5 90 2387.932</v>
      </c>
      <c r="AY63" s="161" t="str">
        <f t="shared" ca="1" si="28"/>
        <v>-text 3869.88675208466,62.5 3.5 90 2389.481</v>
      </c>
      <c r="AZ63" s="42" t="str">
        <f t="shared" si="29"/>
        <v>-text 3869.88675208466,23.5 3.5 90 马分3+869.89</v>
      </c>
    </row>
    <row r="64" spans="1:206" s="42" customFormat="1" x14ac:dyDescent="0.25">
      <c r="A64" s="80">
        <v>3</v>
      </c>
      <c r="B64" s="76" t="str">
        <f>线路!B61</f>
        <v>IP43</v>
      </c>
      <c r="C64" s="81">
        <f>线路!E61</f>
        <v>451083.745</v>
      </c>
      <c r="D64" s="81">
        <f>线路!F61</f>
        <v>3044763.4071</v>
      </c>
      <c r="E64" s="85">
        <f>线路!G61</f>
        <v>13</v>
      </c>
      <c r="F64" s="85">
        <f>线路!H61</f>
        <v>21.678000000000001</v>
      </c>
      <c r="G64" s="86">
        <f>线路!L61</f>
        <v>3920.1849047192654</v>
      </c>
      <c r="H64" s="86">
        <f>线路!M61</f>
        <v>3922.6441958083733</v>
      </c>
      <c r="I64" s="86">
        <f>线路!N61</f>
        <v>3925.1034868974807</v>
      </c>
      <c r="J64" s="83">
        <f t="shared" si="0"/>
        <v>4.9185821782152743</v>
      </c>
      <c r="K64" s="83">
        <f t="shared" si="13"/>
        <v>52.757443723714914</v>
      </c>
      <c r="L64" s="83">
        <f>IF(A64=1,断面设计!$D$7,IF(A64=2,断面设计!$D$8,IF(A64=3,断面设计!$D$9,IF(A64=4,断面设计!$D$10,IF(A64=5,断面设计!$D$11,IF(A64=6,断面设计!$D$12,IF(A64=7,断面设计!$D$13,IF(A64=8,断面设计!$D$14,IF(A64=9,断面设计!$D$15,IF(A64=10,断面设计!$D$16))))))))))</f>
        <v>1.5</v>
      </c>
      <c r="M64" s="83">
        <f t="shared" si="14"/>
        <v>1.2</v>
      </c>
      <c r="N64" s="110">
        <f t="shared" si="1"/>
        <v>1.4999999999999999E-2</v>
      </c>
      <c r="O64" s="83">
        <f>IF(A64=1,断面设计!$J$7,IF(A64=2,断面设计!$J$8,IF(A64=3,断面设计!$J$9,IF(A64=4,断面设计!$J$10,IF(A64=5,断面设计!$J$11,IF(A64=6,断面设计!$J$12,IF(A64=7,断面设计!$J$13,IF(A64=8,断面设计!$J$14,IF(A64=9,断面设计!$J$15,IF(A64=10,断面设计!$J$16))))))))))</f>
        <v>5000</v>
      </c>
      <c r="P64" s="111">
        <f>IF(A64=1,断面设计!$K$7,IF(A64=2,断面设计!$K$8,IF(A64=3,断面设计!$K$9,IF(A64=4,断面设计!$K$10,IF(A64=5,断面设计!$K$11,IF(A64=6,断面设计!$K$12,IF(A64=7,断面设计!$K$13,IF(A64=8,断面设计!$K$14,IF(A64=9,断面设计!$K$15,IF(A64=10,断面设计!$K$16))))))))))</f>
        <v>4.3005791249620255</v>
      </c>
      <c r="Q64" s="110">
        <f>IF(A64=1,断面设计!$C$7,IF(A64=2,断面设计!$C$8,IF(A64=3,断面设计!$C$9,IF(A64=4,断面设计!$C$10,IF(A64=5,断面设计!$C$11,IF(A64=6,断面设计!$C$12,IF(A64=7,断面设计!$C$13,IF(A64=8,断面设计!$C$14,IF(A64=9,断面设计!$C$15,IF(A64=10,断面设计!$C$16))))))))))</f>
        <v>1.5491171243039099</v>
      </c>
      <c r="R64" s="83">
        <f>IF(A64=1,断面设计!$F$7,IF(A64=2,断面设计!$F$8,IF(A64=3,断面设计!$F$9,IF(A64=4,断面设计!$F$10,IF(A64=5,断面设计!$F$11,IF(A64=6,断面设计!$F$12,IF(A64=7,断面设计!$F$13,IF(A64=8,断面设计!$F$14,IF(A64=9,断面设计!$F$15,IF(A64=10,断面设计!$F$16))))))))))</f>
        <v>5.2033923242298039</v>
      </c>
      <c r="S64" s="83">
        <f>IF(A64=1,断面设计!$G$7,IF(A64=2,断面设计!$G$8,IF(A64=3,断面设计!$G$9,IF(A64=4,断面设计!$G$10,IF(A64=5,断面设计!$G$11,IF(A64=6,断面设计!$G$12,IF(A64=7,断面设计!$G$13,IF(A64=8,断面设计!$G$14,IF(A64=9,断面设计!$G$15,IF(A64=10,断面设计!$G$16))))))))))</f>
        <v>6.3395966072144239</v>
      </c>
      <c r="T64" s="83">
        <f t="shared" si="15"/>
        <v>0.8207765646016616</v>
      </c>
      <c r="U64" s="83">
        <f t="shared" si="16"/>
        <v>0.82649526635464465</v>
      </c>
      <c r="V64" s="123">
        <f t="shared" si="17"/>
        <v>5.1495902504162963E-4</v>
      </c>
      <c r="W64" s="127"/>
      <c r="X64" s="110">
        <f>IF(AN64=0,IF(AN63=2,(H64-H63-AE63)/O64,(H64-H63)/O64),IF(AN64=1,IF(AN63=2,IF(AE64&lt;9,(H64-H63-AE64-AE63)/断面设计!$J$7,(H64-H63-AE64-AE63)/断面设计!$J$7),(H64-H63-AE64)/O63),(H64-H63)/O64))</f>
        <v>1.0551488744742982E-2</v>
      </c>
      <c r="Y64" s="133">
        <v>0</v>
      </c>
      <c r="Z64" s="134">
        <f t="shared" si="26"/>
        <v>0</v>
      </c>
      <c r="AA64" s="142"/>
      <c r="AB64" s="133">
        <f t="shared" si="4"/>
        <v>1.5491171243039099</v>
      </c>
      <c r="AC64" s="110">
        <f t="shared" si="5"/>
        <v>1.1066447769784611E-2</v>
      </c>
      <c r="AD64" s="110">
        <f t="shared" ca="1" si="18"/>
        <v>2389.4695759195311</v>
      </c>
      <c r="AE64" s="82">
        <f t="shared" si="19"/>
        <v>0</v>
      </c>
      <c r="AF64" s="110" t="str">
        <f t="shared" si="6"/>
        <v xml:space="preserve"> </v>
      </c>
      <c r="AG64" s="110" t="str">
        <f>IF(AE64=0," ",AF64-断面设计!$C$7)</f>
        <v xml:space="preserve"> </v>
      </c>
      <c r="AH64" s="110">
        <f t="shared" ca="1" si="7"/>
        <v>2389.4705827367738</v>
      </c>
      <c r="AI64" s="110">
        <f t="shared" ca="1" si="8"/>
        <v>2387.92146561247</v>
      </c>
      <c r="AJ64" s="110">
        <f t="shared" ca="1" si="9"/>
        <v>2389.4690840613134</v>
      </c>
      <c r="AK64" s="110">
        <f t="shared" ca="1" si="10"/>
        <v>2387.9199669370096</v>
      </c>
      <c r="AL64" s="110">
        <f t="shared" ca="1" si="11"/>
        <v>2389.4698333990436</v>
      </c>
      <c r="AM64" s="110">
        <f t="shared" ca="1" si="12"/>
        <v>2387.9207162747398</v>
      </c>
      <c r="AN64" s="127"/>
      <c r="AO64" s="80">
        <v>0</v>
      </c>
      <c r="AU64" s="64" t="str">
        <f t="shared" ca="1" si="20"/>
        <v>3922.64419580837,2387.92071627474</v>
      </c>
      <c r="AV64" s="64" t="str">
        <f t="shared" ca="1" si="30"/>
        <v>3922.64419580837,2389.46983339904</v>
      </c>
      <c r="AW64" s="169" t="str">
        <f t="shared" si="31"/>
        <v xml:space="preserve">pl 3922.64419580837,0 3922.64419580837,76 </v>
      </c>
      <c r="AX64" s="161" t="str">
        <f t="shared" ca="1" si="27"/>
        <v>-text 3922.64419580837,48 3.5 90 2387.921</v>
      </c>
      <c r="AY64" s="161" t="str">
        <f t="shared" ca="1" si="28"/>
        <v>-text 3922.64419580837,62.5 3.5 90 2389.470</v>
      </c>
      <c r="AZ64" s="42" t="str">
        <f t="shared" si="29"/>
        <v>-text 3922.64419580837,23.5 3.5 90 马分3+922.64</v>
      </c>
    </row>
    <row r="65" spans="1:206" s="55" customFormat="1" x14ac:dyDescent="0.25">
      <c r="A65" s="92">
        <v>3</v>
      </c>
      <c r="B65" s="93" t="str">
        <f>线路!B62</f>
        <v>5#倒虹吸进</v>
      </c>
      <c r="C65" s="94">
        <f>线路!E62</f>
        <v>451086.18650000001</v>
      </c>
      <c r="D65" s="94">
        <f>线路!F62</f>
        <v>3044759.0638000001</v>
      </c>
      <c r="E65" s="95">
        <f>线路!G62</f>
        <v>0</v>
      </c>
      <c r="F65" s="95">
        <f>线路!H62</f>
        <v>1E-3</v>
      </c>
      <c r="G65" s="96">
        <f>线路!L62</f>
        <v>3927.5969192967514</v>
      </c>
      <c r="H65" s="96">
        <f>线路!M62</f>
        <v>3927.5969192967514</v>
      </c>
      <c r="I65" s="96">
        <f>线路!N62</f>
        <v>3927.5969192967514</v>
      </c>
      <c r="J65" s="115">
        <f t="shared" si="0"/>
        <v>0</v>
      </c>
      <c r="K65" s="115">
        <f t="shared" si="13"/>
        <v>4.9527234883780693</v>
      </c>
      <c r="L65" s="115">
        <f>IF(A65=1,断面设计!$D$7,IF(A65=2,断面设计!$D$8,IF(A65=3,断面设计!$D$9,IF(A65=4,断面设计!$D$10,IF(A65=5,断面设计!$D$11,IF(A65=6,断面设计!$D$12,IF(A65=7,断面设计!$D$13,IF(A65=8,断面设计!$D$14,IF(A65=9,断面设计!$D$15,IF(A65=10,断面设计!$D$16))))))))))</f>
        <v>1.5</v>
      </c>
      <c r="M65" s="115">
        <f t="shared" si="14"/>
        <v>1.2</v>
      </c>
      <c r="N65" s="116">
        <f t="shared" si="1"/>
        <v>1.4999999999999999E-2</v>
      </c>
      <c r="O65" s="115">
        <f>IF(A65=1,断面设计!$J$7,IF(A65=2,断面设计!$J$8,IF(A65=3,断面设计!$J$9,IF(A65=4,断面设计!$J$10,IF(A65=5,断面设计!$J$11,IF(A65=6,断面设计!$J$12,IF(A65=7,断面设计!$J$13,IF(A65=8,断面设计!$J$14,IF(A65=9,断面设计!$J$15,IF(A65=10,断面设计!$J$16))))))))))</f>
        <v>5000</v>
      </c>
      <c r="P65" s="117">
        <f>IF(A65=1,断面设计!$K$7,IF(A65=2,断面设计!$K$8,IF(A65=3,断面设计!$K$9,IF(A65=4,断面设计!$K$10,IF(A65=5,断面设计!$K$11,IF(A65=6,断面设计!$K$12,IF(A65=7,断面设计!$K$13,IF(A65=8,断面设计!$K$14,IF(A65=9,断面设计!$K$15,IF(A65=10,断面设计!$K$16))))))))))</f>
        <v>4.3005791249620255</v>
      </c>
      <c r="Q65" s="116">
        <f>IF(A65=1,断面设计!$C$7,IF(A65=2,断面设计!$C$8,IF(A65=3,断面设计!$C$9,IF(A65=4,断面设计!$C$10,IF(A65=5,断面设计!$C$11,IF(A65=6,断面设计!$C$12,IF(A65=7,断面设计!$C$13,IF(A65=8,断面设计!$C$14,IF(A65=9,断面设计!$C$15,IF(A65=10,断面设计!$C$16))))))))))</f>
        <v>1.5491171243039099</v>
      </c>
      <c r="R65" s="115">
        <f>IF(A65=1,断面设计!$F$7,IF(A65=2,断面设计!$F$8,IF(A65=3,断面设计!$F$9,IF(A65=4,断面设计!$F$10,IF(A65=5,断面设计!$F$11,IF(A65=6,断面设计!$F$12,IF(A65=7,断面设计!$F$13,IF(A65=8,断面设计!$F$14,IF(A65=9,断面设计!$F$15,IF(A65=10,断面设计!$F$16))))))))))</f>
        <v>5.2033923242298039</v>
      </c>
      <c r="S65" s="115">
        <f>IF(A65=1,断面设计!$G$7,IF(A65=2,断面设计!$G$8,IF(A65=3,断面设计!$G$9,IF(A65=4,断面设计!$G$10,IF(A65=5,断面设计!$G$11,IF(A65=6,断面设计!$G$12,IF(A65=7,断面设计!$G$13,IF(A65=8,断面设计!$G$14,IF(A65=9,断面设计!$G$15,IF(A65=10,断面设计!$G$16))))))))))</f>
        <v>6.3395966072144239</v>
      </c>
      <c r="T65" s="115">
        <f t="shared" si="15"/>
        <v>0.8207765646016616</v>
      </c>
      <c r="U65" s="115">
        <f t="shared" si="16"/>
        <v>0.82649526635464465</v>
      </c>
      <c r="V65" s="125"/>
      <c r="W65" s="178"/>
      <c r="X65" s="116"/>
      <c r="Y65" s="139">
        <v>0</v>
      </c>
      <c r="Z65" s="140">
        <f t="shared" si="26"/>
        <v>0</v>
      </c>
      <c r="AA65" s="143"/>
      <c r="AB65" s="139">
        <f t="shared" si="4"/>
        <v>1.5491171243039099</v>
      </c>
      <c r="AC65" s="116">
        <f t="shared" si="5"/>
        <v>0</v>
      </c>
      <c r="AD65" s="116">
        <f t="shared" ca="1" si="18"/>
        <v>2389.4695759195311</v>
      </c>
      <c r="AE65" s="141">
        <f t="shared" si="19"/>
        <v>0</v>
      </c>
      <c r="AF65" s="116" t="str">
        <f t="shared" si="6"/>
        <v xml:space="preserve"> </v>
      </c>
      <c r="AG65" s="116" t="str">
        <f>IF(AE65=0," ",AF65-断面设计!$C$7)</f>
        <v xml:space="preserve"> </v>
      </c>
      <c r="AH65" s="116" t="str">
        <f t="shared" si="7"/>
        <v xml:space="preserve"> </v>
      </c>
      <c r="AI65" s="116" t="str">
        <f t="shared" si="8"/>
        <v xml:space="preserve"> </v>
      </c>
      <c r="AJ65" s="116" t="str">
        <f t="shared" si="9"/>
        <v xml:space="preserve"> </v>
      </c>
      <c r="AK65" s="116" t="str">
        <f t="shared" si="10"/>
        <v xml:space="preserve"> </v>
      </c>
      <c r="AL65" s="116">
        <f t="shared" ca="1" si="11"/>
        <v>2389.4695759195311</v>
      </c>
      <c r="AM65" s="116">
        <f t="shared" ca="1" si="12"/>
        <v>2387.9204587952272</v>
      </c>
      <c r="AN65" s="178"/>
      <c r="AO65" s="92">
        <v>0</v>
      </c>
      <c r="AP65" s="42"/>
      <c r="AQ65" s="42"/>
      <c r="AR65" s="42"/>
      <c r="AS65" s="42"/>
      <c r="AT65" s="42"/>
      <c r="AU65" s="64" t="str">
        <f t="shared" ca="1" si="20"/>
        <v>3927.59691929675,2387.92045879523</v>
      </c>
      <c r="AV65" s="64" t="str">
        <f t="shared" ca="1" si="30"/>
        <v>3927.59691929675,2389.46957591953</v>
      </c>
      <c r="AW65" s="169" t="str">
        <f t="shared" si="31"/>
        <v xml:space="preserve">pl 3927.59691929675,0 3927.59691929675,76 </v>
      </c>
      <c r="AX65" s="161" t="str">
        <f t="shared" ca="1" si="27"/>
        <v>-text 3927.59691929675,48 3.5 90 2387.920</v>
      </c>
      <c r="AY65" s="161" t="str">
        <f t="shared" ca="1" si="28"/>
        <v>-text 3927.59691929675,62.5 3.5 90 2389.470</v>
      </c>
      <c r="AZ65" s="42" t="str">
        <f t="shared" si="29"/>
        <v>-text 3927.59691929675,23.5 3.5 90 马分3+927.60</v>
      </c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  <c r="FI65" s="42"/>
      <c r="FJ65" s="42"/>
      <c r="FK65" s="42"/>
      <c r="FL65" s="42"/>
      <c r="FM65" s="42"/>
      <c r="FN65" s="42"/>
      <c r="FO65" s="42"/>
      <c r="FP65" s="42"/>
      <c r="FQ65" s="42"/>
      <c r="FR65" s="42"/>
      <c r="FS65" s="42"/>
      <c r="FT65" s="42"/>
      <c r="FU65" s="42"/>
      <c r="FV65" s="42"/>
      <c r="FW65" s="42"/>
      <c r="FX65" s="42"/>
      <c r="FY65" s="42"/>
      <c r="FZ65" s="42"/>
      <c r="GA65" s="42"/>
      <c r="GB65" s="42"/>
      <c r="GC65" s="42"/>
      <c r="GD65" s="42"/>
      <c r="GE65" s="42"/>
      <c r="GF65" s="42"/>
      <c r="GG65" s="42"/>
      <c r="GH65" s="42"/>
      <c r="GI65" s="42"/>
      <c r="GJ65" s="42"/>
      <c r="GK65" s="42"/>
      <c r="GL65" s="42"/>
      <c r="GM65" s="42"/>
      <c r="GN65" s="42"/>
      <c r="GO65" s="42"/>
      <c r="GP65" s="42"/>
      <c r="GQ65" s="42"/>
      <c r="GR65" s="42"/>
      <c r="GS65" s="42"/>
      <c r="GT65" s="42"/>
      <c r="GU65" s="42"/>
      <c r="GV65" s="42"/>
      <c r="GW65" s="42"/>
      <c r="GX65" s="42"/>
    </row>
    <row r="66" spans="1:206" s="55" customFormat="1" x14ac:dyDescent="0.25">
      <c r="A66" s="92">
        <v>3</v>
      </c>
      <c r="B66" s="93" t="str">
        <f>线路!B63</f>
        <v>IP44</v>
      </c>
      <c r="C66" s="94">
        <f>线路!E63</f>
        <v>451124.59450000001</v>
      </c>
      <c r="D66" s="94">
        <f>线路!F63</f>
        <v>3044690.7395000001</v>
      </c>
      <c r="E66" s="95">
        <f>线路!G63</f>
        <v>6</v>
      </c>
      <c r="F66" s="95">
        <f>线路!H63</f>
        <v>28.672000000000001</v>
      </c>
      <c r="G66" s="96">
        <f>线路!L63</f>
        <v>4004.4432680317527</v>
      </c>
      <c r="H66" s="96">
        <f>线路!M63</f>
        <v>4005.9445304411483</v>
      </c>
      <c r="I66" s="96">
        <f>线路!N63</f>
        <v>4007.4457928505435</v>
      </c>
      <c r="J66" s="115">
        <f t="shared" si="0"/>
        <v>3.0025248187907891</v>
      </c>
      <c r="K66" s="115">
        <f t="shared" si="13"/>
        <v>78.347611144396978</v>
      </c>
      <c r="L66" s="115">
        <f>IF(A66=1,断面设计!$D$7,IF(A66=2,断面设计!$D$8,IF(A66=3,断面设计!$D$9,IF(A66=4,断面设计!$D$10,IF(A66=5,断面设计!$D$11,IF(A66=6,断面设计!$D$12,IF(A66=7,断面设计!$D$13,IF(A66=8,断面设计!$D$14,IF(A66=9,断面设计!$D$15,IF(A66=10,断面设计!$D$16))))))))))</f>
        <v>1.5</v>
      </c>
      <c r="M66" s="115">
        <f t="shared" si="14"/>
        <v>1.2</v>
      </c>
      <c r="N66" s="116">
        <f t="shared" si="1"/>
        <v>1.4999999999999999E-2</v>
      </c>
      <c r="O66" s="115">
        <f>IF(A66=1,断面设计!$J$7,IF(A66=2,断面设计!$J$8,IF(A66=3,断面设计!$J$9,IF(A66=4,断面设计!$J$10,IF(A66=5,断面设计!$J$11,IF(A66=6,断面设计!$J$12,IF(A66=7,断面设计!$J$13,IF(A66=8,断面设计!$J$14,IF(A66=9,断面设计!$J$15,IF(A66=10,断面设计!$J$16))))))))))</f>
        <v>5000</v>
      </c>
      <c r="P66" s="117">
        <f>IF(A66=1,断面设计!$K$7,IF(A66=2,断面设计!$K$8,IF(A66=3,断面设计!$K$9,IF(A66=4,断面设计!$K$10,IF(A66=5,断面设计!$K$11,IF(A66=6,断面设计!$K$12,IF(A66=7,断面设计!$K$13,IF(A66=8,断面设计!$K$14,IF(A66=9,断面设计!$K$15,IF(A66=10,断面设计!$K$16))))))))))</f>
        <v>4.3005791249620255</v>
      </c>
      <c r="Q66" s="116">
        <f>IF(A66=1,断面设计!$C$7,IF(A66=2,断面设计!$C$8,IF(A66=3,断面设计!$C$9,IF(A66=4,断面设计!$C$10,IF(A66=5,断面设计!$C$11,IF(A66=6,断面设计!$C$12,IF(A66=7,断面设计!$C$13,IF(A66=8,断面设计!$C$14,IF(A66=9,断面设计!$C$15,IF(A66=10,断面设计!$C$16))))))))))</f>
        <v>1.5491171243039099</v>
      </c>
      <c r="R66" s="115">
        <f>IF(A66=1,断面设计!$F$7,IF(A66=2,断面设计!$F$8,IF(A66=3,断面设计!$F$9,IF(A66=4,断面设计!$F$10,IF(A66=5,断面设计!$F$11,IF(A66=6,断面设计!$F$12,IF(A66=7,断面设计!$F$13,IF(A66=8,断面设计!$F$14,IF(A66=9,断面设计!$F$15,IF(A66=10,断面设计!$F$16))))))))))</f>
        <v>5.2033923242298039</v>
      </c>
      <c r="S66" s="115">
        <f>IF(A66=1,断面设计!$G$7,IF(A66=2,断面设计!$G$8,IF(A66=3,断面设计!$G$9,IF(A66=4,断面设计!$G$10,IF(A66=5,断面设计!$G$11,IF(A66=6,断面设计!$G$12,IF(A66=7,断面设计!$G$13,IF(A66=8,断面设计!$G$14,IF(A66=9,断面设计!$G$15,IF(A66=10,断面设计!$G$16))))))))))</f>
        <v>6.3395966072144239</v>
      </c>
      <c r="T66" s="115">
        <f t="shared" si="15"/>
        <v>0.8207765646016616</v>
      </c>
      <c r="U66" s="115">
        <f t="shared" si="16"/>
        <v>0.82649526635464465</v>
      </c>
      <c r="V66" s="125"/>
      <c r="W66" s="178"/>
      <c r="X66" s="116"/>
      <c r="Y66" s="139">
        <v>0</v>
      </c>
      <c r="Z66" s="140">
        <f t="shared" si="26"/>
        <v>0</v>
      </c>
      <c r="AA66" s="143"/>
      <c r="AB66" s="139">
        <f t="shared" si="4"/>
        <v>1.5491171243039099</v>
      </c>
      <c r="AC66" s="116">
        <f t="shared" si="5"/>
        <v>0</v>
      </c>
      <c r="AD66" s="116">
        <f t="shared" ca="1" si="18"/>
        <v>2389.4695759195311</v>
      </c>
      <c r="AE66" s="141">
        <f t="shared" si="19"/>
        <v>0</v>
      </c>
      <c r="AF66" s="116" t="str">
        <f t="shared" si="6"/>
        <v xml:space="preserve"> </v>
      </c>
      <c r="AG66" s="116" t="str">
        <f>IF(AE66=0," ",AF66-断面设计!$C$7)</f>
        <v xml:space="preserve"> </v>
      </c>
      <c r="AH66" s="116">
        <f t="shared" ca="1" si="7"/>
        <v>2389.4698761720128</v>
      </c>
      <c r="AI66" s="116">
        <f t="shared" ca="1" si="8"/>
        <v>2387.920759047709</v>
      </c>
      <c r="AJ66" s="116">
        <f t="shared" ca="1" si="9"/>
        <v>2389.4692756670493</v>
      </c>
      <c r="AK66" s="116">
        <f t="shared" ca="1" si="10"/>
        <v>2387.9201585427454</v>
      </c>
      <c r="AL66" s="116">
        <f t="shared" ca="1" si="11"/>
        <v>2389.4695759195311</v>
      </c>
      <c r="AM66" s="116">
        <f t="shared" ca="1" si="12"/>
        <v>2387.9204587952272</v>
      </c>
      <c r="AN66" s="178"/>
      <c r="AO66" s="92">
        <v>0</v>
      </c>
      <c r="AP66" s="42"/>
      <c r="AQ66" s="42"/>
      <c r="AR66" s="42"/>
      <c r="AS66" s="42"/>
      <c r="AT66" s="42"/>
      <c r="AU66" s="64" t="str">
        <f t="shared" ca="1" si="20"/>
        <v>4005.94453044115,2387.92045879523</v>
      </c>
      <c r="AV66" s="64" t="str">
        <f t="shared" ca="1" si="30"/>
        <v>4005.94453044115,2389.46957591953</v>
      </c>
      <c r="AW66" s="169" t="str">
        <f t="shared" si="31"/>
        <v xml:space="preserve">pl 4005.94453044115,0 4005.94453044115,76 </v>
      </c>
      <c r="AX66" s="161" t="str">
        <f t="shared" ca="1" si="27"/>
        <v>-text 4005.94453044115,48 3.5 90 2387.920</v>
      </c>
      <c r="AY66" s="161" t="str">
        <f t="shared" ca="1" si="28"/>
        <v>-text 4005.94453044115,62.5 3.5 90 2389.470</v>
      </c>
      <c r="AZ66" s="42" t="str">
        <f t="shared" si="29"/>
        <v>-text 4005.94453044115,23.5 3.5 90 马分4+005.94</v>
      </c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  <c r="FI66" s="42"/>
      <c r="FJ66" s="42"/>
      <c r="FK66" s="42"/>
      <c r="FL66" s="42"/>
      <c r="FM66" s="42"/>
      <c r="FN66" s="42"/>
      <c r="FO66" s="42"/>
      <c r="FP66" s="42"/>
      <c r="FQ66" s="42"/>
      <c r="FR66" s="42"/>
      <c r="FS66" s="42"/>
      <c r="FT66" s="42"/>
      <c r="FU66" s="42"/>
      <c r="FV66" s="42"/>
      <c r="FW66" s="42"/>
      <c r="FX66" s="42"/>
      <c r="FY66" s="42"/>
      <c r="FZ66" s="42"/>
      <c r="GA66" s="42"/>
      <c r="GB66" s="42"/>
      <c r="GC66" s="42"/>
      <c r="GD66" s="42"/>
      <c r="GE66" s="42"/>
      <c r="GF66" s="42"/>
      <c r="GG66" s="42"/>
      <c r="GH66" s="42"/>
      <c r="GI66" s="42"/>
      <c r="GJ66" s="42"/>
      <c r="GK66" s="42"/>
      <c r="GL66" s="42"/>
      <c r="GM66" s="42"/>
      <c r="GN66" s="42"/>
      <c r="GO66" s="42"/>
      <c r="GP66" s="42"/>
      <c r="GQ66" s="42"/>
      <c r="GR66" s="42"/>
      <c r="GS66" s="42"/>
      <c r="GT66" s="42"/>
      <c r="GU66" s="42"/>
      <c r="GV66" s="42"/>
      <c r="GW66" s="42"/>
      <c r="GX66" s="42"/>
    </row>
    <row r="67" spans="1:206" s="55" customFormat="1" x14ac:dyDescent="0.25">
      <c r="A67" s="92">
        <v>3</v>
      </c>
      <c r="B67" s="93" t="str">
        <f>线路!B64</f>
        <v>5#倒虹吸出</v>
      </c>
      <c r="C67" s="94">
        <f>线路!E64</f>
        <v>451125.25089999998</v>
      </c>
      <c r="D67" s="94">
        <f>线路!F64</f>
        <v>3044634.6288000001</v>
      </c>
      <c r="E67" s="95">
        <f>线路!G64</f>
        <v>0</v>
      </c>
      <c r="F67" s="95">
        <f>线路!H64</f>
        <v>0</v>
      </c>
      <c r="G67" s="96">
        <f>线路!L64</f>
        <v>4062.0269357850475</v>
      </c>
      <c r="H67" s="96">
        <f>线路!M64</f>
        <v>4062.0269357850475</v>
      </c>
      <c r="I67" s="96">
        <f>线路!N64</f>
        <v>4062.0269357850475</v>
      </c>
      <c r="J67" s="115">
        <f t="shared" si="0"/>
        <v>0</v>
      </c>
      <c r="K67" s="115">
        <f t="shared" si="13"/>
        <v>56.082405343899154</v>
      </c>
      <c r="L67" s="115">
        <f>IF(A67=1,断面设计!$D$7,IF(A67=2,断面设计!$D$8,IF(A67=3,断面设计!$D$9,IF(A67=4,断面设计!$D$10,IF(A67=5,断面设计!$D$11,IF(A67=6,断面设计!$D$12,IF(A67=7,断面设计!$D$13,IF(A67=8,断面设计!$D$14,IF(A67=9,断面设计!$D$15,IF(A67=10,断面设计!$D$16))))))))))</f>
        <v>1.5</v>
      </c>
      <c r="M67" s="115">
        <f t="shared" si="14"/>
        <v>1.2</v>
      </c>
      <c r="N67" s="116">
        <f t="shared" si="1"/>
        <v>1.4999999999999999E-2</v>
      </c>
      <c r="O67" s="115">
        <f>IF(A67=1,断面设计!$J$7,IF(A67=2,断面设计!$J$8,IF(A67=3,断面设计!$J$9,IF(A67=4,断面设计!$J$10,IF(A67=5,断面设计!$J$11,IF(A67=6,断面设计!$J$12,IF(A67=7,断面设计!$J$13,IF(A67=8,断面设计!$J$14,IF(A67=9,断面设计!$J$15,IF(A67=10,断面设计!$J$16))))))))))</f>
        <v>5000</v>
      </c>
      <c r="P67" s="117">
        <f>IF(A67=1,断面设计!$K$7,IF(A67=2,断面设计!$K$8,IF(A67=3,断面设计!$K$9,IF(A67=4,断面设计!$K$10,IF(A67=5,断面设计!$K$11,IF(A67=6,断面设计!$K$12,IF(A67=7,断面设计!$K$13,IF(A67=8,断面设计!$K$14,IF(A67=9,断面设计!$K$15,IF(A67=10,断面设计!$K$16))))))))))</f>
        <v>4.3005791249620255</v>
      </c>
      <c r="Q67" s="116">
        <f>IF(A67=1,断面设计!$C$7,IF(A67=2,断面设计!$C$8,IF(A67=3,断面设计!$C$9,IF(A67=4,断面设计!$C$10,IF(A67=5,断面设计!$C$11,IF(A67=6,断面设计!$C$12,IF(A67=7,断面设计!$C$13,IF(A67=8,断面设计!$C$14,IF(A67=9,断面设计!$C$15,IF(A67=10,断面设计!$C$16))))))))))</f>
        <v>1.5491171243039099</v>
      </c>
      <c r="R67" s="115">
        <f>IF(A67=1,断面设计!$F$7,IF(A67=2,断面设计!$F$8,IF(A67=3,断面设计!$F$9,IF(A67=4,断面设计!$F$10,IF(A67=5,断面设计!$F$11,IF(A67=6,断面设计!$F$12,IF(A67=7,断面设计!$F$13,IF(A67=8,断面设计!$F$14,IF(A67=9,断面设计!$F$15,IF(A67=10,断面设计!$F$16))))))))))</f>
        <v>5.2033923242298039</v>
      </c>
      <c r="S67" s="115">
        <f>IF(A67=1,断面设计!$G$7,IF(A67=2,断面设计!$G$8,IF(A67=3,断面设计!$G$9,IF(A67=4,断面设计!$G$10,IF(A67=5,断面设计!$G$11,IF(A67=6,断面设计!$G$12,IF(A67=7,断面设计!$G$13,IF(A67=8,断面设计!$G$14,IF(A67=9,断面设计!$G$15,IF(A67=10,断面设计!$G$16))))))))))</f>
        <v>6.3395966072144239</v>
      </c>
      <c r="T67" s="115">
        <f t="shared" si="15"/>
        <v>0.8207765646016616</v>
      </c>
      <c r="U67" s="115">
        <f t="shared" si="16"/>
        <v>0.82649526635464465</v>
      </c>
      <c r="V67" s="125"/>
      <c r="W67" s="178"/>
      <c r="X67" s="116">
        <f ca="1">倒虹管水头损失计算!D294</f>
        <v>0.43068227428798622</v>
      </c>
      <c r="Y67" s="139">
        <v>0</v>
      </c>
      <c r="Z67" s="140">
        <f t="shared" si="26"/>
        <v>0</v>
      </c>
      <c r="AA67" s="143"/>
      <c r="AB67" s="139">
        <f t="shared" si="4"/>
        <v>1.5491171243039099</v>
      </c>
      <c r="AC67" s="116">
        <f t="shared" ca="1" si="5"/>
        <v>0.43068227428798622</v>
      </c>
      <c r="AD67" s="116">
        <f t="shared" ca="1" si="18"/>
        <v>2389.0388936452432</v>
      </c>
      <c r="AE67" s="141">
        <f t="shared" si="19"/>
        <v>0</v>
      </c>
      <c r="AF67" s="116" t="str">
        <f t="shared" si="6"/>
        <v xml:space="preserve"> </v>
      </c>
      <c r="AG67" s="116" t="str">
        <f>IF(AE67=0," ",AF67-断面设计!$C$7)</f>
        <v xml:space="preserve"> </v>
      </c>
      <c r="AH67" s="116" t="str">
        <f t="shared" si="7"/>
        <v xml:space="preserve"> </v>
      </c>
      <c r="AI67" s="116" t="str">
        <f t="shared" si="8"/>
        <v xml:space="preserve"> </v>
      </c>
      <c r="AJ67" s="116" t="str">
        <f t="shared" si="9"/>
        <v xml:space="preserve"> </v>
      </c>
      <c r="AK67" s="116" t="str">
        <f t="shared" si="10"/>
        <v xml:space="preserve"> </v>
      </c>
      <c r="AL67" s="116">
        <f t="shared" ca="1" si="11"/>
        <v>2389.0388936452432</v>
      </c>
      <c r="AM67" s="116">
        <f t="shared" ca="1" si="12"/>
        <v>2387.4897765209394</v>
      </c>
      <c r="AN67" s="178"/>
      <c r="AO67" s="92">
        <v>0</v>
      </c>
      <c r="AP67" s="42"/>
      <c r="AQ67" s="42"/>
      <c r="AR67" s="42"/>
      <c r="AS67" s="42"/>
      <c r="AT67" s="42"/>
      <c r="AU67" s="64" t="str">
        <f t="shared" ca="1" si="20"/>
        <v>4062.02693578505,2387.48977652094</v>
      </c>
      <c r="AV67" s="64" t="str">
        <f t="shared" ca="1" si="30"/>
        <v>4062.02693578505,2389.03889364524</v>
      </c>
      <c r="AW67" s="169" t="str">
        <f t="shared" si="31"/>
        <v xml:space="preserve">pl 4062.02693578505,0 4062.02693578505,76 </v>
      </c>
      <c r="AX67" s="161" t="str">
        <f t="shared" ca="1" si="27"/>
        <v>-text 4062.02693578505,48 3.5 90 2387.490</v>
      </c>
      <c r="AY67" s="161" t="str">
        <f t="shared" ca="1" si="28"/>
        <v>-text 4062.02693578505,62.5 3.5 90 2389.039</v>
      </c>
      <c r="AZ67" s="42" t="str">
        <f t="shared" si="29"/>
        <v>-text 4062.02693578505,23.5 3.5 90 马分4+062.03</v>
      </c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  <c r="FI67" s="42"/>
      <c r="FJ67" s="42"/>
      <c r="FK67" s="42"/>
      <c r="FL67" s="42"/>
      <c r="FM67" s="42"/>
      <c r="FN67" s="42"/>
      <c r="FO67" s="42"/>
      <c r="FP67" s="42"/>
      <c r="FQ67" s="42"/>
      <c r="FR67" s="42"/>
      <c r="FS67" s="42"/>
      <c r="FT67" s="42"/>
      <c r="FU67" s="42"/>
      <c r="FV67" s="42"/>
      <c r="FW67" s="42"/>
      <c r="FX67" s="42"/>
      <c r="FY67" s="42"/>
      <c r="FZ67" s="42"/>
      <c r="GA67" s="42"/>
      <c r="GB67" s="42"/>
      <c r="GC67" s="42"/>
      <c r="GD67" s="42"/>
      <c r="GE67" s="42"/>
      <c r="GF67" s="42"/>
      <c r="GG67" s="42"/>
      <c r="GH67" s="42"/>
      <c r="GI67" s="42"/>
      <c r="GJ67" s="42"/>
      <c r="GK67" s="42"/>
      <c r="GL67" s="42"/>
      <c r="GM67" s="42"/>
      <c r="GN67" s="42"/>
      <c r="GO67" s="42"/>
      <c r="GP67" s="42"/>
      <c r="GQ67" s="42"/>
      <c r="GR67" s="42"/>
      <c r="GS67" s="42"/>
      <c r="GT67" s="42"/>
      <c r="GU67" s="42"/>
      <c r="GV67" s="42"/>
      <c r="GW67" s="42"/>
      <c r="GX67" s="42"/>
    </row>
    <row r="68" spans="1:206" s="42" customFormat="1" x14ac:dyDescent="0.25">
      <c r="A68" s="80">
        <v>3</v>
      </c>
      <c r="B68" s="76" t="str">
        <f>线路!B65</f>
        <v>IP45</v>
      </c>
      <c r="C68" s="81">
        <f>线路!E65</f>
        <v>451125.89750000002</v>
      </c>
      <c r="D68" s="81">
        <f>线路!F65</f>
        <v>3044579.3541999999</v>
      </c>
      <c r="E68" s="85">
        <f>线路!G65</f>
        <v>13</v>
      </c>
      <c r="F68" s="85">
        <f>线路!H65</f>
        <v>86.954999999999998</v>
      </c>
      <c r="G68" s="86">
        <f>线路!L65</f>
        <v>4104.9784770169481</v>
      </c>
      <c r="H68" s="86">
        <f>线路!M65</f>
        <v>4114.8432088489135</v>
      </c>
      <c r="I68" s="86">
        <f>线路!N65</f>
        <v>4124.7079406808798</v>
      </c>
      <c r="J68" s="83">
        <f t="shared" si="0"/>
        <v>19.72946366393171</v>
      </c>
      <c r="K68" s="83">
        <f t="shared" si="13"/>
        <v>52.816273063865992</v>
      </c>
      <c r="L68" s="83">
        <f>IF(A68=1,断面设计!$D$7,IF(A68=2,断面设计!$D$8,IF(A68=3,断面设计!$D$9,IF(A68=4,断面设计!$D$10,IF(A68=5,断面设计!$D$11,IF(A68=6,断面设计!$D$12,IF(A68=7,断面设计!$D$13,IF(A68=8,断面设计!$D$14,IF(A68=9,断面设计!$D$15,IF(A68=10,断面设计!$D$16))))))))))</f>
        <v>1.5</v>
      </c>
      <c r="M68" s="83">
        <f t="shared" si="14"/>
        <v>1.2</v>
      </c>
      <c r="N68" s="110">
        <f t="shared" si="1"/>
        <v>1.4999999999999999E-2</v>
      </c>
      <c r="O68" s="83">
        <f>IF(A68=1,断面设计!$J$7,IF(A68=2,断面设计!$J$8,IF(A68=3,断面设计!$J$9,IF(A68=4,断面设计!$J$10,IF(A68=5,断面设计!$J$11,IF(A68=6,断面设计!$J$12,IF(A68=7,断面设计!$J$13,IF(A68=8,断面设计!$J$14,IF(A68=9,断面设计!$J$15,IF(A68=10,断面设计!$J$16))))))))))</f>
        <v>5000</v>
      </c>
      <c r="P68" s="111">
        <f>IF(A68=1,断面设计!$K$7,IF(A68=2,断面设计!$K$8,IF(A68=3,断面设计!$K$9,IF(A68=4,断面设计!$K$10,IF(A68=5,断面设计!$K$11,IF(A68=6,断面设计!$K$12,IF(A68=7,断面设计!$K$13,IF(A68=8,断面设计!$K$14,IF(A68=9,断面设计!$K$15,IF(A68=10,断面设计!$K$16))))))))))</f>
        <v>4.3005791249620255</v>
      </c>
      <c r="Q68" s="110">
        <f>IF(A68=1,断面设计!$C$7,IF(A68=2,断面设计!$C$8,IF(A68=3,断面设计!$C$9,IF(A68=4,断面设计!$C$10,IF(A68=5,断面设计!$C$11,IF(A68=6,断面设计!$C$12,IF(A68=7,断面设计!$C$13,IF(A68=8,断面设计!$C$14,IF(A68=9,断面设计!$C$15,IF(A68=10,断面设计!$C$16))))))))))</f>
        <v>1.5491171243039099</v>
      </c>
      <c r="R68" s="83">
        <f>IF(A68=1,断面设计!$F$7,IF(A68=2,断面设计!$F$8,IF(A68=3,断面设计!$F$9,IF(A68=4,断面设计!$F$10,IF(A68=5,断面设计!$F$11,IF(A68=6,断面设计!$F$12,IF(A68=7,断面设计!$F$13,IF(A68=8,断面设计!$F$14,IF(A68=9,断面设计!$F$15,IF(A68=10,断面设计!$F$16))))))))))</f>
        <v>5.2033923242298039</v>
      </c>
      <c r="S68" s="83">
        <f>IF(A68=1,断面设计!$G$7,IF(A68=2,断面设计!$G$8,IF(A68=3,断面设计!$G$9,IF(A68=4,断面设计!$G$10,IF(A68=5,断面设计!$G$11,IF(A68=6,断面设计!$G$12,IF(A68=7,断面设计!$G$13,IF(A68=8,断面设计!$G$14,IF(A68=9,断面设计!$G$15,IF(A68=10,断面设计!$G$16))))))))))</f>
        <v>6.3395966072144239</v>
      </c>
      <c r="T68" s="83">
        <f t="shared" si="15"/>
        <v>0.8207765646016616</v>
      </c>
      <c r="U68" s="83">
        <f t="shared" si="16"/>
        <v>0.82649526635464465</v>
      </c>
      <c r="V68" s="123">
        <f t="shared" si="17"/>
        <v>2.0656085442612398E-3</v>
      </c>
      <c r="W68" s="127"/>
      <c r="X68" s="110">
        <f>IF(AN68=0,IF(AN67=2,(H68-H67-AE67)/O68,(H68-H67)/O68),IF(AN68=1,IF(AN67=2,IF(AE68&lt;9,(H68-H67-AE68-AE67)/断面设计!$J$7,(H68-H67-AE68-AE67)/断面设计!$J$7),(H68-H67-AE68)/O67),(H68-H67)/O68))</f>
        <v>1.0563254612773198E-2</v>
      </c>
      <c r="Y68" s="133">
        <v>0</v>
      </c>
      <c r="Z68" s="134">
        <f t="shared" si="26"/>
        <v>0</v>
      </c>
      <c r="AA68" s="142"/>
      <c r="AB68" s="133">
        <f t="shared" si="4"/>
        <v>1.5491171243039099</v>
      </c>
      <c r="AC68" s="110">
        <f t="shared" si="5"/>
        <v>1.2628863157034438E-2</v>
      </c>
      <c r="AD68" s="110">
        <f t="shared" ca="1" si="18"/>
        <v>2389.0262647820859</v>
      </c>
      <c r="AE68" s="82">
        <f t="shared" si="19"/>
        <v>0</v>
      </c>
      <c r="AF68" s="110" t="str">
        <f t="shared" si="6"/>
        <v xml:space="preserve"> </v>
      </c>
      <c r="AG68" s="110" t="str">
        <f>IF(AE68=0," ",AF68-断面设计!$C$7)</f>
        <v xml:space="preserve"> </v>
      </c>
      <c r="AH68" s="110">
        <f t="shared" ca="1" si="7"/>
        <v>2389.0303033369969</v>
      </c>
      <c r="AI68" s="110">
        <f t="shared" ca="1" si="8"/>
        <v>2387.481186212693</v>
      </c>
      <c r="AJ68" s="110">
        <f t="shared" ca="1" si="9"/>
        <v>2389.0242918357194</v>
      </c>
      <c r="AK68" s="110">
        <f t="shared" ca="1" si="10"/>
        <v>2387.4751747114155</v>
      </c>
      <c r="AL68" s="110">
        <f t="shared" ca="1" si="11"/>
        <v>2389.0272975863581</v>
      </c>
      <c r="AM68" s="110">
        <f t="shared" ca="1" si="12"/>
        <v>2387.4781804620543</v>
      </c>
      <c r="AN68" s="127"/>
      <c r="AO68" s="80">
        <v>0</v>
      </c>
      <c r="AU68" s="64" t="str">
        <f t="shared" ca="1" si="20"/>
        <v>4114.84320884891,2387.47818046205</v>
      </c>
      <c r="AV68" s="64" t="str">
        <f t="shared" ca="1" si="30"/>
        <v>4114.84320884891,2389.02729758636</v>
      </c>
      <c r="AW68" s="169" t="str">
        <f t="shared" si="31"/>
        <v xml:space="preserve">pl 4114.84320884891,0 4114.84320884891,76 </v>
      </c>
      <c r="AX68" s="161" t="str">
        <f t="shared" ca="1" si="27"/>
        <v>-text 4114.84320884891,48 3.5 90 2387.478</v>
      </c>
      <c r="AY68" s="161" t="str">
        <f t="shared" ca="1" si="28"/>
        <v>-text 4114.84320884891,62.5 3.5 90 2389.027</v>
      </c>
      <c r="AZ68" s="42" t="str">
        <f t="shared" si="29"/>
        <v>-text 4114.84320884891,23.5 3.5 90 马分4+114.84</v>
      </c>
    </row>
    <row r="69" spans="1:206" s="42" customFormat="1" x14ac:dyDescent="0.25">
      <c r="A69" s="80">
        <v>3</v>
      </c>
      <c r="B69" s="76" t="str">
        <f>线路!B66</f>
        <v>IP46</v>
      </c>
      <c r="C69" s="81">
        <f>线路!E66</f>
        <v>451083.85800000001</v>
      </c>
      <c r="D69" s="81">
        <f>线路!F66</f>
        <v>3044576.6244000001</v>
      </c>
      <c r="E69" s="85">
        <f>线路!G66</f>
        <v>13</v>
      </c>
      <c r="F69" s="85">
        <f>线路!H66</f>
        <v>64.733000000000004</v>
      </c>
      <c r="G69" s="86">
        <f>线路!L66</f>
        <v>4146.269742801127</v>
      </c>
      <c r="H69" s="86">
        <f>线路!M66</f>
        <v>4153.6134687016347</v>
      </c>
      <c r="I69" s="86">
        <f>线路!N66</f>
        <v>4160.9571946021424</v>
      </c>
      <c r="J69" s="83">
        <f t="shared" ref="J69:J132" si="32">I69-G69</f>
        <v>14.687451801015413</v>
      </c>
      <c r="K69" s="83">
        <f t="shared" si="13"/>
        <v>38.77025985272121</v>
      </c>
      <c r="L69" s="83">
        <f>IF(A69=1,断面设计!$D$7,IF(A69=2,断面设计!$D$8,IF(A69=3,断面设计!$D$9,IF(A69=4,断面设计!$D$10,IF(A69=5,断面设计!$D$11,IF(A69=6,断面设计!$D$12,IF(A69=7,断面设计!$D$13,IF(A69=8,断面设计!$D$14,IF(A69=9,断面设计!$D$15,IF(A69=10,断面设计!$D$16))))))))))</f>
        <v>1.5</v>
      </c>
      <c r="M69" s="83">
        <f t="shared" si="14"/>
        <v>1.2</v>
      </c>
      <c r="N69" s="110">
        <f t="shared" si="1"/>
        <v>1.4999999999999999E-2</v>
      </c>
      <c r="O69" s="83">
        <f>IF(A69=1,断面设计!$J$7,IF(A69=2,断面设计!$J$8,IF(A69=3,断面设计!$J$9,IF(A69=4,断面设计!$J$10,IF(A69=5,断面设计!$J$11,IF(A69=6,断面设计!$J$12,IF(A69=7,断面设计!$J$13,IF(A69=8,断面设计!$J$14,IF(A69=9,断面设计!$J$15,IF(A69=10,断面设计!$J$16))))))))))</f>
        <v>5000</v>
      </c>
      <c r="P69" s="111">
        <f>IF(A69=1,断面设计!$K$7,IF(A69=2,断面设计!$K$8,IF(A69=3,断面设计!$K$9,IF(A69=4,断面设计!$K$10,IF(A69=5,断面设计!$K$11,IF(A69=6,断面设计!$K$12,IF(A69=7,断面设计!$K$13,IF(A69=8,断面设计!$K$14,IF(A69=9,断面设计!$K$15,IF(A69=10,断面设计!$K$16))))))))))</f>
        <v>4.3005791249620255</v>
      </c>
      <c r="Q69" s="110">
        <f>IF(A69=1,断面设计!$C$7,IF(A69=2,断面设计!$C$8,IF(A69=3,断面设计!$C$9,IF(A69=4,断面设计!$C$10,IF(A69=5,断面设计!$C$11,IF(A69=6,断面设计!$C$12,IF(A69=7,断面设计!$C$13,IF(A69=8,断面设计!$C$14,IF(A69=9,断面设计!$C$15,IF(A69=10,断面设计!$C$16))))))))))</f>
        <v>1.5491171243039099</v>
      </c>
      <c r="R69" s="83">
        <f>IF(A69=1,断面设计!$F$7,IF(A69=2,断面设计!$F$8,IF(A69=3,断面设计!$F$9,IF(A69=4,断面设计!$F$10,IF(A69=5,断面设计!$F$11,IF(A69=6,断面设计!$F$12,IF(A69=7,断面设计!$F$13,IF(A69=8,断面设计!$F$14,IF(A69=9,断面设计!$F$15,IF(A69=10,断面设计!$F$16))))))))))</f>
        <v>5.2033923242298039</v>
      </c>
      <c r="S69" s="83">
        <f>IF(A69=1,断面设计!$G$7,IF(A69=2,断面设计!$G$8,IF(A69=3,断面设计!$G$9,IF(A69=4,断面设计!$G$10,IF(A69=5,断面设计!$G$11,IF(A69=6,断面设计!$G$12,IF(A69=7,断面设计!$G$13,IF(A69=8,断面设计!$G$14,IF(A69=9,断面设计!$G$15,IF(A69=10,断面设计!$G$16))))))))))</f>
        <v>6.3395966072144239</v>
      </c>
      <c r="T69" s="83">
        <f t="shared" si="15"/>
        <v>0.8207765646016616</v>
      </c>
      <c r="U69" s="83">
        <f t="shared" si="16"/>
        <v>0.82649526635464465</v>
      </c>
      <c r="V69" s="123">
        <f t="shared" si="17"/>
        <v>1.5377268460199328E-3</v>
      </c>
      <c r="W69" s="127"/>
      <c r="X69" s="110">
        <f>IF(AN69=0,IF(AN68=2,(H69-H68-AE68)/O69,(H69-H68)/O69),IF(AN69=1,IF(AN68=2,IF(AE69&lt;9,(H69-H68-AE69-AE68)/断面设计!$J$7,(H69-H68-AE69-AE68)/断面设计!$J$7),(H69-H68-AE69)/O68),(H69-H68)/O69))</f>
        <v>7.7540519705442418E-3</v>
      </c>
      <c r="Y69" s="133">
        <v>0</v>
      </c>
      <c r="Z69" s="134">
        <f t="shared" si="26"/>
        <v>0</v>
      </c>
      <c r="AA69" s="142"/>
      <c r="AB69" s="133">
        <f t="shared" ref="AB69:AB132" si="33">Q69</f>
        <v>1.5491171243039099</v>
      </c>
      <c r="AC69" s="110">
        <f t="shared" ref="AC69:AC132" si="34">IF(AE69&lt;1,Y69+AA69+V69+X69,Y69+AA69+V69+X69+W69)</f>
        <v>9.2917788165641745E-3</v>
      </c>
      <c r="AD69" s="110">
        <f t="shared" ca="1" si="18"/>
        <v>2389.0169730032694</v>
      </c>
      <c r="AE69" s="82">
        <f t="shared" si="19"/>
        <v>0</v>
      </c>
      <c r="AF69" s="110" t="str">
        <f t="shared" ref="AF69:AF132" si="35">IF(AE69=0," ",IF(AN69=1,AD69+W69,AD69))</f>
        <v xml:space="preserve"> </v>
      </c>
      <c r="AG69" s="110" t="str">
        <f>IF(AE69=0," ",AF69-断面设计!$C$7)</f>
        <v xml:space="preserve"> </v>
      </c>
      <c r="AH69" s="110">
        <f t="shared" ref="AH69:AH132" ca="1" si="36">IF(J69&lt;0.01," ",AD69+V69+J69/2/O69+J69/2/1000*Z69)</f>
        <v>2389.0199794752957</v>
      </c>
      <c r="AI69" s="110">
        <f t="shared" ref="AI69:AI132" ca="1" si="37">IF(J69&lt;0.01," ",AH69-AB69)</f>
        <v>2387.4708623509919</v>
      </c>
      <c r="AJ69" s="110">
        <f t="shared" ref="AJ69:AJ132" ca="1" si="38">IF(J69&lt;0.01," ",AD69-J69/2/O69-J69/2/1000*Z69)</f>
        <v>2389.0155042580891</v>
      </c>
      <c r="AK69" s="110">
        <f t="shared" ref="AK69:AK132" ca="1" si="39">IF(J69&lt;0.01," ",AJ69-AB69)</f>
        <v>2387.4663871337852</v>
      </c>
      <c r="AL69" s="110">
        <f t="shared" ref="AL69:AL132" ca="1" si="40">AM69+AB69</f>
        <v>2389.0177418666926</v>
      </c>
      <c r="AM69" s="110">
        <f t="shared" ref="AM69:AM132" ca="1" si="41">IF(AN69=2,IF(AE69=0,AD69-AB69,AD69+W69-AB69),AD69-AB69+V69/2)</f>
        <v>2387.4686247423888</v>
      </c>
      <c r="AN69" s="127"/>
      <c r="AO69" s="80">
        <v>0</v>
      </c>
      <c r="AU69" s="64" t="str">
        <f t="shared" ca="1" si="20"/>
        <v>4153.61346870163,2387.46862474239</v>
      </c>
      <c r="AV69" s="64" t="str">
        <f t="shared" ca="1" si="30"/>
        <v>4153.61346870163,2389.01774186669</v>
      </c>
      <c r="AW69" s="169" t="str">
        <f t="shared" si="31"/>
        <v xml:space="preserve">pl 4153.61346870163,0 4153.61346870163,76 </v>
      </c>
      <c r="AX69" s="161" t="str">
        <f t="shared" ca="1" si="27"/>
        <v>-text 4153.61346870163,48 3.5 90 2387.469</v>
      </c>
      <c r="AY69" s="161" t="str">
        <f t="shared" ca="1" si="28"/>
        <v>-text 4153.61346870163,62.5 3.5 90 2389.018</v>
      </c>
      <c r="AZ69" s="42" t="str">
        <f t="shared" si="29"/>
        <v>-text 4153.61346870163,23.5 3.5 90 马分4+153.61</v>
      </c>
    </row>
    <row r="70" spans="1:206" s="42" customFormat="1" x14ac:dyDescent="0.25">
      <c r="A70" s="80">
        <v>3</v>
      </c>
      <c r="B70" s="76" t="str">
        <f>线路!B67</f>
        <v>IP47</v>
      </c>
      <c r="C70" s="81">
        <f>线路!E67</f>
        <v>451077.6324</v>
      </c>
      <c r="D70" s="81">
        <f>线路!F67</f>
        <v>3044560.8613</v>
      </c>
      <c r="E70" s="85">
        <f>线路!G67</f>
        <v>13</v>
      </c>
      <c r="F70" s="85">
        <f>线路!H67</f>
        <v>16.738</v>
      </c>
      <c r="G70" s="86">
        <f>线路!L67</f>
        <v>4167.7532774151086</v>
      </c>
      <c r="H70" s="86">
        <f>线路!M67</f>
        <v>4169.6521432814006</v>
      </c>
      <c r="I70" s="86">
        <f>线路!N67</f>
        <v>4171.5510091476935</v>
      </c>
      <c r="J70" s="83">
        <f t="shared" si="32"/>
        <v>3.7977317325849071</v>
      </c>
      <c r="K70" s="83">
        <f t="shared" ref="K70:K133" si="42">H70-H69</f>
        <v>16.038674579765939</v>
      </c>
      <c r="L70" s="83">
        <f>IF(A70=1,断面设计!$D$7,IF(A70=2,断面设计!$D$8,IF(A70=3,断面设计!$D$9,IF(A70=4,断面设计!$D$10,IF(A70=5,断面设计!$D$11,IF(A70=6,断面设计!$D$12,IF(A70=7,断面设计!$D$13,IF(A70=8,断面设计!$D$14,IF(A70=9,断面设计!$D$15,IF(A70=10,断面设计!$D$16))))))))))</f>
        <v>1.5</v>
      </c>
      <c r="M70" s="83">
        <f t="shared" ref="M70:M133" si="43">IF(AO70=0,1.2,0)</f>
        <v>1.2</v>
      </c>
      <c r="N70" s="110">
        <f t="shared" si="1"/>
        <v>1.4999999999999999E-2</v>
      </c>
      <c r="O70" s="83">
        <f>IF(A70=1,断面设计!$J$7,IF(A70=2,断面设计!$J$8,IF(A70=3,断面设计!$J$9,IF(A70=4,断面设计!$J$10,IF(A70=5,断面设计!$J$11,IF(A70=6,断面设计!$J$12,IF(A70=7,断面设计!$J$13,IF(A70=8,断面设计!$J$14,IF(A70=9,断面设计!$J$15,IF(A70=10,断面设计!$J$16))))))))))</f>
        <v>5000</v>
      </c>
      <c r="P70" s="111">
        <f>IF(A70=1,断面设计!$K$7,IF(A70=2,断面设计!$K$8,IF(A70=3,断面设计!$K$9,IF(A70=4,断面设计!$K$10,IF(A70=5,断面设计!$K$11,IF(A70=6,断面设计!$K$12,IF(A70=7,断面设计!$K$13,IF(A70=8,断面设计!$K$14,IF(A70=9,断面设计!$K$15,IF(A70=10,断面设计!$K$16))))))))))</f>
        <v>4.3005791249620255</v>
      </c>
      <c r="Q70" s="110">
        <f>IF(A70=1,断面设计!$C$7,IF(A70=2,断面设计!$C$8,IF(A70=3,断面设计!$C$9,IF(A70=4,断面设计!$C$10,IF(A70=5,断面设计!$C$11,IF(A70=6,断面设计!$C$12,IF(A70=7,断面设计!$C$13,IF(A70=8,断面设计!$C$14,IF(A70=9,断面设计!$C$15,IF(A70=10,断面设计!$C$16))))))))))</f>
        <v>1.5491171243039099</v>
      </c>
      <c r="R70" s="83">
        <f>IF(A70=1,断面设计!$F$7,IF(A70=2,断面设计!$F$8,IF(A70=3,断面设计!$F$9,IF(A70=4,断面设计!$F$10,IF(A70=5,断面设计!$F$11,IF(A70=6,断面设计!$F$12,IF(A70=7,断面设计!$F$13,IF(A70=8,断面设计!$F$14,IF(A70=9,断面设计!$F$15,IF(A70=10,断面设计!$F$16))))))))))</f>
        <v>5.2033923242298039</v>
      </c>
      <c r="S70" s="83">
        <f>IF(A70=1,断面设计!$G$7,IF(A70=2,断面设计!$G$8,IF(A70=3,断面设计!$G$9,IF(A70=4,断面设计!$G$10,IF(A70=5,断面设计!$G$11,IF(A70=6,断面设计!$G$12,IF(A70=7,断面设计!$G$13,IF(A70=8,断面设计!$G$14,IF(A70=9,断面设计!$G$15,IF(A70=10,断面设计!$G$16))))))))))</f>
        <v>6.3395966072144239</v>
      </c>
      <c r="T70" s="83">
        <f t="shared" ref="T70:T133" si="44">R70/S70</f>
        <v>0.8207765646016616</v>
      </c>
      <c r="U70" s="83">
        <f t="shared" ref="U70:U133" si="45">P70/R70</f>
        <v>0.82649526635464465</v>
      </c>
      <c r="V70" s="123">
        <f t="shared" ref="V70:V132" si="46">(I70-G70)*N70^2/T70^(4/3)*U70^2*3/4*((L70+Q70*M70*2*1.3)/E70)^0.5</f>
        <v>3.976097500298769E-4</v>
      </c>
      <c r="W70" s="127"/>
      <c r="X70" s="110">
        <f>IF(AN70=0,IF(AN69=2,(H70-H69-AE69)/O70,(H70-H69)/O70),IF(AN70=1,IF(AN69=2,IF(AE70&lt;9,(H70-H69-AE70-AE69)/断面设计!$J$7,(H70-H69-AE70-AE69)/断面设计!$J$7),(H70-H69-AE70)/O69),(H70-H69)/O70))</f>
        <v>3.2077349159531877E-3</v>
      </c>
      <c r="Y70" s="133">
        <v>0</v>
      </c>
      <c r="Z70" s="134">
        <f t="shared" si="26"/>
        <v>0</v>
      </c>
      <c r="AA70" s="142"/>
      <c r="AB70" s="133">
        <f t="shared" si="33"/>
        <v>1.5491171243039099</v>
      </c>
      <c r="AC70" s="110">
        <f t="shared" si="34"/>
        <v>3.6053446659830646E-3</v>
      </c>
      <c r="AD70" s="110">
        <f t="shared" ref="AD70:AD133" ca="1" si="47">AD69-AC70</f>
        <v>2389.0133676586033</v>
      </c>
      <c r="AE70" s="82">
        <f t="shared" ref="AE70:AE132" si="48">IF(AO70=0,0,IF(AO70=2,IF(AN70=1,20,IF(AN70=0,0,25)),IF(AN70=1,15,IF(AN70=0,0,IF(AO70=3,20,20)))))</f>
        <v>0</v>
      </c>
      <c r="AF70" s="110" t="str">
        <f t="shared" si="35"/>
        <v xml:space="preserve"> </v>
      </c>
      <c r="AG70" s="110" t="str">
        <f>IF(AE70=0," ",AF70-断面设计!$C$7)</f>
        <v xml:space="preserve"> </v>
      </c>
      <c r="AH70" s="110">
        <f t="shared" ca="1" si="36"/>
        <v>2389.0141450415267</v>
      </c>
      <c r="AI70" s="110">
        <f t="shared" ca="1" si="37"/>
        <v>2387.4650279172229</v>
      </c>
      <c r="AJ70" s="110">
        <f t="shared" ca="1" si="38"/>
        <v>2389.01298788543</v>
      </c>
      <c r="AK70" s="110">
        <f t="shared" ca="1" si="39"/>
        <v>2387.4638707611261</v>
      </c>
      <c r="AL70" s="110">
        <f t="shared" ca="1" si="40"/>
        <v>2389.0135664634781</v>
      </c>
      <c r="AM70" s="110">
        <f t="shared" ca="1" si="41"/>
        <v>2387.4644493391743</v>
      </c>
      <c r="AN70" s="127"/>
      <c r="AO70" s="80">
        <v>0</v>
      </c>
      <c r="AU70" s="64" t="str">
        <f t="shared" ref="AU70:AU133" ca="1" si="49">H70&amp;","&amp;AM70</f>
        <v>4169.6521432814,2387.46444933917</v>
      </c>
      <c r="AV70" s="64" t="str">
        <f t="shared" ca="1" si="30"/>
        <v>4169.6521432814,2389.01356646348</v>
      </c>
      <c r="AW70" s="169" t="str">
        <f t="shared" si="31"/>
        <v xml:space="preserve">pl 4169.6521432814,0 4169.6521432814,76 </v>
      </c>
      <c r="AX70" s="161" t="str">
        <f t="shared" ca="1" si="27"/>
        <v>-text 4169.6521432814,48 3.5 90 2387.464</v>
      </c>
      <c r="AY70" s="161" t="str">
        <f t="shared" ca="1" si="28"/>
        <v>-text 4169.6521432814,62.5 3.5 90 2389.014</v>
      </c>
      <c r="AZ70" s="42" t="str">
        <f t="shared" si="29"/>
        <v>-text 4169.6521432814,23.5 3.5 90 马分4+169.65</v>
      </c>
    </row>
    <row r="71" spans="1:206" s="42" customFormat="1" x14ac:dyDescent="0.25">
      <c r="A71" s="80">
        <v>3</v>
      </c>
      <c r="B71" s="76" t="str">
        <f>线路!B68</f>
        <v>IP48</v>
      </c>
      <c r="C71" s="81">
        <f>线路!E68</f>
        <v>451062.83899999998</v>
      </c>
      <c r="D71" s="81">
        <f>线路!F68</f>
        <v>3044385.1781000001</v>
      </c>
      <c r="E71" s="85">
        <f>线路!G68</f>
        <v>13</v>
      </c>
      <c r="F71" s="85">
        <f>线路!H68</f>
        <v>32.542000000000002</v>
      </c>
      <c r="G71" s="86">
        <f>线路!L68</f>
        <v>4342.1491368883926</v>
      </c>
      <c r="H71" s="86">
        <f>线路!M68</f>
        <v>4345.8409096820887</v>
      </c>
      <c r="I71" s="86">
        <f>线路!N68</f>
        <v>4349.5326824757849</v>
      </c>
      <c r="J71" s="83">
        <f t="shared" si="32"/>
        <v>7.3835455873922911</v>
      </c>
      <c r="K71" s="83">
        <f t="shared" si="42"/>
        <v>176.18876640068811</v>
      </c>
      <c r="L71" s="83">
        <f>IF(A71=1,断面设计!$D$7,IF(A71=2,断面设计!$D$8,IF(A71=3,断面设计!$D$9,IF(A71=4,断面设计!$D$10,IF(A71=5,断面设计!$D$11,IF(A71=6,断面设计!$D$12,IF(A71=7,断面设计!$D$13,IF(A71=8,断面设计!$D$14,IF(A71=9,断面设计!$D$15,IF(A71=10,断面设计!$D$16))))))))))</f>
        <v>1.5</v>
      </c>
      <c r="M71" s="83">
        <f t="shared" si="43"/>
        <v>1.2</v>
      </c>
      <c r="N71" s="110">
        <f t="shared" ref="N71:N134" si="50">IF(AO71=0,0.015,0.014)</f>
        <v>1.4999999999999999E-2</v>
      </c>
      <c r="O71" s="83">
        <f>IF(A71=1,断面设计!$J$7,IF(A71=2,断面设计!$J$8,IF(A71=3,断面设计!$J$9,IF(A71=4,断面设计!$J$10,IF(A71=5,断面设计!$J$11,IF(A71=6,断面设计!$J$12,IF(A71=7,断面设计!$J$13,IF(A71=8,断面设计!$J$14,IF(A71=9,断面设计!$J$15,IF(A71=10,断面设计!$J$16))))))))))</f>
        <v>5000</v>
      </c>
      <c r="P71" s="111">
        <f>IF(A71=1,断面设计!$K$7,IF(A71=2,断面设计!$K$8,IF(A71=3,断面设计!$K$9,IF(A71=4,断面设计!$K$10,IF(A71=5,断面设计!$K$11,IF(A71=6,断面设计!$K$12,IF(A71=7,断面设计!$K$13,IF(A71=8,断面设计!$K$14,IF(A71=9,断面设计!$K$15,IF(A71=10,断面设计!$K$16))))))))))</f>
        <v>4.3005791249620255</v>
      </c>
      <c r="Q71" s="110">
        <f>IF(A71=1,断面设计!$C$7,IF(A71=2,断面设计!$C$8,IF(A71=3,断面设计!$C$9,IF(A71=4,断面设计!$C$10,IF(A71=5,断面设计!$C$11,IF(A71=6,断面设计!$C$12,IF(A71=7,断面设计!$C$13,IF(A71=8,断面设计!$C$14,IF(A71=9,断面设计!$C$15,IF(A71=10,断面设计!$C$16))))))))))</f>
        <v>1.5491171243039099</v>
      </c>
      <c r="R71" s="83">
        <f>IF(A71=1,断面设计!$F$7,IF(A71=2,断面设计!$F$8,IF(A71=3,断面设计!$F$9,IF(A71=4,断面设计!$F$10,IF(A71=5,断面设计!$F$11,IF(A71=6,断面设计!$F$12,IF(A71=7,断面设计!$F$13,IF(A71=8,断面设计!$F$14,IF(A71=9,断面设计!$F$15,IF(A71=10,断面设计!$F$16))))))))))</f>
        <v>5.2033923242298039</v>
      </c>
      <c r="S71" s="83">
        <f>IF(A71=1,断面设计!$G$7,IF(A71=2,断面设计!$G$8,IF(A71=3,断面设计!$G$9,IF(A71=4,断面设计!$G$10,IF(A71=5,断面设计!$G$11,IF(A71=6,断面设计!$G$12,IF(A71=7,断面设计!$G$13,IF(A71=8,断面设计!$G$14,IF(A71=9,断面设计!$G$15,IF(A71=10,断面设计!$G$16))))))))))</f>
        <v>6.3395966072144239</v>
      </c>
      <c r="T71" s="83">
        <f t="shared" si="44"/>
        <v>0.8207765646016616</v>
      </c>
      <c r="U71" s="83">
        <f t="shared" si="45"/>
        <v>0.82649526635464465</v>
      </c>
      <c r="V71" s="123">
        <f t="shared" si="46"/>
        <v>7.7303241041173595E-4</v>
      </c>
      <c r="W71" s="127"/>
      <c r="X71" s="110">
        <f>IF(AN71=0,IF(AN70=2,(H71-H70-AE70)/O71,(H71-H70)/O71),IF(AN71=1,IF(AN70=2,IF(AE71&lt;9,(H71-H70-AE71-AE70)/断面设计!$J$7,(H71-H70-AE71-AE70)/断面设计!$J$7),(H71-H70-AE71)/O70),(H71-H70)/O71))</f>
        <v>3.5237753280137625E-2</v>
      </c>
      <c r="Y71" s="133">
        <v>0</v>
      </c>
      <c r="Z71" s="134">
        <f t="shared" ref="Z71:Z134" si="51">Z70</f>
        <v>0</v>
      </c>
      <c r="AA71" s="142"/>
      <c r="AB71" s="133">
        <f t="shared" si="33"/>
        <v>1.5491171243039099</v>
      </c>
      <c r="AC71" s="110">
        <f t="shared" si="34"/>
        <v>3.6010785690549364E-2</v>
      </c>
      <c r="AD71" s="110">
        <f t="shared" ca="1" si="47"/>
        <v>2388.9773568729129</v>
      </c>
      <c r="AE71" s="82">
        <f t="shared" si="48"/>
        <v>0</v>
      </c>
      <c r="AF71" s="110" t="str">
        <f t="shared" si="35"/>
        <v xml:space="preserve"> </v>
      </c>
      <c r="AG71" s="110" t="str">
        <f>IF(AE71=0," ",AF71-断面设计!$C$7)</f>
        <v xml:space="preserve"> </v>
      </c>
      <c r="AH71" s="110">
        <f t="shared" ca="1" si="36"/>
        <v>2388.9788682598823</v>
      </c>
      <c r="AI71" s="110">
        <f t="shared" ca="1" si="37"/>
        <v>2387.4297511355785</v>
      </c>
      <c r="AJ71" s="110">
        <f t="shared" ca="1" si="38"/>
        <v>2388.9766185183539</v>
      </c>
      <c r="AK71" s="110">
        <f t="shared" ca="1" si="39"/>
        <v>2387.4275013940501</v>
      </c>
      <c r="AL71" s="110">
        <f t="shared" ca="1" si="40"/>
        <v>2388.9777433891181</v>
      </c>
      <c r="AM71" s="110">
        <f t="shared" ca="1" si="41"/>
        <v>2387.4286262648143</v>
      </c>
      <c r="AN71" s="127"/>
      <c r="AO71" s="80">
        <v>0</v>
      </c>
      <c r="AU71" s="64" t="str">
        <f t="shared" ca="1" si="49"/>
        <v>4345.84090968209,2387.42862626481</v>
      </c>
      <c r="AV71" s="64" t="str">
        <f t="shared" ca="1" si="30"/>
        <v>4345.84090968209,2388.97774338912</v>
      </c>
      <c r="AW71" s="169" t="str">
        <f t="shared" si="31"/>
        <v xml:space="preserve">pl 4345.84090968209,0 4345.84090968209,76 </v>
      </c>
      <c r="AX71" s="161" t="str">
        <f t="shared" ca="1" si="27"/>
        <v>-text 4345.84090968209,48 3.5 90 2387.429</v>
      </c>
      <c r="AY71" s="161" t="str">
        <f t="shared" ca="1" si="28"/>
        <v>-text 4345.84090968209,62.5 3.5 90 2388.978</v>
      </c>
      <c r="AZ71" s="42" t="str">
        <f t="shared" si="29"/>
        <v>-text 4345.84090968209,23.5 3.5 90 马分4+345.84</v>
      </c>
    </row>
    <row r="72" spans="1:206" s="42" customFormat="1" x14ac:dyDescent="0.25">
      <c r="A72" s="80">
        <v>3</v>
      </c>
      <c r="B72" s="76" t="str">
        <f>线路!B69</f>
        <v>IP49</v>
      </c>
      <c r="C72" s="81">
        <f>线路!E69</f>
        <v>451026.54820000002</v>
      </c>
      <c r="D72" s="81">
        <f>线路!F69</f>
        <v>3044337.6340000001</v>
      </c>
      <c r="E72" s="85">
        <f>线路!G69</f>
        <v>13</v>
      </c>
      <c r="F72" s="85">
        <f>线路!H69</f>
        <v>60.968000000000004</v>
      </c>
      <c r="G72" s="86">
        <f>线路!L69</f>
        <v>4397.8975637086642</v>
      </c>
      <c r="H72" s="86">
        <f>线路!M69</f>
        <v>4404.8141639079777</v>
      </c>
      <c r="I72" s="86">
        <f>线路!N69</f>
        <v>4411.7307641072912</v>
      </c>
      <c r="J72" s="83">
        <f t="shared" si="32"/>
        <v>13.833200398627014</v>
      </c>
      <c r="K72" s="83">
        <f t="shared" si="42"/>
        <v>58.973254225888923</v>
      </c>
      <c r="L72" s="83">
        <f>IF(A72=1,断面设计!$D$7,IF(A72=2,断面设计!$D$8,IF(A72=3,断面设计!$D$9,IF(A72=4,断面设计!$D$10,IF(A72=5,断面设计!$D$11,IF(A72=6,断面设计!$D$12,IF(A72=7,断面设计!$D$13,IF(A72=8,断面设计!$D$14,IF(A72=9,断面设计!$D$15,IF(A72=10,断面设计!$D$16))))))))))</f>
        <v>1.5</v>
      </c>
      <c r="M72" s="83">
        <f t="shared" si="43"/>
        <v>1.2</v>
      </c>
      <c r="N72" s="110">
        <f t="shared" si="50"/>
        <v>1.4999999999999999E-2</v>
      </c>
      <c r="O72" s="83">
        <f>IF(A72=1,断面设计!$J$7,IF(A72=2,断面设计!$J$8,IF(A72=3,断面设计!$J$9,IF(A72=4,断面设计!$J$10,IF(A72=5,断面设计!$J$11,IF(A72=6,断面设计!$J$12,IF(A72=7,断面设计!$J$13,IF(A72=8,断面设计!$J$14,IF(A72=9,断面设计!$J$15,IF(A72=10,断面设计!$J$16))))))))))</f>
        <v>5000</v>
      </c>
      <c r="P72" s="111">
        <f>IF(A72=1,断面设计!$K$7,IF(A72=2,断面设计!$K$8,IF(A72=3,断面设计!$K$9,IF(A72=4,断面设计!$K$10,IF(A72=5,断面设计!$K$11,IF(A72=6,断面设计!$K$12,IF(A72=7,断面设计!$K$13,IF(A72=8,断面设计!$K$14,IF(A72=9,断面设计!$K$15,IF(A72=10,断面设计!$K$16))))))))))</f>
        <v>4.3005791249620255</v>
      </c>
      <c r="Q72" s="110">
        <f>IF(A72=1,断面设计!$C$7,IF(A72=2,断面设计!$C$8,IF(A72=3,断面设计!$C$9,IF(A72=4,断面设计!$C$10,IF(A72=5,断面设计!$C$11,IF(A72=6,断面设计!$C$12,IF(A72=7,断面设计!$C$13,IF(A72=8,断面设计!$C$14,IF(A72=9,断面设计!$C$15,IF(A72=10,断面设计!$C$16))))))))))</f>
        <v>1.5491171243039099</v>
      </c>
      <c r="R72" s="83">
        <f>IF(A72=1,断面设计!$F$7,IF(A72=2,断面设计!$F$8,IF(A72=3,断面设计!$F$9,IF(A72=4,断面设计!$F$10,IF(A72=5,断面设计!$F$11,IF(A72=6,断面设计!$F$12,IF(A72=7,断面设计!$F$13,IF(A72=8,断面设计!$F$14,IF(A72=9,断面设计!$F$15,IF(A72=10,断面设计!$F$16))))))))))</f>
        <v>5.2033923242298039</v>
      </c>
      <c r="S72" s="83">
        <f>IF(A72=1,断面设计!$G$7,IF(A72=2,断面设计!$G$8,IF(A72=3,断面设计!$G$9,IF(A72=4,断面设计!$G$10,IF(A72=5,断面设计!$G$11,IF(A72=6,断面设计!$G$12,IF(A72=7,断面设计!$G$13,IF(A72=8,断面设计!$G$14,IF(A72=9,断面设计!$G$15,IF(A72=10,断面设计!$G$16))))))))))</f>
        <v>6.3395966072144239</v>
      </c>
      <c r="T72" s="83">
        <f t="shared" si="44"/>
        <v>0.8207765646016616</v>
      </c>
      <c r="U72" s="83">
        <f t="shared" si="45"/>
        <v>0.82649526635464465</v>
      </c>
      <c r="V72" s="123">
        <f t="shared" si="46"/>
        <v>1.4482895949229108E-3</v>
      </c>
      <c r="W72" s="127"/>
      <c r="X72" s="110">
        <f>IF(AN72=0,IF(AN71=2,(H72-H71-AE71)/O72,(H72-H71)/O72),IF(AN72=1,IF(AN71=2,IF(AE72&lt;9,(H72-H71-AE72-AE71)/断面设计!$J$7,(H72-H71-AE72-AE71)/断面设计!$J$7),(H72-H71-AE72)/O71),(H72-H71)/O72))</f>
        <v>1.1794650845177784E-2</v>
      </c>
      <c r="Y72" s="133">
        <v>0</v>
      </c>
      <c r="Z72" s="134">
        <f t="shared" si="51"/>
        <v>0</v>
      </c>
      <c r="AA72" s="142"/>
      <c r="AB72" s="133">
        <f t="shared" si="33"/>
        <v>1.5491171243039099</v>
      </c>
      <c r="AC72" s="110">
        <f t="shared" si="34"/>
        <v>1.3242940440100695E-2</v>
      </c>
      <c r="AD72" s="110">
        <f t="shared" ca="1" si="47"/>
        <v>2388.9641139324726</v>
      </c>
      <c r="AE72" s="82">
        <f t="shared" si="48"/>
        <v>0</v>
      </c>
      <c r="AF72" s="110" t="str">
        <f t="shared" si="35"/>
        <v xml:space="preserve"> </v>
      </c>
      <c r="AG72" s="110" t="str">
        <f>IF(AE72=0," ",AF72-断面设计!$C$7)</f>
        <v xml:space="preserve"> </v>
      </c>
      <c r="AH72" s="110">
        <f t="shared" ca="1" si="36"/>
        <v>2388.9669455421076</v>
      </c>
      <c r="AI72" s="110">
        <f t="shared" ca="1" si="37"/>
        <v>2387.4178284178038</v>
      </c>
      <c r="AJ72" s="110">
        <f t="shared" ca="1" si="38"/>
        <v>2388.9627306124326</v>
      </c>
      <c r="AK72" s="110">
        <f t="shared" ca="1" si="39"/>
        <v>2387.4136134881287</v>
      </c>
      <c r="AL72" s="110">
        <f t="shared" ca="1" si="40"/>
        <v>2388.9648380772701</v>
      </c>
      <c r="AM72" s="110">
        <f t="shared" ca="1" si="41"/>
        <v>2387.4157209529662</v>
      </c>
      <c r="AN72" s="127"/>
      <c r="AO72" s="80">
        <v>0</v>
      </c>
      <c r="AU72" s="64" t="str">
        <f t="shared" ca="1" si="49"/>
        <v>4404.81416390798,2387.41572095297</v>
      </c>
      <c r="AV72" s="64" t="str">
        <f t="shared" ca="1" si="30"/>
        <v>4404.81416390798,2388.96483807727</v>
      </c>
      <c r="AW72" s="169" t="str">
        <f t="shared" si="31"/>
        <v xml:space="preserve">pl 4404.81416390798,0 4404.81416390798,76 </v>
      </c>
      <c r="AX72" s="161" t="str">
        <f t="shared" ca="1" si="27"/>
        <v>-text 4404.81416390798,48 3.5 90 2387.416</v>
      </c>
      <c r="AY72" s="161" t="str">
        <f t="shared" ca="1" si="28"/>
        <v>-text 4404.81416390798,62.5 3.5 90 2388.965</v>
      </c>
      <c r="AZ72" s="42" t="str">
        <f t="shared" si="29"/>
        <v>-text 4404.81416390798,23.5 3.5 90 马分4+404.81</v>
      </c>
    </row>
    <row r="73" spans="1:206" s="42" customFormat="1" x14ac:dyDescent="0.25">
      <c r="A73" s="80">
        <v>3</v>
      </c>
      <c r="B73" s="76" t="str">
        <f>线路!B70</f>
        <v>IP50</v>
      </c>
      <c r="C73" s="81">
        <f>线路!E70</f>
        <v>451056.29060000001</v>
      </c>
      <c r="D73" s="81">
        <f>线路!F70</f>
        <v>3044269.5983000002</v>
      </c>
      <c r="E73" s="85">
        <f>线路!G70</f>
        <v>13</v>
      </c>
      <c r="F73" s="85">
        <f>线路!H70</f>
        <v>26.521999999999998</v>
      </c>
      <c r="G73" s="86">
        <f>线路!L70</f>
        <v>4475.2670627278712</v>
      </c>
      <c r="H73" s="86">
        <f>线路!M70</f>
        <v>4478.2758881852615</v>
      </c>
      <c r="I73" s="86">
        <f>线路!N70</f>
        <v>4481.2847136426526</v>
      </c>
      <c r="J73" s="83">
        <f t="shared" si="32"/>
        <v>6.0176509147813704</v>
      </c>
      <c r="K73" s="83">
        <f t="shared" si="42"/>
        <v>73.461724277283793</v>
      </c>
      <c r="L73" s="83">
        <f>IF(A73=1,断面设计!$D$7,IF(A73=2,断面设计!$D$8,IF(A73=3,断面设计!$D$9,IF(A73=4,断面设计!$D$10,IF(A73=5,断面设计!$D$11,IF(A73=6,断面设计!$D$12,IF(A73=7,断面设计!$D$13,IF(A73=8,断面设计!$D$14,IF(A73=9,断面设计!$D$15,IF(A73=10,断面设计!$D$16))))))))))</f>
        <v>1.5</v>
      </c>
      <c r="M73" s="83">
        <f t="shared" si="43"/>
        <v>1.2</v>
      </c>
      <c r="N73" s="110">
        <f t="shared" si="50"/>
        <v>1.4999999999999999E-2</v>
      </c>
      <c r="O73" s="83">
        <f>IF(A73=1,断面设计!$J$7,IF(A73=2,断面设计!$J$8,IF(A73=3,断面设计!$J$9,IF(A73=4,断面设计!$J$10,IF(A73=5,断面设计!$J$11,IF(A73=6,断面设计!$J$12,IF(A73=7,断面设计!$J$13,IF(A73=8,断面设计!$J$14,IF(A73=9,断面设计!$J$15,IF(A73=10,断面设计!$J$16))))))))))</f>
        <v>5000</v>
      </c>
      <c r="P73" s="111">
        <f>IF(A73=1,断面设计!$K$7,IF(A73=2,断面设计!$K$8,IF(A73=3,断面设计!$K$9,IF(A73=4,断面设计!$K$10,IF(A73=5,断面设计!$K$11,IF(A73=6,断面设计!$K$12,IF(A73=7,断面设计!$K$13,IF(A73=8,断面设计!$K$14,IF(A73=9,断面设计!$K$15,IF(A73=10,断面设计!$K$16))))))))))</f>
        <v>4.3005791249620255</v>
      </c>
      <c r="Q73" s="110">
        <f>IF(A73=1,断面设计!$C$7,IF(A73=2,断面设计!$C$8,IF(A73=3,断面设计!$C$9,IF(A73=4,断面设计!$C$10,IF(A73=5,断面设计!$C$11,IF(A73=6,断面设计!$C$12,IF(A73=7,断面设计!$C$13,IF(A73=8,断面设计!$C$14,IF(A73=9,断面设计!$C$15,IF(A73=10,断面设计!$C$16))))))))))</f>
        <v>1.5491171243039099</v>
      </c>
      <c r="R73" s="83">
        <f>IF(A73=1,断面设计!$F$7,IF(A73=2,断面设计!$F$8,IF(A73=3,断面设计!$F$9,IF(A73=4,断面设计!$F$10,IF(A73=5,断面设计!$F$11,IF(A73=6,断面设计!$F$12,IF(A73=7,断面设计!$F$13,IF(A73=8,断面设计!$F$14,IF(A73=9,断面设计!$F$15,IF(A73=10,断面设计!$F$16))))))))))</f>
        <v>5.2033923242298039</v>
      </c>
      <c r="S73" s="83">
        <f>IF(A73=1,断面设计!$G$7,IF(A73=2,断面设计!$G$8,IF(A73=3,断面设计!$G$9,IF(A73=4,断面设计!$G$10,IF(A73=5,断面设计!$G$11,IF(A73=6,断面设计!$G$12,IF(A73=7,断面设计!$G$13,IF(A73=8,断面设计!$G$14,IF(A73=9,断面设计!$G$15,IF(A73=10,断面设计!$G$16))))))))))</f>
        <v>6.3395966072144239</v>
      </c>
      <c r="T73" s="83">
        <f t="shared" si="44"/>
        <v>0.8207765646016616</v>
      </c>
      <c r="U73" s="83">
        <f t="shared" si="45"/>
        <v>0.82649526635464465</v>
      </c>
      <c r="V73" s="123">
        <f t="shared" si="46"/>
        <v>6.3002782831232717E-4</v>
      </c>
      <c r="W73" s="127"/>
      <c r="X73" s="110">
        <f>IF(AN73=0,IF(AN72=2,(H73-H72-AE72)/O73,(H73-H72)/O73),IF(AN73=1,IF(AN72=2,IF(AE73&lt;9,(H73-H72-AE73-AE72)/断面设计!$J$7,(H73-H72-AE73-AE72)/断面设计!$J$7),(H73-H72-AE73)/O72),(H73-H72)/O73))</f>
        <v>1.4692344855456759E-2</v>
      </c>
      <c r="Y73" s="133">
        <v>0</v>
      </c>
      <c r="Z73" s="134">
        <f t="shared" si="51"/>
        <v>0</v>
      </c>
      <c r="AA73" s="142"/>
      <c r="AB73" s="133">
        <f t="shared" si="33"/>
        <v>1.5491171243039099</v>
      </c>
      <c r="AC73" s="110">
        <f t="shared" si="34"/>
        <v>1.5322372683769086E-2</v>
      </c>
      <c r="AD73" s="110">
        <f t="shared" ca="1" si="47"/>
        <v>2388.9487915597888</v>
      </c>
      <c r="AE73" s="82">
        <f t="shared" si="48"/>
        <v>0</v>
      </c>
      <c r="AF73" s="110" t="str">
        <f t="shared" si="35"/>
        <v xml:space="preserve"> </v>
      </c>
      <c r="AG73" s="110" t="str">
        <f>IF(AE73=0," ",AF73-断面设计!$C$7)</f>
        <v xml:space="preserve"> </v>
      </c>
      <c r="AH73" s="110">
        <f t="shared" ca="1" si="36"/>
        <v>2388.9500233527087</v>
      </c>
      <c r="AI73" s="110">
        <f t="shared" ca="1" si="37"/>
        <v>2387.4009062284049</v>
      </c>
      <c r="AJ73" s="110">
        <f t="shared" ca="1" si="38"/>
        <v>2388.9481897946971</v>
      </c>
      <c r="AK73" s="110">
        <f t="shared" ca="1" si="39"/>
        <v>2387.3990726703933</v>
      </c>
      <c r="AL73" s="110">
        <f t="shared" ca="1" si="40"/>
        <v>2388.9491065737029</v>
      </c>
      <c r="AM73" s="110">
        <f t="shared" ca="1" si="41"/>
        <v>2387.3999894493991</v>
      </c>
      <c r="AN73" s="127"/>
      <c r="AO73" s="80">
        <v>0</v>
      </c>
      <c r="AU73" s="64" t="str">
        <f t="shared" ca="1" si="49"/>
        <v>4478.27588818526,2387.3999894494</v>
      </c>
      <c r="AV73" s="64" t="str">
        <f t="shared" ca="1" si="30"/>
        <v>4478.27588818526,2388.9491065737</v>
      </c>
      <c r="AW73" s="169" t="str">
        <f t="shared" si="31"/>
        <v xml:space="preserve">pl 4478.27588818526,0 4478.27588818526,76 </v>
      </c>
      <c r="AX73" s="161" t="str">
        <f t="shared" ca="1" si="27"/>
        <v>-text 4478.27588818526,48 3.5 90 2387.400</v>
      </c>
      <c r="AY73" s="161" t="str">
        <f t="shared" ca="1" si="28"/>
        <v>-text 4478.27588818526,62.5 3.5 90 2388.949</v>
      </c>
      <c r="AZ73" s="42" t="str">
        <f t="shared" si="29"/>
        <v>-text 4478.27588818526,23.5 3.5 90 马分4+478.28</v>
      </c>
    </row>
    <row r="74" spans="1:206" s="57" customFormat="1" x14ac:dyDescent="0.25">
      <c r="A74" s="102">
        <v>3</v>
      </c>
      <c r="B74" s="88" t="str">
        <f>线路!B71</f>
        <v>三流量段末(3#斗门)</v>
      </c>
      <c r="C74" s="89">
        <f>线路!E71</f>
        <v>451051.7818</v>
      </c>
      <c r="D74" s="89">
        <f>线路!F71</f>
        <v>3044180.8851999999</v>
      </c>
      <c r="E74" s="90">
        <f>线路!G71</f>
        <v>0</v>
      </c>
      <c r="F74" s="90">
        <f>线路!H71</f>
        <v>0</v>
      </c>
      <c r="G74" s="91">
        <f>线路!L71</f>
        <v>4567.0485905374671</v>
      </c>
      <c r="H74" s="91">
        <f>线路!M71</f>
        <v>4567.0485905374671</v>
      </c>
      <c r="I74" s="91">
        <f>线路!N71</f>
        <v>4567.0485905374671</v>
      </c>
      <c r="J74" s="112">
        <f t="shared" si="32"/>
        <v>0</v>
      </c>
      <c r="K74" s="112">
        <f t="shared" si="42"/>
        <v>88.77270235220567</v>
      </c>
      <c r="L74" s="112">
        <f>IF(A74=1,断面设计!$D$7,IF(A74=2,断面设计!$D$8,IF(A74=3,断面设计!$D$9,IF(A74=4,断面设计!$D$10,IF(A74=5,断面设计!$D$11,IF(A74=6,断面设计!$D$12,IF(A74=7,断面设计!$D$13,IF(A74=8,断面设计!$D$14,IF(A74=9,断面设计!$D$15,IF(A74=10,断面设计!$D$16))))))))))</f>
        <v>1.5</v>
      </c>
      <c r="M74" s="112">
        <f t="shared" si="43"/>
        <v>1.2</v>
      </c>
      <c r="N74" s="113">
        <f t="shared" si="50"/>
        <v>1.4999999999999999E-2</v>
      </c>
      <c r="O74" s="112">
        <f>IF(A74=1,断面设计!$J$7,IF(A74=2,断面设计!$J$8,IF(A74=3,断面设计!$J$9,IF(A74=4,断面设计!$J$10,IF(A74=5,断面设计!$J$11,IF(A74=6,断面设计!$J$12,IF(A74=7,断面设计!$J$13,IF(A74=8,断面设计!$J$14,IF(A74=9,断面设计!$J$15,IF(A74=10,断面设计!$J$16))))))))))</f>
        <v>5000</v>
      </c>
      <c r="P74" s="114">
        <f>IF(A74=1,断面设计!$K$7,IF(A74=2,断面设计!$K$8,IF(A74=3,断面设计!$K$9,IF(A74=4,断面设计!$K$10,IF(A74=5,断面设计!$K$11,IF(A74=6,断面设计!$K$12,IF(A74=7,断面设计!$K$13,IF(A74=8,断面设计!$K$14,IF(A74=9,断面设计!$K$15,IF(A74=10,断面设计!$K$16))))))))))</f>
        <v>4.3005791249620255</v>
      </c>
      <c r="Q74" s="113">
        <f>IF(A74=1,断面设计!$C$7,IF(A74=2,断面设计!$C$8,IF(A74=3,断面设计!$C$9,IF(A74=4,断面设计!$C$10,IF(A74=5,断面设计!$C$11,IF(A74=6,断面设计!$C$12,IF(A74=7,断面设计!$C$13,IF(A74=8,断面设计!$C$14,IF(A74=9,断面设计!$C$15,IF(A74=10,断面设计!$C$16))))))))))</f>
        <v>1.5491171243039099</v>
      </c>
      <c r="R74" s="112">
        <f>IF(A74=1,断面设计!$F$7,IF(A74=2,断面设计!$F$8,IF(A74=3,断面设计!$F$9,IF(A74=4,断面设计!$F$10,IF(A74=5,断面设计!$F$11,IF(A74=6,断面设计!$F$12,IF(A74=7,断面设计!$F$13,IF(A74=8,断面设计!$F$14,IF(A74=9,断面设计!$F$15,IF(A74=10,断面设计!$F$16))))))))))</f>
        <v>5.2033923242298039</v>
      </c>
      <c r="S74" s="112">
        <f>IF(A74=1,断面设计!$G$7,IF(A74=2,断面设计!$G$8,IF(A74=3,断面设计!$G$9,IF(A74=4,断面设计!$G$10,IF(A74=5,断面设计!$G$11,IF(A74=6,断面设计!$G$12,IF(A74=7,断面设计!$G$13,IF(A74=8,断面设计!$G$14,IF(A74=9,断面设计!$G$15,IF(A74=10,断面设计!$G$16))))))))))</f>
        <v>6.3395966072144239</v>
      </c>
      <c r="T74" s="112">
        <f t="shared" si="44"/>
        <v>0.8207765646016616</v>
      </c>
      <c r="U74" s="112">
        <f t="shared" si="45"/>
        <v>0.82649526635464465</v>
      </c>
      <c r="V74" s="124"/>
      <c r="W74" s="128"/>
      <c r="X74" s="113">
        <f>IF(AN74=0,IF(AN73=2,(H74-H73-AE73)/O74,(H74-H73)/O74),IF(AN74=1,IF(AN73=2,IF(AE74&lt;9,(H74-H73-AE74-AE73)/断面设计!$J$7,(H74-H73-AE74-AE73)/断面设计!$J$7),(H74-H73-AE74)/O73),(H74-H73)/O74))</f>
        <v>1.7754540470441133E-2</v>
      </c>
      <c r="Y74" s="136">
        <v>0</v>
      </c>
      <c r="Z74" s="137">
        <f t="shared" si="51"/>
        <v>0</v>
      </c>
      <c r="AA74" s="148"/>
      <c r="AB74" s="136">
        <f t="shared" si="33"/>
        <v>1.5491171243039099</v>
      </c>
      <c r="AC74" s="113">
        <f t="shared" si="34"/>
        <v>1.7754540470441133E-2</v>
      </c>
      <c r="AD74" s="113">
        <f t="shared" ca="1" si="47"/>
        <v>2388.9310370193184</v>
      </c>
      <c r="AE74" s="138">
        <f t="shared" si="48"/>
        <v>0</v>
      </c>
      <c r="AF74" s="113" t="str">
        <f t="shared" si="35"/>
        <v xml:space="preserve"> </v>
      </c>
      <c r="AG74" s="113" t="str">
        <f>IF(AE74=0," ",AF74-断面设计!$C$7)</f>
        <v xml:space="preserve"> </v>
      </c>
      <c r="AH74" s="113" t="str">
        <f t="shared" si="36"/>
        <v xml:space="preserve"> </v>
      </c>
      <c r="AI74" s="113" t="str">
        <f t="shared" si="37"/>
        <v xml:space="preserve"> </v>
      </c>
      <c r="AJ74" s="113" t="str">
        <f t="shared" si="38"/>
        <v xml:space="preserve"> </v>
      </c>
      <c r="AK74" s="113" t="str">
        <f t="shared" si="39"/>
        <v xml:space="preserve"> </v>
      </c>
      <c r="AL74" s="113">
        <f t="shared" ca="1" si="40"/>
        <v>2388.9310370193184</v>
      </c>
      <c r="AM74" s="113">
        <f t="shared" ca="1" si="41"/>
        <v>2387.3819198950146</v>
      </c>
      <c r="AN74" s="128"/>
      <c r="AO74" s="102">
        <v>0</v>
      </c>
      <c r="AP74" s="42"/>
      <c r="AQ74" s="42"/>
      <c r="AR74" s="42"/>
      <c r="AS74" s="42"/>
      <c r="AT74" s="42"/>
      <c r="AU74" s="64" t="str">
        <f t="shared" ca="1" si="49"/>
        <v>4567.04859053747,2387.38191989501</v>
      </c>
      <c r="AV74" s="64" t="str">
        <f t="shared" ca="1" si="30"/>
        <v>4567.04859053747,2388.93103701932</v>
      </c>
      <c r="AW74" s="169" t="str">
        <f t="shared" si="31"/>
        <v xml:space="preserve">pl 4567.04859053747,0 4567.04859053747,76 </v>
      </c>
      <c r="AX74" s="161" t="str">
        <f t="shared" ca="1" si="27"/>
        <v>-text 4567.04859053747,48 3.5 90 2387.382</v>
      </c>
      <c r="AY74" s="161" t="str">
        <f t="shared" ca="1" si="28"/>
        <v>-text 4567.04859053747,62.5 3.5 90 2388.931</v>
      </c>
      <c r="AZ74" s="42" t="str">
        <f t="shared" si="29"/>
        <v>-text 4567.04859053747,23.5 3.5 90 马分4+567.05</v>
      </c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  <c r="FI74" s="42"/>
      <c r="FJ74" s="42"/>
      <c r="FK74" s="42"/>
      <c r="FL74" s="42"/>
      <c r="FM74" s="42"/>
      <c r="FN74" s="42"/>
      <c r="FO74" s="42"/>
      <c r="FP74" s="42"/>
      <c r="FQ74" s="42"/>
      <c r="FR74" s="42"/>
      <c r="FS74" s="42"/>
      <c r="FT74" s="42"/>
      <c r="FU74" s="42"/>
      <c r="FV74" s="42"/>
      <c r="FW74" s="42"/>
      <c r="FX74" s="42"/>
      <c r="FY74" s="42"/>
      <c r="FZ74" s="42"/>
      <c r="GA74" s="42"/>
      <c r="GB74" s="42"/>
      <c r="GC74" s="42"/>
      <c r="GD74" s="42"/>
      <c r="GE74" s="42"/>
      <c r="GF74" s="42"/>
      <c r="GG74" s="42"/>
      <c r="GH74" s="42"/>
      <c r="GI74" s="42"/>
      <c r="GJ74" s="42"/>
      <c r="GK74" s="42"/>
      <c r="GL74" s="42"/>
      <c r="GM74" s="42"/>
      <c r="GN74" s="42"/>
      <c r="GO74" s="42"/>
      <c r="GP74" s="42"/>
      <c r="GQ74" s="42"/>
      <c r="GR74" s="42"/>
      <c r="GS74" s="42"/>
      <c r="GT74" s="42"/>
      <c r="GU74" s="42"/>
      <c r="GV74" s="42"/>
      <c r="GW74" s="42"/>
      <c r="GX74" s="42"/>
    </row>
    <row r="75" spans="1:206" s="42" customFormat="1" x14ac:dyDescent="0.25">
      <c r="A75" s="80">
        <v>4</v>
      </c>
      <c r="B75" s="76" t="str">
        <f>线路!B72</f>
        <v>IP51</v>
      </c>
      <c r="C75" s="81">
        <f>线路!E72</f>
        <v>451050.05479999998</v>
      </c>
      <c r="D75" s="81">
        <f>线路!F72</f>
        <v>3044146.9071</v>
      </c>
      <c r="E75" s="85">
        <f>线路!G72</f>
        <v>13</v>
      </c>
      <c r="F75" s="85">
        <f>线路!H72</f>
        <v>35.354999999999997</v>
      </c>
      <c r="G75" s="86">
        <f>线路!L72</f>
        <v>4596.927346337674</v>
      </c>
      <c r="H75" s="86">
        <f>线路!M72</f>
        <v>4600.9382438584507</v>
      </c>
      <c r="I75" s="86">
        <f>线路!N72</f>
        <v>4604.9491413792275</v>
      </c>
      <c r="J75" s="83">
        <f t="shared" si="32"/>
        <v>8.0217950415535597</v>
      </c>
      <c r="K75" s="83">
        <f t="shared" si="42"/>
        <v>33.889653320983598</v>
      </c>
      <c r="L75" s="83">
        <f>IF(A75=1,断面设计!$D$7,IF(A75=2,断面设计!$D$8,IF(A75=3,断面设计!$D$9,IF(A75=4,断面设计!$D$10,IF(A75=5,断面设计!$D$11,IF(A75=6,断面设计!$D$12,IF(A75=7,断面设计!$D$13,IF(A75=8,断面设计!$D$14,IF(A75=9,断面设计!$D$15,IF(A75=10,断面设计!$D$16))))))))))</f>
        <v>1.5</v>
      </c>
      <c r="M75" s="83">
        <f t="shared" si="43"/>
        <v>1.2</v>
      </c>
      <c r="N75" s="110">
        <f t="shared" si="50"/>
        <v>1.4999999999999999E-2</v>
      </c>
      <c r="O75" s="83">
        <f>IF(A75=1,断面设计!$J$7,IF(A75=2,断面设计!$J$8,IF(A75=3,断面设计!$J$9,IF(A75=4,断面设计!$J$10,IF(A75=5,断面设计!$J$11,IF(A75=6,断面设计!$J$12,IF(A75=7,断面设计!$J$13,IF(A75=8,断面设计!$J$14,IF(A75=9,断面设计!$J$15,IF(A75=10,断面设计!$J$16))))))))))</f>
        <v>5000</v>
      </c>
      <c r="P75" s="111">
        <f>IF(A75=1,断面设计!$K$7,IF(A75=2,断面设计!$K$8,IF(A75=3,断面设计!$K$9,IF(A75=4,断面设计!$K$10,IF(A75=5,断面设计!$K$11,IF(A75=6,断面设计!$K$12,IF(A75=7,断面设计!$K$13,IF(A75=8,断面设计!$K$14,IF(A75=9,断面设计!$K$15,IF(A75=10,断面设计!$K$16))))))))))</f>
        <v>4.0008708155654071</v>
      </c>
      <c r="Q75" s="110">
        <f>IF(A75=1,断面设计!$C$7,IF(A75=2,断面设计!$C$8,IF(A75=3,断面设计!$C$9,IF(A75=4,断面设计!$C$10,IF(A75=5,断面设计!$C$11,IF(A75=6,断面设计!$C$12,IF(A75=7,断面设计!$C$13,IF(A75=8,断面设计!$C$14,IF(A75=9,断面设计!$C$15,IF(A75=10,断面设计!$C$16))))))))))</f>
        <v>1.4961164896839501</v>
      </c>
      <c r="R75" s="83">
        <f>IF(A75=1,断面设计!$F$7,IF(A75=2,断面设计!$F$8,IF(A75=3,断面设计!$F$9,IF(A75=4,断面设计!$F$10,IF(A75=5,断面设计!$F$11,IF(A75=6,断面设计!$F$12,IF(A75=7,断面设计!$F$13,IF(A75=8,断面设计!$F$14,IF(A75=9,断面设计!$F$15,IF(A75=10,断面设计!$F$16))))))))))</f>
        <v>4.930212195370995</v>
      </c>
      <c r="S75" s="83">
        <f>IF(A75=1,断面设计!$G$7,IF(A75=2,断面设计!$G$8,IF(A75=3,断面设计!$G$9,IF(A75=4,断面设计!$G$10,IF(A75=5,断面设计!$G$11,IF(A75=6,断面设计!$G$12,IF(A75=7,断面设计!$G$13,IF(A75=8,断面设计!$G$14,IF(A75=9,断面设计!$G$15,IF(A75=10,断面设计!$G$16))))))))))</f>
        <v>6.1740173314690692</v>
      </c>
      <c r="T75" s="83">
        <f t="shared" si="44"/>
        <v>0.79854200768786654</v>
      </c>
      <c r="U75" s="83">
        <f t="shared" si="45"/>
        <v>0.81150073404991541</v>
      </c>
      <c r="V75" s="123">
        <f t="shared" si="46"/>
        <v>8.2881809393254462E-4</v>
      </c>
      <c r="W75" s="127"/>
      <c r="X75" s="110">
        <f>IF(AN75=0,IF(AN74=2,(H75-H74-AE74)/O75,(H75-H74)/O75),IF(AN75=1,IF(AN74=2,IF(AE75&lt;9,(H75-H74-AE75-AE74)/断面设计!$J$7,(H75-H74-AE75-AE74)/断面设计!$J$7),(H75-H74-AE75)/O74),(H75-H74)/O75))</f>
        <v>6.7779306641967199E-3</v>
      </c>
      <c r="Y75" s="133">
        <v>0</v>
      </c>
      <c r="Z75" s="134">
        <f t="shared" si="51"/>
        <v>0</v>
      </c>
      <c r="AA75" s="142"/>
      <c r="AB75" s="133">
        <f t="shared" si="33"/>
        <v>1.4961164896839501</v>
      </c>
      <c r="AC75" s="110">
        <f t="shared" si="34"/>
        <v>7.6067487581292642E-3</v>
      </c>
      <c r="AD75" s="110">
        <f t="shared" ca="1" si="47"/>
        <v>2388.9234302705604</v>
      </c>
      <c r="AE75" s="82">
        <f t="shared" si="48"/>
        <v>0</v>
      </c>
      <c r="AF75" s="110" t="str">
        <f t="shared" si="35"/>
        <v xml:space="preserve"> </v>
      </c>
      <c r="AG75" s="110" t="str">
        <f>IF(AE75=0," ",AF75-断面设计!$C$7)</f>
        <v xml:space="preserve"> </v>
      </c>
      <c r="AH75" s="110">
        <f t="shared" ca="1" si="36"/>
        <v>2388.9250612681585</v>
      </c>
      <c r="AI75" s="110">
        <f t="shared" ca="1" si="37"/>
        <v>2387.4289447784745</v>
      </c>
      <c r="AJ75" s="110">
        <f t="shared" ca="1" si="38"/>
        <v>2388.9226280910561</v>
      </c>
      <c r="AK75" s="110">
        <f t="shared" ca="1" si="39"/>
        <v>2387.4265116013721</v>
      </c>
      <c r="AL75" s="110">
        <f t="shared" ca="1" si="40"/>
        <v>2388.9238446796076</v>
      </c>
      <c r="AM75" s="110">
        <f t="shared" ca="1" si="41"/>
        <v>2387.4277281899235</v>
      </c>
      <c r="AN75" s="127"/>
      <c r="AO75" s="80">
        <v>0</v>
      </c>
      <c r="AU75" s="64" t="str">
        <f t="shared" ca="1" si="49"/>
        <v>4600.93824385845,2387.42772818992</v>
      </c>
      <c r="AV75" s="64" t="str">
        <f t="shared" ca="1" si="30"/>
        <v>4600.93824385845,2388.92384467961</v>
      </c>
      <c r="AW75" s="169" t="str">
        <f t="shared" si="31"/>
        <v xml:space="preserve">pl 4600.93824385845,0 4600.93824385845,76 </v>
      </c>
      <c r="AX75" s="161" t="str">
        <f t="shared" ca="1" si="27"/>
        <v>-text 4600.93824385845,48 3.5 90 2387.428</v>
      </c>
      <c r="AY75" s="161" t="str">
        <f t="shared" ca="1" si="28"/>
        <v>-text 4600.93824385845,62.5 3.5 90 2388.924</v>
      </c>
      <c r="AZ75" s="42" t="str">
        <f t="shared" si="29"/>
        <v>-text 4600.93824385845,23.5 3.5 90 马分4+600.94</v>
      </c>
    </row>
    <row r="76" spans="1:206" s="42" customFormat="1" x14ac:dyDescent="0.25">
      <c r="A76" s="80">
        <v>4</v>
      </c>
      <c r="B76" s="76" t="str">
        <f>线路!B73</f>
        <v>IP52</v>
      </c>
      <c r="C76" s="81">
        <f>线路!E73</f>
        <v>451023.33409999998</v>
      </c>
      <c r="D76" s="81">
        <f>线路!F73</f>
        <v>3044113.03</v>
      </c>
      <c r="E76" s="85">
        <f>线路!G73</f>
        <v>13</v>
      </c>
      <c r="F76" s="85">
        <f>线路!H73</f>
        <v>62.375999999999998</v>
      </c>
      <c r="G76" s="86">
        <f>线路!L73</f>
        <v>4636.0834628398698</v>
      </c>
      <c r="H76" s="86">
        <f>线路!M73</f>
        <v>4643.1597955723255</v>
      </c>
      <c r="I76" s="86">
        <f>线路!N73</f>
        <v>4650.2361283047812</v>
      </c>
      <c r="J76" s="83">
        <f t="shared" si="32"/>
        <v>14.152665464911479</v>
      </c>
      <c r="K76" s="83">
        <f t="shared" si="42"/>
        <v>42.22155171387476</v>
      </c>
      <c r="L76" s="83">
        <f>IF(A76=1,断面设计!$D$7,IF(A76=2,断面设计!$D$8,IF(A76=3,断面设计!$D$9,IF(A76=4,断面设计!$D$10,IF(A76=5,断面设计!$D$11,IF(A76=6,断面设计!$D$12,IF(A76=7,断面设计!$D$13,IF(A76=8,断面设计!$D$14,IF(A76=9,断面设计!$D$15,IF(A76=10,断面设计!$D$16))))))))))</f>
        <v>1.5</v>
      </c>
      <c r="M76" s="83">
        <f t="shared" si="43"/>
        <v>1.2</v>
      </c>
      <c r="N76" s="110">
        <f t="shared" si="50"/>
        <v>1.4999999999999999E-2</v>
      </c>
      <c r="O76" s="83">
        <f>IF(A76=1,断面设计!$J$7,IF(A76=2,断面设计!$J$8,IF(A76=3,断面设计!$J$9,IF(A76=4,断面设计!$J$10,IF(A76=5,断面设计!$J$11,IF(A76=6,断面设计!$J$12,IF(A76=7,断面设计!$J$13,IF(A76=8,断面设计!$J$14,IF(A76=9,断面设计!$J$15,IF(A76=10,断面设计!$J$16))))))))))</f>
        <v>5000</v>
      </c>
      <c r="P76" s="111">
        <f>IF(A76=1,断面设计!$K$7,IF(A76=2,断面设计!$K$8,IF(A76=3,断面设计!$K$9,IF(A76=4,断面设计!$K$10,IF(A76=5,断面设计!$K$11,IF(A76=6,断面设计!$K$12,IF(A76=7,断面设计!$K$13,IF(A76=8,断面设计!$K$14,IF(A76=9,断面设计!$K$15,IF(A76=10,断面设计!$K$16))))))))))</f>
        <v>4.0008708155654071</v>
      </c>
      <c r="Q76" s="110">
        <f>IF(A76=1,断面设计!$C$7,IF(A76=2,断面设计!$C$8,IF(A76=3,断面设计!$C$9,IF(A76=4,断面设计!$C$10,IF(A76=5,断面设计!$C$11,IF(A76=6,断面设计!$C$12,IF(A76=7,断面设计!$C$13,IF(A76=8,断面设计!$C$14,IF(A76=9,断面设计!$C$15,IF(A76=10,断面设计!$C$16))))))))))</f>
        <v>1.4961164896839501</v>
      </c>
      <c r="R76" s="83">
        <f>IF(A76=1,断面设计!$F$7,IF(A76=2,断面设计!$F$8,IF(A76=3,断面设计!$F$9,IF(A76=4,断面设计!$F$10,IF(A76=5,断面设计!$F$11,IF(A76=6,断面设计!$F$12,IF(A76=7,断面设计!$F$13,IF(A76=8,断面设计!$F$14,IF(A76=9,断面设计!$F$15,IF(A76=10,断面设计!$F$16))))))))))</f>
        <v>4.930212195370995</v>
      </c>
      <c r="S76" s="83">
        <f>IF(A76=1,断面设计!$G$7,IF(A76=2,断面设计!$G$8,IF(A76=3,断面设计!$G$9,IF(A76=4,断面设计!$G$10,IF(A76=5,断面设计!$G$11,IF(A76=6,断面设计!$G$12,IF(A76=7,断面设计!$G$13,IF(A76=8,断面设计!$G$14,IF(A76=9,断面设计!$G$15,IF(A76=10,断面设计!$G$16))))))))))</f>
        <v>6.1740173314690692</v>
      </c>
      <c r="T76" s="83">
        <f t="shared" si="44"/>
        <v>0.79854200768786654</v>
      </c>
      <c r="U76" s="83">
        <f t="shared" si="45"/>
        <v>0.81150073404991541</v>
      </c>
      <c r="V76" s="123">
        <f t="shared" si="46"/>
        <v>1.4622643877000834E-3</v>
      </c>
      <c r="W76" s="127"/>
      <c r="X76" s="110">
        <f>IF(AN76=0,IF(AN75=2,(H76-H75-AE75)/O76,(H76-H75)/O76),IF(AN76=1,IF(AN75=2,IF(AE76&lt;9,(H76-H75-AE76-AE75)/断面设计!$J$7,(H76-H75-AE76-AE75)/断面设计!$J$7),(H76-H75-AE76)/O75),(H76-H75)/O76))</f>
        <v>8.4443103427749525E-3</v>
      </c>
      <c r="Y76" s="133">
        <v>0</v>
      </c>
      <c r="Z76" s="134">
        <f t="shared" si="51"/>
        <v>0</v>
      </c>
      <c r="AA76" s="142"/>
      <c r="AB76" s="133">
        <f t="shared" si="33"/>
        <v>1.4961164896839501</v>
      </c>
      <c r="AC76" s="110">
        <f t="shared" si="34"/>
        <v>9.906574730475036E-3</v>
      </c>
      <c r="AD76" s="110">
        <f t="shared" ca="1" si="47"/>
        <v>2388.91352369583</v>
      </c>
      <c r="AE76" s="82">
        <f t="shared" si="48"/>
        <v>0</v>
      </c>
      <c r="AF76" s="110" t="str">
        <f t="shared" si="35"/>
        <v xml:space="preserve"> </v>
      </c>
      <c r="AG76" s="110" t="str">
        <f>IF(AE76=0," ",AF76-断面设计!$C$7)</f>
        <v xml:space="preserve"> </v>
      </c>
      <c r="AH76" s="110">
        <f t="shared" ca="1" si="36"/>
        <v>2388.9164012267643</v>
      </c>
      <c r="AI76" s="110">
        <f t="shared" ca="1" si="37"/>
        <v>2387.4202847370802</v>
      </c>
      <c r="AJ76" s="110">
        <f t="shared" ca="1" si="38"/>
        <v>2388.9121084292833</v>
      </c>
      <c r="AK76" s="110">
        <f t="shared" ca="1" si="39"/>
        <v>2387.4159919395993</v>
      </c>
      <c r="AL76" s="110">
        <f t="shared" ca="1" si="40"/>
        <v>2388.9142548280238</v>
      </c>
      <c r="AM76" s="110">
        <f t="shared" ca="1" si="41"/>
        <v>2387.4181383383398</v>
      </c>
      <c r="AN76" s="127"/>
      <c r="AO76" s="80">
        <v>0</v>
      </c>
      <c r="AU76" s="64" t="str">
        <f t="shared" ca="1" si="49"/>
        <v>4643.15979557233,2387.41813833834</v>
      </c>
      <c r="AV76" s="64" t="str">
        <f t="shared" ca="1" si="30"/>
        <v>4643.15979557233,2388.91425482802</v>
      </c>
      <c r="AW76" s="169" t="str">
        <f t="shared" si="31"/>
        <v xml:space="preserve">pl 4643.15979557233,0 4643.15979557233,76 </v>
      </c>
      <c r="AX76" s="161" t="str">
        <f t="shared" ca="1" si="27"/>
        <v>-text 4643.15979557233,48 3.5 90 2387.418</v>
      </c>
      <c r="AY76" s="161" t="str">
        <f t="shared" ca="1" si="28"/>
        <v>-text 4643.15979557233,62.5 3.5 90 2388.914</v>
      </c>
      <c r="AZ76" s="42" t="str">
        <f t="shared" si="29"/>
        <v>-text 4643.15979557233,23.5 3.5 90 马分4+643.16</v>
      </c>
    </row>
    <row r="77" spans="1:206" s="42" customFormat="1" x14ac:dyDescent="0.25">
      <c r="A77" s="80">
        <v>4</v>
      </c>
      <c r="B77" s="76" t="str">
        <f>线路!B74</f>
        <v>IP53</v>
      </c>
      <c r="C77" s="81">
        <f>线路!E74</f>
        <v>451044.4999</v>
      </c>
      <c r="D77" s="81">
        <f>线路!F74</f>
        <v>3044065.7387000001</v>
      </c>
      <c r="E77" s="85">
        <f>线路!G74</f>
        <v>13</v>
      </c>
      <c r="F77" s="85">
        <f>线路!H74</f>
        <v>30.152000000000001</v>
      </c>
      <c r="G77" s="86">
        <f>线路!L74</f>
        <v>4690.6766981610081</v>
      </c>
      <c r="H77" s="86">
        <f>线路!M74</f>
        <v>4694.0973340554065</v>
      </c>
      <c r="I77" s="86">
        <f>线路!N74</f>
        <v>4697.5179699498058</v>
      </c>
      <c r="J77" s="83">
        <f t="shared" si="32"/>
        <v>6.8412717887977124</v>
      </c>
      <c r="K77" s="83">
        <f t="shared" si="42"/>
        <v>50.937538483080971</v>
      </c>
      <c r="L77" s="83">
        <f>IF(A77=1,断面设计!$D$7,IF(A77=2,断面设计!$D$8,IF(A77=3,断面设计!$D$9,IF(A77=4,断面设计!$D$10,IF(A77=5,断面设计!$D$11,IF(A77=6,断面设计!$D$12,IF(A77=7,断面设计!$D$13,IF(A77=8,断面设计!$D$14,IF(A77=9,断面设计!$D$15,IF(A77=10,断面设计!$D$16))))))))))</f>
        <v>1.5</v>
      </c>
      <c r="M77" s="83">
        <f t="shared" si="43"/>
        <v>1.2</v>
      </c>
      <c r="N77" s="110">
        <f t="shared" si="50"/>
        <v>1.4999999999999999E-2</v>
      </c>
      <c r="O77" s="83">
        <f>IF(A77=1,断面设计!$J$7,IF(A77=2,断面设计!$J$8,IF(A77=3,断面设计!$J$9,IF(A77=4,断面设计!$J$10,IF(A77=5,断面设计!$J$11,IF(A77=6,断面设计!$J$12,IF(A77=7,断面设计!$J$13,IF(A77=8,断面设计!$J$14,IF(A77=9,断面设计!$J$15,IF(A77=10,断面设计!$J$16))))))))))</f>
        <v>5000</v>
      </c>
      <c r="P77" s="111">
        <f>IF(A77=1,断面设计!$K$7,IF(A77=2,断面设计!$K$8,IF(A77=3,断面设计!$K$9,IF(A77=4,断面设计!$K$10,IF(A77=5,断面设计!$K$11,IF(A77=6,断面设计!$K$12,IF(A77=7,断面设计!$K$13,IF(A77=8,断面设计!$K$14,IF(A77=9,断面设计!$K$15,IF(A77=10,断面设计!$K$16))))))))))</f>
        <v>4.0008708155654071</v>
      </c>
      <c r="Q77" s="110">
        <f>IF(A77=1,断面设计!$C$7,IF(A77=2,断面设计!$C$8,IF(A77=3,断面设计!$C$9,IF(A77=4,断面设计!$C$10,IF(A77=5,断面设计!$C$11,IF(A77=6,断面设计!$C$12,IF(A77=7,断面设计!$C$13,IF(A77=8,断面设计!$C$14,IF(A77=9,断面设计!$C$15,IF(A77=10,断面设计!$C$16))))))))))</f>
        <v>1.4961164896839501</v>
      </c>
      <c r="R77" s="83">
        <f>IF(A77=1,断面设计!$F$7,IF(A77=2,断面设计!$F$8,IF(A77=3,断面设计!$F$9,IF(A77=4,断面设计!$F$10,IF(A77=5,断面设计!$F$11,IF(A77=6,断面设计!$F$12,IF(A77=7,断面设计!$F$13,IF(A77=8,断面设计!$F$14,IF(A77=9,断面设计!$F$15,IF(A77=10,断面设计!$F$16))))))))))</f>
        <v>4.930212195370995</v>
      </c>
      <c r="S77" s="83">
        <f>IF(A77=1,断面设计!$G$7,IF(A77=2,断面设计!$G$8,IF(A77=3,断面设计!$G$9,IF(A77=4,断面设计!$G$10,IF(A77=5,断面设计!$G$11,IF(A77=6,断面设计!$G$12,IF(A77=7,断面设计!$G$13,IF(A77=8,断面设计!$G$14,IF(A77=9,断面设计!$G$15,IF(A77=10,断面设计!$G$16))))))))))</f>
        <v>6.1740173314690692</v>
      </c>
      <c r="T77" s="83">
        <f t="shared" si="44"/>
        <v>0.79854200768786654</v>
      </c>
      <c r="U77" s="83">
        <f t="shared" si="45"/>
        <v>0.81150073404991541</v>
      </c>
      <c r="V77" s="123">
        <f t="shared" si="46"/>
        <v>7.0684551458792717E-4</v>
      </c>
      <c r="W77" s="127"/>
      <c r="X77" s="110">
        <f>IF(AN77=0,IF(AN76=2,(H77-H76-AE76)/O77,(H77-H76)/O77),IF(AN77=1,IF(AN76=2,IF(AE77&lt;9,(H77-H76-AE77-AE76)/断面设计!$J$7,(H77-H76-AE77-AE76)/断面设计!$J$7),(H77-H76-AE77)/O76),(H77-H76)/O77))</f>
        <v>1.0187507696616194E-2</v>
      </c>
      <c r="Y77" s="133">
        <v>0</v>
      </c>
      <c r="Z77" s="134">
        <f t="shared" si="51"/>
        <v>0</v>
      </c>
      <c r="AA77" s="142"/>
      <c r="AB77" s="133">
        <f t="shared" si="33"/>
        <v>1.4961164896839501</v>
      </c>
      <c r="AC77" s="110">
        <f t="shared" si="34"/>
        <v>1.0894353211204121E-2</v>
      </c>
      <c r="AD77" s="110">
        <f t="shared" ca="1" si="47"/>
        <v>2388.9026293426186</v>
      </c>
      <c r="AE77" s="82">
        <f t="shared" si="48"/>
        <v>0</v>
      </c>
      <c r="AF77" s="110" t="str">
        <f t="shared" si="35"/>
        <v xml:space="preserve"> </v>
      </c>
      <c r="AG77" s="110" t="str">
        <f>IF(AE77=0," ",AF77-断面设计!$C$7)</f>
        <v xml:space="preserve"> </v>
      </c>
      <c r="AH77" s="110">
        <f t="shared" ca="1" si="36"/>
        <v>2388.9040203153122</v>
      </c>
      <c r="AI77" s="110">
        <f t="shared" ca="1" si="37"/>
        <v>2387.4079038256282</v>
      </c>
      <c r="AJ77" s="110">
        <f t="shared" ca="1" si="38"/>
        <v>2388.9019452154398</v>
      </c>
      <c r="AK77" s="110">
        <f t="shared" ca="1" si="39"/>
        <v>2387.4058287257558</v>
      </c>
      <c r="AL77" s="110">
        <f t="shared" ca="1" si="40"/>
        <v>2388.9029827653758</v>
      </c>
      <c r="AM77" s="110">
        <f t="shared" ca="1" si="41"/>
        <v>2387.4068662756918</v>
      </c>
      <c r="AN77" s="127"/>
      <c r="AO77" s="80">
        <v>0</v>
      </c>
      <c r="AU77" s="64" t="str">
        <f t="shared" ca="1" si="49"/>
        <v>4694.09733405541,2387.40686627569</v>
      </c>
      <c r="AV77" s="64" t="str">
        <f t="shared" ca="1" si="30"/>
        <v>4694.09733405541,2388.90298276538</v>
      </c>
      <c r="AW77" s="169" t="str">
        <f t="shared" si="31"/>
        <v xml:space="preserve">pl 4694.09733405541,0 4694.09733405541,76 </v>
      </c>
      <c r="AX77" s="161" t="str">
        <f t="shared" ca="1" si="27"/>
        <v>-text 4694.09733405541,48 3.5 90 2387.407</v>
      </c>
      <c r="AY77" s="161" t="str">
        <f t="shared" ca="1" si="28"/>
        <v>-text 4694.09733405541,62.5 3.5 90 2388.903</v>
      </c>
      <c r="AZ77" s="42" t="str">
        <f t="shared" si="29"/>
        <v>-text 4694.09733405541,23.5 3.5 90 马分4+694.10</v>
      </c>
    </row>
    <row r="78" spans="1:206" s="55" customFormat="1" x14ac:dyDescent="0.25">
      <c r="A78" s="92">
        <v>4</v>
      </c>
      <c r="B78" s="93" t="str">
        <f>线路!B75</f>
        <v>6#倒虹吸进</v>
      </c>
      <c r="C78" s="94">
        <f>线路!E75</f>
        <v>451036.0428</v>
      </c>
      <c r="D78" s="94">
        <f>线路!F75</f>
        <v>3043985.8155999999</v>
      </c>
      <c r="E78" s="95">
        <f>线路!G75</f>
        <v>0</v>
      </c>
      <c r="F78" s="95">
        <f>线路!H75</f>
        <v>0</v>
      </c>
      <c r="G78" s="96">
        <f>线路!L75</f>
        <v>4774.3854424054562</v>
      </c>
      <c r="H78" s="96">
        <f>线路!M75</f>
        <v>4774.3854424054562</v>
      </c>
      <c r="I78" s="96">
        <f>线路!N75</f>
        <v>4774.3854424054562</v>
      </c>
      <c r="J78" s="115">
        <f t="shared" si="32"/>
        <v>0</v>
      </c>
      <c r="K78" s="115">
        <f t="shared" si="42"/>
        <v>80.288108350049697</v>
      </c>
      <c r="L78" s="115">
        <f>IF(A78=1,断面设计!$D$7,IF(A78=2,断面设计!$D$8,IF(A78=3,断面设计!$D$9,IF(A78=4,断面设计!$D$10,IF(A78=5,断面设计!$D$11,IF(A78=6,断面设计!$D$12,IF(A78=7,断面设计!$D$13,IF(A78=8,断面设计!$D$14,IF(A78=9,断面设计!$D$15,IF(A78=10,断面设计!$D$16))))))))))</f>
        <v>1.5</v>
      </c>
      <c r="M78" s="115">
        <f t="shared" si="43"/>
        <v>1.2</v>
      </c>
      <c r="N78" s="116">
        <f t="shared" si="50"/>
        <v>1.4999999999999999E-2</v>
      </c>
      <c r="O78" s="115">
        <f>IF(A78=1,断面设计!$J$7,IF(A78=2,断面设计!$J$8,IF(A78=3,断面设计!$J$9,IF(A78=4,断面设计!$J$10,IF(A78=5,断面设计!$J$11,IF(A78=6,断面设计!$J$12,IF(A78=7,断面设计!$J$13,IF(A78=8,断面设计!$J$14,IF(A78=9,断面设计!$J$15,IF(A78=10,断面设计!$J$16))))))))))</f>
        <v>5000</v>
      </c>
      <c r="P78" s="117">
        <f>IF(A78=1,断面设计!$K$7,IF(A78=2,断面设计!$K$8,IF(A78=3,断面设计!$K$9,IF(A78=4,断面设计!$K$10,IF(A78=5,断面设计!$K$11,IF(A78=6,断面设计!$K$12,IF(A78=7,断面设计!$K$13,IF(A78=8,断面设计!$K$14,IF(A78=9,断面设计!$K$15,IF(A78=10,断面设计!$K$16))))))))))</f>
        <v>4.0008708155654071</v>
      </c>
      <c r="Q78" s="116">
        <f>IF(A78=1,断面设计!$C$7,IF(A78=2,断面设计!$C$8,IF(A78=3,断面设计!$C$9,IF(A78=4,断面设计!$C$10,IF(A78=5,断面设计!$C$11,IF(A78=6,断面设计!$C$12,IF(A78=7,断面设计!$C$13,IF(A78=8,断面设计!$C$14,IF(A78=9,断面设计!$C$15,IF(A78=10,断面设计!$C$16))))))))))</f>
        <v>1.4961164896839501</v>
      </c>
      <c r="R78" s="115">
        <f>IF(A78=1,断面设计!$F$7,IF(A78=2,断面设计!$F$8,IF(A78=3,断面设计!$F$9,IF(A78=4,断面设计!$F$10,IF(A78=5,断面设计!$F$11,IF(A78=6,断面设计!$F$12,IF(A78=7,断面设计!$F$13,IF(A78=8,断面设计!$F$14,IF(A78=9,断面设计!$F$15,IF(A78=10,断面设计!$F$16))))))))))</f>
        <v>4.930212195370995</v>
      </c>
      <c r="S78" s="115">
        <f>IF(A78=1,断面设计!$G$7,IF(A78=2,断面设计!$G$8,IF(A78=3,断面设计!$G$9,IF(A78=4,断面设计!$G$10,IF(A78=5,断面设计!$G$11,IF(A78=6,断面设计!$G$12,IF(A78=7,断面设计!$G$13,IF(A78=8,断面设计!$G$14,IF(A78=9,断面设计!$G$15,IF(A78=10,断面设计!$G$16))))))))))</f>
        <v>6.1740173314690692</v>
      </c>
      <c r="T78" s="115">
        <f t="shared" si="44"/>
        <v>0.79854200768786654</v>
      </c>
      <c r="U78" s="115">
        <f t="shared" si="45"/>
        <v>0.81150073404991541</v>
      </c>
      <c r="V78" s="125"/>
      <c r="W78" s="178"/>
      <c r="X78" s="116"/>
      <c r="Y78" s="139">
        <v>0</v>
      </c>
      <c r="Z78" s="140">
        <f t="shared" si="51"/>
        <v>0</v>
      </c>
      <c r="AA78" s="143"/>
      <c r="AB78" s="139">
        <f t="shared" si="33"/>
        <v>1.4961164896839501</v>
      </c>
      <c r="AC78" s="116">
        <f t="shared" si="34"/>
        <v>0</v>
      </c>
      <c r="AD78" s="116">
        <f t="shared" ca="1" si="47"/>
        <v>2388.9026293426186</v>
      </c>
      <c r="AE78" s="141">
        <f t="shared" si="48"/>
        <v>0</v>
      </c>
      <c r="AF78" s="116" t="str">
        <f t="shared" si="35"/>
        <v xml:space="preserve"> </v>
      </c>
      <c r="AG78" s="116" t="str">
        <f>IF(AE78=0," ",AF78-断面设计!$C$7)</f>
        <v xml:space="preserve"> </v>
      </c>
      <c r="AH78" s="116" t="str">
        <f t="shared" si="36"/>
        <v xml:space="preserve"> </v>
      </c>
      <c r="AI78" s="116" t="str">
        <f t="shared" si="37"/>
        <v xml:space="preserve"> </v>
      </c>
      <c r="AJ78" s="116" t="str">
        <f t="shared" si="38"/>
        <v xml:space="preserve"> </v>
      </c>
      <c r="AK78" s="116" t="str">
        <f t="shared" si="39"/>
        <v xml:space="preserve"> </v>
      </c>
      <c r="AL78" s="116">
        <f t="shared" ca="1" si="40"/>
        <v>2388.9026293426186</v>
      </c>
      <c r="AM78" s="116">
        <f t="shared" ca="1" si="41"/>
        <v>2387.4065128529346</v>
      </c>
      <c r="AN78" s="178"/>
      <c r="AO78" s="92">
        <v>0</v>
      </c>
      <c r="AP78" s="42"/>
      <c r="AQ78" s="42"/>
      <c r="AR78" s="42"/>
      <c r="AS78" s="42"/>
      <c r="AT78" s="42"/>
      <c r="AU78" s="64" t="str">
        <f t="shared" ca="1" si="49"/>
        <v>4774.38544240546,2387.40651285293</v>
      </c>
      <c r="AV78" s="64" t="str">
        <f t="shared" ca="1" si="30"/>
        <v>4774.38544240546,2388.90262934262</v>
      </c>
      <c r="AW78" s="169" t="str">
        <f t="shared" si="31"/>
        <v xml:space="preserve">pl 4774.38544240546,0 4774.38544240546,76 </v>
      </c>
      <c r="AX78" s="161" t="str">
        <f t="shared" ca="1" si="27"/>
        <v>-text 4774.38544240546,48 3.5 90 2387.407</v>
      </c>
      <c r="AY78" s="161" t="str">
        <f t="shared" ca="1" si="28"/>
        <v>-text 4774.38544240546,62.5 3.5 90 2388.903</v>
      </c>
      <c r="AZ78" s="42" t="str">
        <f t="shared" si="29"/>
        <v>-text 4774.38544240546,23.5 3.5 90 马分4+774.39</v>
      </c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  <c r="FI78" s="42"/>
      <c r="FJ78" s="42"/>
      <c r="FK78" s="42"/>
      <c r="FL78" s="42"/>
      <c r="FM78" s="42"/>
      <c r="FN78" s="42"/>
      <c r="FO78" s="42"/>
      <c r="FP78" s="42"/>
      <c r="FQ78" s="42"/>
      <c r="FR78" s="42"/>
      <c r="FS78" s="42"/>
      <c r="FT78" s="42"/>
      <c r="FU78" s="42"/>
      <c r="FV78" s="42"/>
      <c r="FW78" s="42"/>
      <c r="FX78" s="42"/>
      <c r="FY78" s="42"/>
      <c r="FZ78" s="42"/>
      <c r="GA78" s="42"/>
      <c r="GB78" s="42"/>
      <c r="GC78" s="42"/>
      <c r="GD78" s="42"/>
      <c r="GE78" s="42"/>
      <c r="GF78" s="42"/>
      <c r="GG78" s="42"/>
      <c r="GH78" s="42"/>
      <c r="GI78" s="42"/>
      <c r="GJ78" s="42"/>
      <c r="GK78" s="42"/>
      <c r="GL78" s="42"/>
      <c r="GM78" s="42"/>
      <c r="GN78" s="42"/>
      <c r="GO78" s="42"/>
      <c r="GP78" s="42"/>
      <c r="GQ78" s="42"/>
      <c r="GR78" s="42"/>
      <c r="GS78" s="42"/>
      <c r="GT78" s="42"/>
      <c r="GU78" s="42"/>
      <c r="GV78" s="42"/>
      <c r="GW78" s="42"/>
      <c r="GX78" s="42"/>
    </row>
    <row r="79" spans="1:206" s="55" customFormat="1" x14ac:dyDescent="0.25">
      <c r="A79" s="92">
        <v>4</v>
      </c>
      <c r="B79" s="93" t="str">
        <f>线路!B76</f>
        <v>6#倒虹吸出</v>
      </c>
      <c r="C79" s="94">
        <f>线路!E76</f>
        <v>450983.3786</v>
      </c>
      <c r="D79" s="94">
        <f>线路!F76</f>
        <v>3043488.1167000001</v>
      </c>
      <c r="E79" s="95">
        <f>线路!G76</f>
        <v>0</v>
      </c>
      <c r="F79" s="95">
        <f>线路!H76</f>
        <v>0</v>
      </c>
      <c r="G79" s="96">
        <f>线路!L76</f>
        <v>5274.8629274360792</v>
      </c>
      <c r="H79" s="96">
        <f>线路!M76</f>
        <v>5274.8629274360792</v>
      </c>
      <c r="I79" s="96">
        <f>线路!N76</f>
        <v>5274.8629274360792</v>
      </c>
      <c r="J79" s="115">
        <f t="shared" si="32"/>
        <v>0</v>
      </c>
      <c r="K79" s="115">
        <f t="shared" si="42"/>
        <v>500.47748503062303</v>
      </c>
      <c r="L79" s="115">
        <f>IF(A79=1,断面设计!$D$7,IF(A79=2,断面设计!$D$8,IF(A79=3,断面设计!$D$9,IF(A79=4,断面设计!$D$10,IF(A79=5,断面设计!$D$11,IF(A79=6,断面设计!$D$12,IF(A79=7,断面设计!$D$13,IF(A79=8,断面设计!$D$14,IF(A79=9,断面设计!$D$15,IF(A79=10,断面设计!$D$16))))))))))</f>
        <v>1.5</v>
      </c>
      <c r="M79" s="115">
        <f t="shared" si="43"/>
        <v>1.2</v>
      </c>
      <c r="N79" s="116">
        <f t="shared" si="50"/>
        <v>1.4999999999999999E-2</v>
      </c>
      <c r="O79" s="115">
        <f>IF(A79=1,断面设计!$J$7,IF(A79=2,断面设计!$J$8,IF(A79=3,断面设计!$J$9,IF(A79=4,断面设计!$J$10,IF(A79=5,断面设计!$J$11,IF(A79=6,断面设计!$J$12,IF(A79=7,断面设计!$J$13,IF(A79=8,断面设计!$J$14,IF(A79=9,断面设计!$J$15,IF(A79=10,断面设计!$J$16))))))))))</f>
        <v>5000</v>
      </c>
      <c r="P79" s="117">
        <f>IF(A79=1,断面设计!$K$7,IF(A79=2,断面设计!$K$8,IF(A79=3,断面设计!$K$9,IF(A79=4,断面设计!$K$10,IF(A79=5,断面设计!$K$11,IF(A79=6,断面设计!$K$12,IF(A79=7,断面设计!$K$13,IF(A79=8,断面设计!$K$14,IF(A79=9,断面设计!$K$15,IF(A79=10,断面设计!$K$16))))))))))</f>
        <v>4.0008708155654071</v>
      </c>
      <c r="Q79" s="116">
        <f>IF(A79=1,断面设计!$C$7,IF(A79=2,断面设计!$C$8,IF(A79=3,断面设计!$C$9,IF(A79=4,断面设计!$C$10,IF(A79=5,断面设计!$C$11,IF(A79=6,断面设计!$C$12,IF(A79=7,断面设计!$C$13,IF(A79=8,断面设计!$C$14,IF(A79=9,断面设计!$C$15,IF(A79=10,断面设计!$C$16))))))))))</f>
        <v>1.4961164896839501</v>
      </c>
      <c r="R79" s="115">
        <f>IF(A79=1,断面设计!$F$7,IF(A79=2,断面设计!$F$8,IF(A79=3,断面设计!$F$9,IF(A79=4,断面设计!$F$10,IF(A79=5,断面设计!$F$11,IF(A79=6,断面设计!$F$12,IF(A79=7,断面设计!$F$13,IF(A79=8,断面设计!$F$14,IF(A79=9,断面设计!$F$15,IF(A79=10,断面设计!$F$16))))))))))</f>
        <v>4.930212195370995</v>
      </c>
      <c r="S79" s="115">
        <f>IF(A79=1,断面设计!$G$7,IF(A79=2,断面设计!$G$8,IF(A79=3,断面设计!$G$9,IF(A79=4,断面设计!$G$10,IF(A79=5,断面设计!$G$11,IF(A79=6,断面设计!$G$12,IF(A79=7,断面设计!$G$13,IF(A79=8,断面设计!$G$14,IF(A79=9,断面设计!$G$15,IF(A79=10,断面设计!$G$16))))))))))</f>
        <v>6.1740173314690692</v>
      </c>
      <c r="T79" s="115">
        <f t="shared" si="44"/>
        <v>0.79854200768786654</v>
      </c>
      <c r="U79" s="115">
        <f t="shared" si="45"/>
        <v>0.81150073404991541</v>
      </c>
      <c r="V79" s="125"/>
      <c r="W79" s="178"/>
      <c r="X79" s="116">
        <f ca="1">倒虹管水头损失计算!D352</f>
        <v>0.63085047222617496</v>
      </c>
      <c r="Y79" s="139">
        <v>0</v>
      </c>
      <c r="Z79" s="140">
        <f t="shared" si="51"/>
        <v>0</v>
      </c>
      <c r="AA79" s="143"/>
      <c r="AB79" s="139">
        <f t="shared" si="33"/>
        <v>1.4961164896839501</v>
      </c>
      <c r="AC79" s="116">
        <f t="shared" ca="1" si="34"/>
        <v>0.63085047222617496</v>
      </c>
      <c r="AD79" s="116">
        <f t="shared" ca="1" si="47"/>
        <v>2388.2717788703926</v>
      </c>
      <c r="AE79" s="141">
        <f t="shared" si="48"/>
        <v>0</v>
      </c>
      <c r="AF79" s="116" t="str">
        <f t="shared" si="35"/>
        <v xml:space="preserve"> </v>
      </c>
      <c r="AG79" s="116" t="str">
        <f>IF(AE79=0," ",AF79-断面设计!$C$7)</f>
        <v xml:space="preserve"> </v>
      </c>
      <c r="AH79" s="116" t="str">
        <f t="shared" si="36"/>
        <v xml:space="preserve"> </v>
      </c>
      <c r="AI79" s="116" t="str">
        <f t="shared" si="37"/>
        <v xml:space="preserve"> </v>
      </c>
      <c r="AJ79" s="116" t="str">
        <f t="shared" si="38"/>
        <v xml:space="preserve"> </v>
      </c>
      <c r="AK79" s="116" t="str">
        <f t="shared" si="39"/>
        <v xml:space="preserve"> </v>
      </c>
      <c r="AL79" s="116">
        <f t="shared" ca="1" si="40"/>
        <v>2388.2717788703926</v>
      </c>
      <c r="AM79" s="116">
        <f t="shared" ca="1" si="41"/>
        <v>2386.7756623807086</v>
      </c>
      <c r="AN79" s="178"/>
      <c r="AO79" s="92">
        <v>0</v>
      </c>
      <c r="AP79" s="42"/>
      <c r="AQ79" s="42"/>
      <c r="AR79" s="42"/>
      <c r="AS79" s="42"/>
      <c r="AT79" s="42"/>
      <c r="AU79" s="64" t="str">
        <f t="shared" ca="1" si="49"/>
        <v>5274.86292743608,2386.77566238071</v>
      </c>
      <c r="AV79" s="64" t="str">
        <f t="shared" ca="1" si="30"/>
        <v>5274.86292743608,2388.27177887039</v>
      </c>
      <c r="AW79" s="169" t="str">
        <f t="shared" si="31"/>
        <v xml:space="preserve">pl 5274.86292743608,0 5274.86292743608,76 </v>
      </c>
      <c r="AX79" s="161" t="str">
        <f t="shared" ca="1" si="27"/>
        <v>-text 5274.86292743608,48 3.5 90 2386.776</v>
      </c>
      <c r="AY79" s="161" t="str">
        <f t="shared" ca="1" si="28"/>
        <v>-text 5274.86292743608,62.5 3.5 90 2388.272</v>
      </c>
      <c r="AZ79" s="42" t="str">
        <f t="shared" si="29"/>
        <v>-text 5274.86292743608,23.5 3.5 90 马分5+274.86</v>
      </c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  <c r="FI79" s="42"/>
      <c r="FJ79" s="42"/>
      <c r="FK79" s="42"/>
      <c r="FL79" s="42"/>
      <c r="FM79" s="42"/>
      <c r="FN79" s="42"/>
      <c r="FO79" s="42"/>
      <c r="FP79" s="42"/>
      <c r="FQ79" s="42"/>
      <c r="FR79" s="42"/>
      <c r="FS79" s="42"/>
      <c r="FT79" s="42"/>
      <c r="FU79" s="42"/>
      <c r="FV79" s="42"/>
      <c r="FW79" s="42"/>
      <c r="FX79" s="42"/>
      <c r="FY79" s="42"/>
      <c r="FZ79" s="42"/>
      <c r="GA79" s="42"/>
      <c r="GB79" s="42"/>
      <c r="GC79" s="42"/>
      <c r="GD79" s="42"/>
      <c r="GE79" s="42"/>
      <c r="GF79" s="42"/>
      <c r="GG79" s="42"/>
      <c r="GH79" s="42"/>
      <c r="GI79" s="42"/>
      <c r="GJ79" s="42"/>
      <c r="GK79" s="42"/>
      <c r="GL79" s="42"/>
      <c r="GM79" s="42"/>
      <c r="GN79" s="42"/>
      <c r="GO79" s="42"/>
      <c r="GP79" s="42"/>
      <c r="GQ79" s="42"/>
      <c r="GR79" s="42"/>
      <c r="GS79" s="42"/>
      <c r="GT79" s="42"/>
      <c r="GU79" s="42"/>
      <c r="GV79" s="42"/>
      <c r="GW79" s="42"/>
      <c r="GX79" s="42"/>
    </row>
    <row r="80" spans="1:206" s="42" customFormat="1" x14ac:dyDescent="0.25">
      <c r="A80" s="80">
        <v>4</v>
      </c>
      <c r="B80" s="76" t="str">
        <f>线路!B77</f>
        <v>IP54</v>
      </c>
      <c r="C80" s="81">
        <f>线路!E77</f>
        <v>450982.10879999999</v>
      </c>
      <c r="D80" s="81">
        <f>线路!F77</f>
        <v>3043476.1159999999</v>
      </c>
      <c r="E80" s="85">
        <f>线路!G77</f>
        <v>13</v>
      </c>
      <c r="F80" s="85">
        <f>线路!H77</f>
        <v>71.61</v>
      </c>
      <c r="G80" s="86">
        <f>线路!L77</f>
        <v>5277.5529991522217</v>
      </c>
      <c r="H80" s="86">
        <f>线路!M77</f>
        <v>5285.6768959550172</v>
      </c>
      <c r="I80" s="86">
        <f>线路!N77</f>
        <v>5293.8007927578128</v>
      </c>
      <c r="J80" s="83">
        <f t="shared" si="32"/>
        <v>16.247793605591141</v>
      </c>
      <c r="K80" s="83">
        <f t="shared" si="42"/>
        <v>10.813968518938054</v>
      </c>
      <c r="L80" s="83">
        <f>IF(A80=1,断面设计!$D$7,IF(A80=2,断面设计!$D$8,IF(A80=3,断面设计!$D$9,IF(A80=4,断面设计!$D$10,IF(A80=5,断面设计!$D$11,IF(A80=6,断面设计!$D$12,IF(A80=7,断面设计!$D$13,IF(A80=8,断面设计!$D$14,IF(A80=9,断面设计!$D$15,IF(A80=10,断面设计!$D$16))))))))))</f>
        <v>1.5</v>
      </c>
      <c r="M80" s="83">
        <f t="shared" si="43"/>
        <v>1.2</v>
      </c>
      <c r="N80" s="110">
        <f t="shared" si="50"/>
        <v>1.4999999999999999E-2</v>
      </c>
      <c r="O80" s="83">
        <f>IF(A80=1,断面设计!$J$7,IF(A80=2,断面设计!$J$8,IF(A80=3,断面设计!$J$9,IF(A80=4,断面设计!$J$10,IF(A80=5,断面设计!$J$11,IF(A80=6,断面设计!$J$12,IF(A80=7,断面设计!$J$13,IF(A80=8,断面设计!$J$14,IF(A80=9,断面设计!$J$15,IF(A80=10,断面设计!$J$16))))))))))</f>
        <v>5000</v>
      </c>
      <c r="P80" s="111">
        <f>IF(A80=1,断面设计!$K$7,IF(A80=2,断面设计!$K$8,IF(A80=3,断面设计!$K$9,IF(A80=4,断面设计!$K$10,IF(A80=5,断面设计!$K$11,IF(A80=6,断面设计!$K$12,IF(A80=7,断面设计!$K$13,IF(A80=8,断面设计!$K$14,IF(A80=9,断面设计!$K$15,IF(A80=10,断面设计!$K$16))))))))))</f>
        <v>4.0008708155654071</v>
      </c>
      <c r="Q80" s="110">
        <f>IF(A80=1,断面设计!$C$7,IF(A80=2,断面设计!$C$8,IF(A80=3,断面设计!$C$9,IF(A80=4,断面设计!$C$10,IF(A80=5,断面设计!$C$11,IF(A80=6,断面设计!$C$12,IF(A80=7,断面设计!$C$13,IF(A80=8,断面设计!$C$14,IF(A80=9,断面设计!$C$15,IF(A80=10,断面设计!$C$16))))))))))</f>
        <v>1.4961164896839501</v>
      </c>
      <c r="R80" s="83">
        <f>IF(A80=1,断面设计!$F$7,IF(A80=2,断面设计!$F$8,IF(A80=3,断面设计!$F$9,IF(A80=4,断面设计!$F$10,IF(A80=5,断面设计!$F$11,IF(A80=6,断面设计!$F$12,IF(A80=7,断面设计!$F$13,IF(A80=8,断面设计!$F$14,IF(A80=9,断面设计!$F$15,IF(A80=10,断面设计!$F$16))))))))))</f>
        <v>4.930212195370995</v>
      </c>
      <c r="S80" s="83">
        <f>IF(A80=1,断面设计!$G$7,IF(A80=2,断面设计!$G$8,IF(A80=3,断面设计!$G$9,IF(A80=4,断面设计!$G$10,IF(A80=5,断面设计!$G$11,IF(A80=6,断面设计!$G$12,IF(A80=7,断面设计!$G$13,IF(A80=8,断面设计!$G$14,IF(A80=9,断面设计!$G$15,IF(A80=10,断面设计!$G$16))))))))))</f>
        <v>6.1740173314690692</v>
      </c>
      <c r="T80" s="83">
        <f t="shared" si="44"/>
        <v>0.79854200768786654</v>
      </c>
      <c r="U80" s="83">
        <f t="shared" si="45"/>
        <v>0.81150073404991541</v>
      </c>
      <c r="V80" s="123">
        <f t="shared" si="46"/>
        <v>1.6787346544056578E-3</v>
      </c>
      <c r="W80" s="127"/>
      <c r="X80" s="110">
        <f>IF(AN80=0,IF(AN79=2,(H80-H79-AE79)/O80,(H80-H79)/O80),IF(AN80=1,IF(AN79=2,IF(AE80&lt;9,(H80-H79-AE80-AE79)/断面设计!$J$7,(H80-H79-AE80-AE79)/断面设计!$J$7),(H80-H79-AE80)/O79),(H80-H79)/O80))</f>
        <v>2.1627937037876107E-3</v>
      </c>
      <c r="Y80" s="133">
        <v>0</v>
      </c>
      <c r="Z80" s="134">
        <f t="shared" si="51"/>
        <v>0</v>
      </c>
      <c r="AA80" s="142"/>
      <c r="AB80" s="133">
        <f t="shared" si="33"/>
        <v>1.4961164896839501</v>
      </c>
      <c r="AC80" s="110">
        <f t="shared" si="34"/>
        <v>3.8415283581932688E-3</v>
      </c>
      <c r="AD80" s="110">
        <f t="shared" ca="1" si="47"/>
        <v>2388.2679373420342</v>
      </c>
      <c r="AE80" s="82">
        <f t="shared" si="48"/>
        <v>0</v>
      </c>
      <c r="AF80" s="110" t="str">
        <f t="shared" si="35"/>
        <v xml:space="preserve"> </v>
      </c>
      <c r="AG80" s="110" t="str">
        <f>IF(AE80=0," ",AF80-断面设计!$C$7)</f>
        <v xml:space="preserve"> </v>
      </c>
      <c r="AH80" s="110">
        <f t="shared" ca="1" si="36"/>
        <v>2388.2712408560492</v>
      </c>
      <c r="AI80" s="110">
        <f t="shared" ca="1" si="37"/>
        <v>2386.7751243663652</v>
      </c>
      <c r="AJ80" s="110">
        <f t="shared" ca="1" si="38"/>
        <v>2388.2663125626736</v>
      </c>
      <c r="AK80" s="110">
        <f t="shared" ca="1" si="39"/>
        <v>2386.7701960729896</v>
      </c>
      <c r="AL80" s="110">
        <f t="shared" ca="1" si="40"/>
        <v>2388.2687767093612</v>
      </c>
      <c r="AM80" s="110">
        <f t="shared" ca="1" si="41"/>
        <v>2386.7726602196772</v>
      </c>
      <c r="AN80" s="127"/>
      <c r="AO80" s="80">
        <v>0</v>
      </c>
      <c r="AU80" s="64" t="str">
        <f t="shared" ca="1" si="49"/>
        <v>5285.67689595502,2386.77266021968</v>
      </c>
      <c r="AV80" s="64" t="str">
        <f t="shared" ca="1" si="30"/>
        <v>5285.67689595502,2388.26877670936</v>
      </c>
      <c r="AW80" s="169" t="str">
        <f t="shared" si="31"/>
        <v xml:space="preserve">pl 5285.67689595502,0 5285.67689595502,76 </v>
      </c>
      <c r="AX80" s="161" t="str">
        <f t="shared" ca="1" si="27"/>
        <v>-text 5285.67689595502,48 3.5 90 2386.773</v>
      </c>
      <c r="AY80" s="161" t="str">
        <f t="shared" ca="1" si="28"/>
        <v>-text 5285.67689595502,62.5 3.5 90 2388.269</v>
      </c>
      <c r="AZ80" s="42" t="str">
        <f t="shared" si="29"/>
        <v>-text 5285.67689595502,23.5 3.5 90 马分5+285.68</v>
      </c>
    </row>
    <row r="81" spans="1:206" s="42" customFormat="1" x14ac:dyDescent="0.25">
      <c r="A81" s="80">
        <v>4</v>
      </c>
      <c r="B81" s="76" t="str">
        <f>线路!B78</f>
        <v>IP55</v>
      </c>
      <c r="C81" s="81">
        <f>线路!E78</f>
        <v>450897.06540000002</v>
      </c>
      <c r="D81" s="81">
        <f>线路!F78</f>
        <v>3043457.4953000001</v>
      </c>
      <c r="E81" s="85">
        <f>线路!G78</f>
        <v>13</v>
      </c>
      <c r="F81" s="85">
        <f>线路!H78</f>
        <v>71.929000000000002</v>
      </c>
      <c r="G81" s="86">
        <f>线路!L78</f>
        <v>5362.0485065364473</v>
      </c>
      <c r="H81" s="86">
        <f>线路!M78</f>
        <v>5370.2085927412827</v>
      </c>
      <c r="I81" s="86">
        <f>线路!N78</f>
        <v>5378.3686789461181</v>
      </c>
      <c r="J81" s="83">
        <f t="shared" si="32"/>
        <v>16.320172409670704</v>
      </c>
      <c r="K81" s="83">
        <f t="shared" si="42"/>
        <v>84.531696786265456</v>
      </c>
      <c r="L81" s="83">
        <f>IF(A81=1,断面设计!$D$7,IF(A81=2,断面设计!$D$8,IF(A81=3,断面设计!$D$9,IF(A81=4,断面设计!$D$10,IF(A81=5,断面设计!$D$11,IF(A81=6,断面设计!$D$12,IF(A81=7,断面设计!$D$13,IF(A81=8,断面设计!$D$14,IF(A81=9,断面设计!$D$15,IF(A81=10,断面设计!$D$16))))))))))</f>
        <v>1.5</v>
      </c>
      <c r="M81" s="83">
        <f t="shared" si="43"/>
        <v>1.2</v>
      </c>
      <c r="N81" s="110">
        <f t="shared" si="50"/>
        <v>1.4999999999999999E-2</v>
      </c>
      <c r="O81" s="83">
        <f>IF(A81=1,断面设计!$J$7,IF(A81=2,断面设计!$J$8,IF(A81=3,断面设计!$J$9,IF(A81=4,断面设计!$J$10,IF(A81=5,断面设计!$J$11,IF(A81=6,断面设计!$J$12,IF(A81=7,断面设计!$J$13,IF(A81=8,断面设计!$J$14,IF(A81=9,断面设计!$J$15,IF(A81=10,断面设计!$J$16))))))))))</f>
        <v>5000</v>
      </c>
      <c r="P81" s="111">
        <f>IF(A81=1,断面设计!$K$7,IF(A81=2,断面设计!$K$8,IF(A81=3,断面设计!$K$9,IF(A81=4,断面设计!$K$10,IF(A81=5,断面设计!$K$11,IF(A81=6,断面设计!$K$12,IF(A81=7,断面设计!$K$13,IF(A81=8,断面设计!$K$14,IF(A81=9,断面设计!$K$15,IF(A81=10,断面设计!$K$16))))))))))</f>
        <v>4.0008708155654071</v>
      </c>
      <c r="Q81" s="110">
        <f>IF(A81=1,断面设计!$C$7,IF(A81=2,断面设计!$C$8,IF(A81=3,断面设计!$C$9,IF(A81=4,断面设计!$C$10,IF(A81=5,断面设计!$C$11,IF(A81=6,断面设计!$C$12,IF(A81=7,断面设计!$C$13,IF(A81=8,断面设计!$C$14,IF(A81=9,断面设计!$C$15,IF(A81=10,断面设计!$C$16))))))))))</f>
        <v>1.4961164896839501</v>
      </c>
      <c r="R81" s="83">
        <f>IF(A81=1,断面设计!$F$7,IF(A81=2,断面设计!$F$8,IF(A81=3,断面设计!$F$9,IF(A81=4,断面设计!$F$10,IF(A81=5,断面设计!$F$11,IF(A81=6,断面设计!$F$12,IF(A81=7,断面设计!$F$13,IF(A81=8,断面设计!$F$14,IF(A81=9,断面设计!$F$15,IF(A81=10,断面设计!$F$16))))))))))</f>
        <v>4.930212195370995</v>
      </c>
      <c r="S81" s="83">
        <f>IF(A81=1,断面设计!$G$7,IF(A81=2,断面设计!$G$8,IF(A81=3,断面设计!$G$9,IF(A81=4,断面设计!$G$10,IF(A81=5,断面设计!$G$11,IF(A81=6,断面设计!$G$12,IF(A81=7,断面设计!$G$13,IF(A81=8,断面设计!$G$14,IF(A81=9,断面设计!$G$15,IF(A81=10,断面设计!$G$16))))))))))</f>
        <v>6.1740173314690692</v>
      </c>
      <c r="T81" s="83">
        <f t="shared" si="44"/>
        <v>0.79854200768786654</v>
      </c>
      <c r="U81" s="83">
        <f t="shared" si="45"/>
        <v>0.81150073404991541</v>
      </c>
      <c r="V81" s="123">
        <f t="shared" si="46"/>
        <v>1.6862128886571679E-3</v>
      </c>
      <c r="W81" s="127"/>
      <c r="X81" s="110">
        <f>IF(AN81=0,IF(AN80=2,(H81-H80-AE80)/O81,(H81-H80)/O81),IF(AN81=1,IF(AN80=2,IF(AE81&lt;9,(H81-H80-AE81-AE80)/断面设计!$J$7,(H81-H80-AE81-AE80)/断面设计!$J$7),(H81-H80-AE81)/O80),(H81-H80)/O81))</f>
        <v>1.6906339357253091E-2</v>
      </c>
      <c r="Y81" s="133">
        <v>0</v>
      </c>
      <c r="Z81" s="134">
        <f t="shared" si="51"/>
        <v>0</v>
      </c>
      <c r="AA81" s="142"/>
      <c r="AB81" s="133">
        <f t="shared" si="33"/>
        <v>1.4961164896839501</v>
      </c>
      <c r="AC81" s="110">
        <f t="shared" si="34"/>
        <v>1.8592552245910259E-2</v>
      </c>
      <c r="AD81" s="110">
        <f t="shared" ca="1" si="47"/>
        <v>2388.2493447897882</v>
      </c>
      <c r="AE81" s="82">
        <f t="shared" si="48"/>
        <v>0</v>
      </c>
      <c r="AF81" s="110" t="str">
        <f t="shared" si="35"/>
        <v xml:space="preserve"> </v>
      </c>
      <c r="AG81" s="110" t="str">
        <f>IF(AE81=0," ",AF81-断面设计!$C$7)</f>
        <v xml:space="preserve"> </v>
      </c>
      <c r="AH81" s="110">
        <f t="shared" ca="1" si="36"/>
        <v>2388.2526630199177</v>
      </c>
      <c r="AI81" s="110">
        <f t="shared" ca="1" si="37"/>
        <v>2386.7565465302337</v>
      </c>
      <c r="AJ81" s="110">
        <f t="shared" ca="1" si="38"/>
        <v>2388.2477127725474</v>
      </c>
      <c r="AK81" s="110">
        <f t="shared" ca="1" si="39"/>
        <v>2386.7515962828634</v>
      </c>
      <c r="AL81" s="110">
        <f t="shared" ca="1" si="40"/>
        <v>2388.2501878962325</v>
      </c>
      <c r="AM81" s="110">
        <f t="shared" ca="1" si="41"/>
        <v>2386.7540714065485</v>
      </c>
      <c r="AN81" s="127"/>
      <c r="AO81" s="80">
        <v>0</v>
      </c>
      <c r="AU81" s="64" t="str">
        <f t="shared" ca="1" si="49"/>
        <v>5370.20859274128,2386.75407140655</v>
      </c>
      <c r="AV81" s="64" t="str">
        <f t="shared" ca="1" si="30"/>
        <v>5370.20859274128,2388.25018789623</v>
      </c>
      <c r="AW81" s="169" t="str">
        <f t="shared" si="31"/>
        <v xml:space="preserve">pl 5370.20859274128,0 5370.20859274128,76 </v>
      </c>
      <c r="AX81" s="161" t="str">
        <f t="shared" ca="1" si="27"/>
        <v>-text 5370.20859274128,48 3.5 90 2386.754</v>
      </c>
      <c r="AY81" s="161" t="str">
        <f t="shared" ca="1" si="28"/>
        <v>-text 5370.20859274128,62.5 3.5 90 2388.250</v>
      </c>
      <c r="AZ81" s="42" t="str">
        <f t="shared" si="29"/>
        <v>-text 5370.20859274128,23.5 3.5 90 马分5+370.21</v>
      </c>
    </row>
    <row r="82" spans="1:206" s="42" customFormat="1" x14ac:dyDescent="0.25">
      <c r="A82" s="80">
        <v>4</v>
      </c>
      <c r="B82" s="76" t="str">
        <f>线路!B79</f>
        <v>IP56</v>
      </c>
      <c r="C82" s="81">
        <f>线路!E79</f>
        <v>450892.11709999997</v>
      </c>
      <c r="D82" s="81">
        <f>线路!F79</f>
        <v>3043408.1017</v>
      </c>
      <c r="E82" s="85">
        <f>线路!G79</f>
        <v>13</v>
      </c>
      <c r="F82" s="85">
        <f>线路!H79</f>
        <v>51.826999999999998</v>
      </c>
      <c r="G82" s="86">
        <f>线路!L79</f>
        <v>5412.2605244984925</v>
      </c>
      <c r="H82" s="86">
        <f>线路!M79</f>
        <v>5418.1401111427949</v>
      </c>
      <c r="I82" s="86">
        <f>线路!N79</f>
        <v>5424.0196977870964</v>
      </c>
      <c r="J82" s="83">
        <f t="shared" si="32"/>
        <v>11.759173288603961</v>
      </c>
      <c r="K82" s="83">
        <f t="shared" si="42"/>
        <v>47.931518401512221</v>
      </c>
      <c r="L82" s="83">
        <f>IF(A82=1,断面设计!$D$7,IF(A82=2,断面设计!$D$8,IF(A82=3,断面设计!$D$9,IF(A82=4,断面设计!$D$10,IF(A82=5,断面设计!$D$11,IF(A82=6,断面设计!$D$12,IF(A82=7,断面设计!$D$13,IF(A82=8,断面设计!$D$14,IF(A82=9,断面设计!$D$15,IF(A82=10,断面设计!$D$16))))))))))</f>
        <v>1.5</v>
      </c>
      <c r="M82" s="83">
        <f t="shared" si="43"/>
        <v>1.2</v>
      </c>
      <c r="N82" s="110">
        <f t="shared" si="50"/>
        <v>1.4999999999999999E-2</v>
      </c>
      <c r="O82" s="83">
        <f>IF(A82=1,断面设计!$J$7,IF(A82=2,断面设计!$J$8,IF(A82=3,断面设计!$J$9,IF(A82=4,断面设计!$J$10,IF(A82=5,断面设计!$J$11,IF(A82=6,断面设计!$J$12,IF(A82=7,断面设计!$J$13,IF(A82=8,断面设计!$J$14,IF(A82=9,断面设计!$J$15,IF(A82=10,断面设计!$J$16))))))))))</f>
        <v>5000</v>
      </c>
      <c r="P82" s="111">
        <f>IF(A82=1,断面设计!$K$7,IF(A82=2,断面设计!$K$8,IF(A82=3,断面设计!$K$9,IF(A82=4,断面设计!$K$10,IF(A82=5,断面设计!$K$11,IF(A82=6,断面设计!$K$12,IF(A82=7,断面设计!$K$13,IF(A82=8,断面设计!$K$14,IF(A82=9,断面设计!$K$15,IF(A82=10,断面设计!$K$16))))))))))</f>
        <v>4.0008708155654071</v>
      </c>
      <c r="Q82" s="110">
        <f>IF(A82=1,断面设计!$C$7,IF(A82=2,断面设计!$C$8,IF(A82=3,断面设计!$C$9,IF(A82=4,断面设计!$C$10,IF(A82=5,断面设计!$C$11,IF(A82=6,断面设计!$C$12,IF(A82=7,断面设计!$C$13,IF(A82=8,断面设计!$C$14,IF(A82=9,断面设计!$C$15,IF(A82=10,断面设计!$C$16))))))))))</f>
        <v>1.4961164896839501</v>
      </c>
      <c r="R82" s="83">
        <f>IF(A82=1,断面设计!$F$7,IF(A82=2,断面设计!$F$8,IF(A82=3,断面设计!$F$9,IF(A82=4,断面设计!$F$10,IF(A82=5,断面设计!$F$11,IF(A82=6,断面设计!$F$12,IF(A82=7,断面设计!$F$13,IF(A82=8,断面设计!$F$14,IF(A82=9,断面设计!$F$15,IF(A82=10,断面设计!$F$16))))))))))</f>
        <v>4.930212195370995</v>
      </c>
      <c r="S82" s="83">
        <f>IF(A82=1,断面设计!$G$7,IF(A82=2,断面设计!$G$8,IF(A82=3,断面设计!$G$9,IF(A82=4,断面设计!$G$10,IF(A82=5,断面设计!$G$11,IF(A82=6,断面设计!$G$12,IF(A82=7,断面设计!$G$13,IF(A82=8,断面设计!$G$14,IF(A82=9,断面设计!$G$15,IF(A82=10,断面设计!$G$16))))))))))</f>
        <v>6.1740173314690692</v>
      </c>
      <c r="T82" s="83">
        <f t="shared" si="44"/>
        <v>0.79854200768786654</v>
      </c>
      <c r="U82" s="83">
        <f t="shared" si="45"/>
        <v>0.81150073404991541</v>
      </c>
      <c r="V82" s="123">
        <f t="shared" si="46"/>
        <v>1.2149669171048409E-3</v>
      </c>
      <c r="W82" s="127"/>
      <c r="X82" s="110">
        <f>IF(AN82=0,IF(AN81=2,(H82-H81-AE81)/O82,(H82-H81)/O82),IF(AN82=1,IF(AN81=2,IF(AE82&lt;9,(H82-H81-AE82-AE81)/断面设计!$J$7,(H82-H81-AE82-AE81)/断面设计!$J$7),(H82-H81-AE82)/O81),(H82-H81)/O82))</f>
        <v>9.5863036803024437E-3</v>
      </c>
      <c r="Y82" s="133">
        <v>0</v>
      </c>
      <c r="Z82" s="134">
        <f t="shared" si="51"/>
        <v>0</v>
      </c>
      <c r="AA82" s="142"/>
      <c r="AB82" s="133">
        <f t="shared" si="33"/>
        <v>1.4961164896839501</v>
      </c>
      <c r="AC82" s="110">
        <f t="shared" si="34"/>
        <v>1.0801270597407285E-2</v>
      </c>
      <c r="AD82" s="110">
        <f t="shared" ca="1" si="47"/>
        <v>2388.2385435191909</v>
      </c>
      <c r="AE82" s="82">
        <f t="shared" si="48"/>
        <v>0</v>
      </c>
      <c r="AF82" s="110" t="str">
        <f t="shared" si="35"/>
        <v xml:space="preserve"> </v>
      </c>
      <c r="AG82" s="110" t="str">
        <f>IF(AE82=0," ",AF82-断面设计!$C$7)</f>
        <v xml:space="preserve"> </v>
      </c>
      <c r="AH82" s="110">
        <f t="shared" ca="1" si="36"/>
        <v>2388.2409344034368</v>
      </c>
      <c r="AI82" s="110">
        <f t="shared" ca="1" si="37"/>
        <v>2386.7448179137527</v>
      </c>
      <c r="AJ82" s="110">
        <f t="shared" ca="1" si="38"/>
        <v>2388.2373676018619</v>
      </c>
      <c r="AK82" s="110">
        <f t="shared" ca="1" si="39"/>
        <v>2386.7412511121779</v>
      </c>
      <c r="AL82" s="110">
        <f t="shared" ca="1" si="40"/>
        <v>2388.2391510026496</v>
      </c>
      <c r="AM82" s="110">
        <f t="shared" ca="1" si="41"/>
        <v>2386.7430345129656</v>
      </c>
      <c r="AN82" s="127"/>
      <c r="AO82" s="80">
        <v>0</v>
      </c>
      <c r="AU82" s="64" t="str">
        <f t="shared" ca="1" si="49"/>
        <v>5418.14011114279,2386.74303451297</v>
      </c>
      <c r="AV82" s="64" t="str">
        <f t="shared" ca="1" si="30"/>
        <v>5418.14011114279,2388.23915100265</v>
      </c>
      <c r="AW82" s="169" t="str">
        <f t="shared" si="31"/>
        <v xml:space="preserve">pl 5418.14011114279,0 5418.14011114279,76 </v>
      </c>
      <c r="AX82" s="161" t="str">
        <f t="shared" ca="1" si="27"/>
        <v>-text 5418.14011114279,48 3.5 90 2386.743</v>
      </c>
      <c r="AY82" s="161" t="str">
        <f t="shared" ca="1" si="28"/>
        <v>-text 5418.14011114279,62.5 3.5 90 2388.239</v>
      </c>
      <c r="AZ82" s="42" t="str">
        <f t="shared" si="29"/>
        <v>-text 5418.14011114279,23.5 3.5 90 马分5+418.14</v>
      </c>
    </row>
    <row r="83" spans="1:206" s="42" customFormat="1" x14ac:dyDescent="0.25">
      <c r="A83" s="80">
        <v>4</v>
      </c>
      <c r="B83" s="76" t="str">
        <f>线路!B80</f>
        <v>IP57</v>
      </c>
      <c r="C83" s="81">
        <f>线路!E80</f>
        <v>450931.35820000002</v>
      </c>
      <c r="D83" s="81">
        <f>线路!F80</f>
        <v>3043370.3476</v>
      </c>
      <c r="E83" s="85">
        <f>线路!G80</f>
        <v>13</v>
      </c>
      <c r="F83" s="85">
        <f>线路!H80</f>
        <v>57.619</v>
      </c>
      <c r="G83" s="86">
        <f>线路!L80</f>
        <v>5465.0078141195509</v>
      </c>
      <c r="H83" s="86">
        <f>线路!M80</f>
        <v>5471.5444823206435</v>
      </c>
      <c r="I83" s="86">
        <f>线路!N80</f>
        <v>5478.0811505217371</v>
      </c>
      <c r="J83" s="83">
        <f t="shared" si="32"/>
        <v>13.073336402186214</v>
      </c>
      <c r="K83" s="83">
        <f t="shared" si="42"/>
        <v>53.404371177848589</v>
      </c>
      <c r="L83" s="83">
        <f>IF(A83=1,断面设计!$D$7,IF(A83=2,断面设计!$D$8,IF(A83=3,断面设计!$D$9,IF(A83=4,断面设计!$D$10,IF(A83=5,断面设计!$D$11,IF(A83=6,断面设计!$D$12,IF(A83=7,断面设计!$D$13,IF(A83=8,断面设计!$D$14,IF(A83=9,断面设计!$D$15,IF(A83=10,断面设计!$D$16))))))))))</f>
        <v>1.5</v>
      </c>
      <c r="M83" s="83">
        <f t="shared" si="43"/>
        <v>1.2</v>
      </c>
      <c r="N83" s="110">
        <f t="shared" si="50"/>
        <v>1.4999999999999999E-2</v>
      </c>
      <c r="O83" s="83">
        <f>IF(A83=1,断面设计!$J$7,IF(A83=2,断面设计!$J$8,IF(A83=3,断面设计!$J$9,IF(A83=4,断面设计!$J$10,IF(A83=5,断面设计!$J$11,IF(A83=6,断面设计!$J$12,IF(A83=7,断面设计!$J$13,IF(A83=8,断面设计!$J$14,IF(A83=9,断面设计!$J$15,IF(A83=10,断面设计!$J$16))))))))))</f>
        <v>5000</v>
      </c>
      <c r="P83" s="111">
        <f>IF(A83=1,断面设计!$K$7,IF(A83=2,断面设计!$K$8,IF(A83=3,断面设计!$K$9,IF(A83=4,断面设计!$K$10,IF(A83=5,断面设计!$K$11,IF(A83=6,断面设计!$K$12,IF(A83=7,断面设计!$K$13,IF(A83=8,断面设计!$K$14,IF(A83=9,断面设计!$K$15,IF(A83=10,断面设计!$K$16))))))))))</f>
        <v>4.0008708155654071</v>
      </c>
      <c r="Q83" s="110">
        <f>IF(A83=1,断面设计!$C$7,IF(A83=2,断面设计!$C$8,IF(A83=3,断面设计!$C$9,IF(A83=4,断面设计!$C$10,IF(A83=5,断面设计!$C$11,IF(A83=6,断面设计!$C$12,IF(A83=7,断面设计!$C$13,IF(A83=8,断面设计!$C$14,IF(A83=9,断面设计!$C$15,IF(A83=10,断面设计!$C$16))))))))))</f>
        <v>1.4961164896839501</v>
      </c>
      <c r="R83" s="83">
        <f>IF(A83=1,断面设计!$F$7,IF(A83=2,断面设计!$F$8,IF(A83=3,断面设计!$F$9,IF(A83=4,断面设计!$F$10,IF(A83=5,断面设计!$F$11,IF(A83=6,断面设计!$F$12,IF(A83=7,断面设计!$F$13,IF(A83=8,断面设计!$F$14,IF(A83=9,断面设计!$F$15,IF(A83=10,断面设计!$F$16))))))))))</f>
        <v>4.930212195370995</v>
      </c>
      <c r="S83" s="83">
        <f>IF(A83=1,断面设计!$G$7,IF(A83=2,断面设计!$G$8,IF(A83=3,断面设计!$G$9,IF(A83=4,断面设计!$G$10,IF(A83=5,断面设计!$G$11,IF(A83=6,断面设计!$G$12,IF(A83=7,断面设计!$G$13,IF(A83=8,断面设计!$G$14,IF(A83=9,断面设计!$G$15,IF(A83=10,断面设计!$G$16))))))))))</f>
        <v>6.1740173314690692</v>
      </c>
      <c r="T83" s="83">
        <f t="shared" si="44"/>
        <v>0.79854200768786654</v>
      </c>
      <c r="U83" s="83">
        <f t="shared" si="45"/>
        <v>0.81150073404991541</v>
      </c>
      <c r="V83" s="123">
        <f t="shared" si="46"/>
        <v>1.350747270663308E-3</v>
      </c>
      <c r="W83" s="127"/>
      <c r="X83" s="110">
        <f>IF(AN83=0,IF(AN82=2,(H83-H82-AE82)/O83,(H83-H82)/O83),IF(AN83=1,IF(AN82=2,IF(AE83&lt;9,(H83-H82-AE83-AE82)/断面设计!$J$7,(H83-H82-AE83-AE82)/断面设计!$J$7),(H83-H82-AE83)/O82),(H83-H82)/O83))</f>
        <v>1.0680874235569718E-2</v>
      </c>
      <c r="Y83" s="133">
        <v>0</v>
      </c>
      <c r="Z83" s="134">
        <f t="shared" si="51"/>
        <v>0</v>
      </c>
      <c r="AA83" s="142"/>
      <c r="AB83" s="133">
        <f t="shared" si="33"/>
        <v>1.4961164896839501</v>
      </c>
      <c r="AC83" s="110">
        <f t="shared" si="34"/>
        <v>1.2031621506233027E-2</v>
      </c>
      <c r="AD83" s="110">
        <f t="shared" ca="1" si="47"/>
        <v>2388.2265118976848</v>
      </c>
      <c r="AE83" s="82">
        <f t="shared" si="48"/>
        <v>0</v>
      </c>
      <c r="AF83" s="110" t="str">
        <f t="shared" si="35"/>
        <v xml:space="preserve"> </v>
      </c>
      <c r="AG83" s="110" t="str">
        <f>IF(AE83=0," ",AF83-断面设计!$C$7)</f>
        <v xml:space="preserve"> </v>
      </c>
      <c r="AH83" s="110">
        <f t="shared" ca="1" si="36"/>
        <v>2388.229169978596</v>
      </c>
      <c r="AI83" s="110">
        <f t="shared" ca="1" si="37"/>
        <v>2386.733053488912</v>
      </c>
      <c r="AJ83" s="110">
        <f t="shared" ca="1" si="38"/>
        <v>2388.2252045640444</v>
      </c>
      <c r="AK83" s="110">
        <f t="shared" ca="1" si="39"/>
        <v>2386.7290880743603</v>
      </c>
      <c r="AL83" s="110">
        <f t="shared" ca="1" si="40"/>
        <v>2388.22718727132</v>
      </c>
      <c r="AM83" s="110">
        <f t="shared" ca="1" si="41"/>
        <v>2386.7310707816359</v>
      </c>
      <c r="AN83" s="127"/>
      <c r="AO83" s="80">
        <v>0</v>
      </c>
      <c r="AU83" s="64" t="str">
        <f t="shared" ca="1" si="49"/>
        <v>5471.54448232064,2386.73107078164</v>
      </c>
      <c r="AV83" s="64" t="str">
        <f t="shared" ca="1" si="30"/>
        <v>5471.54448232064,2388.22718727132</v>
      </c>
      <c r="AW83" s="169" t="str">
        <f t="shared" si="31"/>
        <v xml:space="preserve">pl 5471.54448232064,0 5471.54448232064,76 </v>
      </c>
      <c r="AX83" s="161" t="str">
        <f t="shared" ca="1" si="27"/>
        <v>-text 5471.54448232064,48 3.5 90 2386.731</v>
      </c>
      <c r="AY83" s="161" t="str">
        <f t="shared" ca="1" si="28"/>
        <v>-text 5471.54448232064,62.5 3.5 90 2388.227</v>
      </c>
      <c r="AZ83" s="42" t="str">
        <f t="shared" si="29"/>
        <v>-text 5471.54448232064,23.5 3.5 90 马分5+471.54</v>
      </c>
    </row>
    <row r="84" spans="1:206" s="42" customFormat="1" x14ac:dyDescent="0.25">
      <c r="A84" s="80">
        <v>4</v>
      </c>
      <c r="B84" s="76" t="str">
        <f>线路!B81</f>
        <v>IP58</v>
      </c>
      <c r="C84" s="81">
        <f>线路!E81</f>
        <v>450919.56420000002</v>
      </c>
      <c r="D84" s="81">
        <f>线路!F81</f>
        <v>3043312.4408999998</v>
      </c>
      <c r="E84" s="85">
        <f>线路!G81</f>
        <v>13</v>
      </c>
      <c r="F84" s="85">
        <f>线路!H81</f>
        <v>43.857999999999997</v>
      </c>
      <c r="G84" s="86">
        <f>线路!L81</f>
        <v>5524.7934742232219</v>
      </c>
      <c r="H84" s="86">
        <f>线路!M81</f>
        <v>5529.7690064949302</v>
      </c>
      <c r="I84" s="86">
        <f>线路!N81</f>
        <v>5534.7445387666376</v>
      </c>
      <c r="J84" s="83">
        <f t="shared" si="32"/>
        <v>9.9510645434156686</v>
      </c>
      <c r="K84" s="83">
        <f t="shared" si="42"/>
        <v>58.224524174286671</v>
      </c>
      <c r="L84" s="83">
        <f>IF(A84=1,断面设计!$D$7,IF(A84=2,断面设计!$D$8,IF(A84=3,断面设计!$D$9,IF(A84=4,断面设计!$D$10,IF(A84=5,断面设计!$D$11,IF(A84=6,断面设计!$D$12,IF(A84=7,断面设计!$D$13,IF(A84=8,断面设计!$D$14,IF(A84=9,断面设计!$D$15,IF(A84=10,断面设计!$D$16))))))))))</f>
        <v>1.5</v>
      </c>
      <c r="M84" s="83">
        <f t="shared" si="43"/>
        <v>1.2</v>
      </c>
      <c r="N84" s="110">
        <f t="shared" si="50"/>
        <v>1.4999999999999999E-2</v>
      </c>
      <c r="O84" s="83">
        <f>IF(A84=1,断面设计!$J$7,IF(A84=2,断面设计!$J$8,IF(A84=3,断面设计!$J$9,IF(A84=4,断面设计!$J$10,IF(A84=5,断面设计!$J$11,IF(A84=6,断面设计!$J$12,IF(A84=7,断面设计!$J$13,IF(A84=8,断面设计!$J$14,IF(A84=9,断面设计!$J$15,IF(A84=10,断面设计!$J$16))))))))))</f>
        <v>5000</v>
      </c>
      <c r="P84" s="111">
        <f>IF(A84=1,断面设计!$K$7,IF(A84=2,断面设计!$K$8,IF(A84=3,断面设计!$K$9,IF(A84=4,断面设计!$K$10,IF(A84=5,断面设计!$K$11,IF(A84=6,断面设计!$K$12,IF(A84=7,断面设计!$K$13,IF(A84=8,断面设计!$K$14,IF(A84=9,断面设计!$K$15,IF(A84=10,断面设计!$K$16))))))))))</f>
        <v>4.0008708155654071</v>
      </c>
      <c r="Q84" s="110">
        <f>IF(A84=1,断面设计!$C$7,IF(A84=2,断面设计!$C$8,IF(A84=3,断面设计!$C$9,IF(A84=4,断面设计!$C$10,IF(A84=5,断面设计!$C$11,IF(A84=6,断面设计!$C$12,IF(A84=7,断面设计!$C$13,IF(A84=8,断面设计!$C$14,IF(A84=9,断面设计!$C$15,IF(A84=10,断面设计!$C$16))))))))))</f>
        <v>1.4961164896839501</v>
      </c>
      <c r="R84" s="83">
        <f>IF(A84=1,断面设计!$F$7,IF(A84=2,断面设计!$F$8,IF(A84=3,断面设计!$F$9,IF(A84=4,断面设计!$F$10,IF(A84=5,断面设计!$F$11,IF(A84=6,断面设计!$F$12,IF(A84=7,断面设计!$F$13,IF(A84=8,断面设计!$F$14,IF(A84=9,断面设计!$F$15,IF(A84=10,断面设计!$F$16))))))))))</f>
        <v>4.930212195370995</v>
      </c>
      <c r="S84" s="83">
        <f>IF(A84=1,断面设计!$G$7,IF(A84=2,断面设计!$G$8,IF(A84=3,断面设计!$G$9,IF(A84=4,断面设计!$G$10,IF(A84=5,断面设计!$G$11,IF(A84=6,断面设计!$G$12,IF(A84=7,断面设计!$G$13,IF(A84=8,断面设计!$G$14,IF(A84=9,断面设计!$G$15,IF(A84=10,断面设计!$G$16))))))))))</f>
        <v>6.1740173314690692</v>
      </c>
      <c r="T84" s="83">
        <f t="shared" si="44"/>
        <v>0.79854200768786654</v>
      </c>
      <c r="U84" s="83">
        <f t="shared" si="45"/>
        <v>0.81150073404991541</v>
      </c>
      <c r="V84" s="123">
        <f t="shared" si="46"/>
        <v>1.0281517172590596E-3</v>
      </c>
      <c r="W84" s="127"/>
      <c r="X84" s="110">
        <f>IF(AN84=0,IF(AN83=2,(H84-H83-AE83)/O84,(H84-H83)/O84),IF(AN84=1,IF(AN83=2,IF(AE84&lt;9,(H84-H83-AE84-AE83)/断面设计!$J$7,(H84-H83-AE84-AE83)/断面设计!$J$7),(H84-H83-AE84)/O83),(H84-H83)/O84))</f>
        <v>1.1644904834857334E-2</v>
      </c>
      <c r="Y84" s="133">
        <v>0</v>
      </c>
      <c r="Z84" s="134">
        <f t="shared" si="51"/>
        <v>0</v>
      </c>
      <c r="AA84" s="142"/>
      <c r="AB84" s="133">
        <f t="shared" si="33"/>
        <v>1.4961164896839501</v>
      </c>
      <c r="AC84" s="110">
        <f t="shared" si="34"/>
        <v>1.2673056552116393E-2</v>
      </c>
      <c r="AD84" s="110">
        <f t="shared" ca="1" si="47"/>
        <v>2388.2138388411327</v>
      </c>
      <c r="AE84" s="82">
        <f t="shared" si="48"/>
        <v>0</v>
      </c>
      <c r="AF84" s="110" t="str">
        <f t="shared" si="35"/>
        <v xml:space="preserve"> </v>
      </c>
      <c r="AG84" s="110" t="str">
        <f>IF(AE84=0," ",AF84-断面设计!$C$7)</f>
        <v xml:space="preserve"> </v>
      </c>
      <c r="AH84" s="110">
        <f t="shared" ca="1" si="36"/>
        <v>2388.2158620993041</v>
      </c>
      <c r="AI84" s="110">
        <f t="shared" ca="1" si="37"/>
        <v>2386.7197456096201</v>
      </c>
      <c r="AJ84" s="110">
        <f t="shared" ca="1" si="38"/>
        <v>2388.2128437346782</v>
      </c>
      <c r="AK84" s="110">
        <f t="shared" ca="1" si="39"/>
        <v>2386.7167272449942</v>
      </c>
      <c r="AL84" s="110">
        <f t="shared" ca="1" si="40"/>
        <v>2388.2143529169912</v>
      </c>
      <c r="AM84" s="110">
        <f t="shared" ca="1" si="41"/>
        <v>2386.7182364273071</v>
      </c>
      <c r="AN84" s="127"/>
      <c r="AO84" s="80">
        <v>0</v>
      </c>
      <c r="AU84" s="64" t="str">
        <f t="shared" ca="1" si="49"/>
        <v>5529.76900649493,2386.71823642731</v>
      </c>
      <c r="AV84" s="64" t="str">
        <f t="shared" ca="1" si="30"/>
        <v>5529.76900649493,2388.21435291699</v>
      </c>
      <c r="AW84" s="169" t="str">
        <f t="shared" si="31"/>
        <v xml:space="preserve">pl 5529.76900649493,0 5529.76900649493,76 </v>
      </c>
      <c r="AX84" s="161" t="str">
        <f t="shared" ca="1" si="27"/>
        <v>-text 5529.76900649493,48 3.5 90 2386.718</v>
      </c>
      <c r="AY84" s="161" t="str">
        <f t="shared" ca="1" si="28"/>
        <v>-text 5529.76900649493,62.5 3.5 90 2388.214</v>
      </c>
      <c r="AZ84" s="42" t="str">
        <f t="shared" si="29"/>
        <v>-text 5529.76900649493,23.5 3.5 90 马分5+529.77</v>
      </c>
    </row>
    <row r="85" spans="1:206" s="42" customFormat="1" x14ac:dyDescent="0.25">
      <c r="A85" s="80">
        <v>4</v>
      </c>
      <c r="B85" s="76" t="str">
        <f>线路!B82</f>
        <v>IP59</v>
      </c>
      <c r="C85" s="81">
        <f>线路!E82</f>
        <v>450864.5404</v>
      </c>
      <c r="D85" s="81">
        <f>线路!F82</f>
        <v>3043274.4396000002</v>
      </c>
      <c r="E85" s="85">
        <f>线路!G82</f>
        <v>13</v>
      </c>
      <c r="F85" s="85">
        <f>线路!H82</f>
        <v>33.929000000000002</v>
      </c>
      <c r="G85" s="86">
        <f>线路!L82</f>
        <v>5592.4161353118616</v>
      </c>
      <c r="H85" s="86">
        <f>线路!M82</f>
        <v>5596.2652582642713</v>
      </c>
      <c r="I85" s="86">
        <f>线路!N82</f>
        <v>5600.1143812166802</v>
      </c>
      <c r="J85" s="83">
        <f t="shared" si="32"/>
        <v>7.6982459048185774</v>
      </c>
      <c r="K85" s="83">
        <f t="shared" si="42"/>
        <v>66.496251769341143</v>
      </c>
      <c r="L85" s="83">
        <f>IF(A85=1,断面设计!$D$7,IF(A85=2,断面设计!$D$8,IF(A85=3,断面设计!$D$9,IF(A85=4,断面设计!$D$10,IF(A85=5,断面设计!$D$11,IF(A85=6,断面设计!$D$12,IF(A85=7,断面设计!$D$13,IF(A85=8,断面设计!$D$14,IF(A85=9,断面设计!$D$15,IF(A85=10,断面设计!$D$16))))))))))</f>
        <v>1.5</v>
      </c>
      <c r="M85" s="83">
        <f t="shared" si="43"/>
        <v>1.2</v>
      </c>
      <c r="N85" s="110">
        <f t="shared" si="50"/>
        <v>1.4999999999999999E-2</v>
      </c>
      <c r="O85" s="83">
        <f>IF(A85=1,断面设计!$J$7,IF(A85=2,断面设计!$J$8,IF(A85=3,断面设计!$J$9,IF(A85=4,断面设计!$J$10,IF(A85=5,断面设计!$J$11,IF(A85=6,断面设计!$J$12,IF(A85=7,断面设计!$J$13,IF(A85=8,断面设计!$J$14,IF(A85=9,断面设计!$J$15,IF(A85=10,断面设计!$J$16))))))))))</f>
        <v>5000</v>
      </c>
      <c r="P85" s="111">
        <f>IF(A85=1,断面设计!$K$7,IF(A85=2,断面设计!$K$8,IF(A85=3,断面设计!$K$9,IF(A85=4,断面设计!$K$10,IF(A85=5,断面设计!$K$11,IF(A85=6,断面设计!$K$12,IF(A85=7,断面设计!$K$13,IF(A85=8,断面设计!$K$14,IF(A85=9,断面设计!$K$15,IF(A85=10,断面设计!$K$16))))))))))</f>
        <v>4.0008708155654071</v>
      </c>
      <c r="Q85" s="110">
        <f>IF(A85=1,断面设计!$C$7,IF(A85=2,断面设计!$C$8,IF(A85=3,断面设计!$C$9,IF(A85=4,断面设计!$C$10,IF(A85=5,断面设计!$C$11,IF(A85=6,断面设计!$C$12,IF(A85=7,断面设计!$C$13,IF(A85=8,断面设计!$C$14,IF(A85=9,断面设计!$C$15,IF(A85=10,断面设计!$C$16))))))))))</f>
        <v>1.4961164896839501</v>
      </c>
      <c r="R85" s="83">
        <f>IF(A85=1,断面设计!$F$7,IF(A85=2,断面设计!$F$8,IF(A85=3,断面设计!$F$9,IF(A85=4,断面设计!$F$10,IF(A85=5,断面设计!$F$11,IF(A85=6,断面设计!$F$12,IF(A85=7,断面设计!$F$13,IF(A85=8,断面设计!$F$14,IF(A85=9,断面设计!$F$15,IF(A85=10,断面设计!$F$16))))))))))</f>
        <v>4.930212195370995</v>
      </c>
      <c r="S85" s="83">
        <f>IF(A85=1,断面设计!$G$7,IF(A85=2,断面设计!$G$8,IF(A85=3,断面设计!$G$9,IF(A85=4,断面设计!$G$10,IF(A85=5,断面设计!$G$11,IF(A85=6,断面设计!$G$12,IF(A85=7,断面设计!$G$13,IF(A85=8,断面设计!$G$14,IF(A85=9,断面设计!$G$15,IF(A85=10,断面设计!$G$16))))))))))</f>
        <v>6.1740173314690692</v>
      </c>
      <c r="T85" s="83">
        <f t="shared" si="44"/>
        <v>0.79854200768786654</v>
      </c>
      <c r="U85" s="83">
        <f t="shared" si="45"/>
        <v>0.81150073404991541</v>
      </c>
      <c r="V85" s="123">
        <f t="shared" si="46"/>
        <v>7.953887458361273E-4</v>
      </c>
      <c r="W85" s="127"/>
      <c r="X85" s="110">
        <f>IF(AN85=0,IF(AN84=2,(H85-H84-AE84)/O85,(H85-H84)/O85),IF(AN85=1,IF(AN84=2,IF(AE85&lt;9,(H85-H84-AE85-AE84)/断面设计!$J$7,(H85-H84-AE85-AE84)/断面设计!$J$7),(H85-H84-AE85)/O84),(H85-H84)/O85))</f>
        <v>1.3299250353868228E-2</v>
      </c>
      <c r="Y85" s="133">
        <v>0</v>
      </c>
      <c r="Z85" s="134">
        <f t="shared" si="51"/>
        <v>0</v>
      </c>
      <c r="AA85" s="142"/>
      <c r="AB85" s="133">
        <f t="shared" si="33"/>
        <v>1.4961164896839501</v>
      </c>
      <c r="AC85" s="110">
        <f t="shared" si="34"/>
        <v>1.4094639099704355E-2</v>
      </c>
      <c r="AD85" s="110">
        <f t="shared" ca="1" si="47"/>
        <v>2388.1997442020329</v>
      </c>
      <c r="AE85" s="82">
        <f t="shared" si="48"/>
        <v>0</v>
      </c>
      <c r="AF85" s="110" t="str">
        <f t="shared" si="35"/>
        <v xml:space="preserve"> </v>
      </c>
      <c r="AG85" s="110" t="str">
        <f>IF(AE85=0," ",AF85-断面设计!$C$7)</f>
        <v xml:space="preserve"> </v>
      </c>
      <c r="AH85" s="110">
        <f t="shared" ca="1" si="36"/>
        <v>2388.201309415369</v>
      </c>
      <c r="AI85" s="110">
        <f t="shared" ca="1" si="37"/>
        <v>2386.705192925685</v>
      </c>
      <c r="AJ85" s="110">
        <f t="shared" ca="1" si="38"/>
        <v>2388.1989743774425</v>
      </c>
      <c r="AK85" s="110">
        <f t="shared" ca="1" si="39"/>
        <v>2386.7028578877585</v>
      </c>
      <c r="AL85" s="110">
        <f t="shared" ca="1" si="40"/>
        <v>2388.200141896406</v>
      </c>
      <c r="AM85" s="110">
        <f t="shared" ca="1" si="41"/>
        <v>2386.7040254067219</v>
      </c>
      <c r="AN85" s="127"/>
      <c r="AO85" s="80">
        <v>0</v>
      </c>
      <c r="AU85" s="64" t="str">
        <f t="shared" ca="1" si="49"/>
        <v>5596.26525826427,2386.70402540672</v>
      </c>
      <c r="AV85" s="64" t="str">
        <f t="shared" ca="1" si="30"/>
        <v>5596.26525826427,2388.20014189641</v>
      </c>
      <c r="AW85" s="169" t="str">
        <f t="shared" si="31"/>
        <v xml:space="preserve">pl 5596.26525826427,0 5596.26525826427,76 </v>
      </c>
      <c r="AX85" s="161" t="str">
        <f t="shared" ca="1" si="27"/>
        <v>-text 5596.26525826427,48 3.5 90 2386.704</v>
      </c>
      <c r="AY85" s="161" t="str">
        <f t="shared" ca="1" si="28"/>
        <v>-text 5596.26525826427,62.5 3.5 90 2388.200</v>
      </c>
      <c r="AZ85" s="42" t="str">
        <f t="shared" si="29"/>
        <v>-text 5596.26525826427,23.5 3.5 90 马分5+596.27</v>
      </c>
    </row>
    <row r="86" spans="1:206" s="42" customFormat="1" x14ac:dyDescent="0.25">
      <c r="A86" s="80">
        <v>4</v>
      </c>
      <c r="B86" s="76" t="str">
        <f>线路!B83</f>
        <v>IP60</v>
      </c>
      <c r="C86" s="81">
        <f>线路!E83</f>
        <v>450826.34240000002</v>
      </c>
      <c r="D86" s="81">
        <f>线路!F83</f>
        <v>3043177.1752999998</v>
      </c>
      <c r="E86" s="85">
        <f>线路!G83</f>
        <v>13</v>
      </c>
      <c r="F86" s="85">
        <f>线路!H83</f>
        <v>40.753999999999998</v>
      </c>
      <c r="G86" s="86">
        <f>线路!L83</f>
        <v>5695.8160535171173</v>
      </c>
      <c r="H86" s="86">
        <f>线路!M83</f>
        <v>5700.4394481589425</v>
      </c>
      <c r="I86" s="86">
        <f>线路!N83</f>
        <v>5705.0628428007685</v>
      </c>
      <c r="J86" s="83">
        <f t="shared" si="32"/>
        <v>9.2467892836511965</v>
      </c>
      <c r="K86" s="83">
        <f t="shared" si="42"/>
        <v>104.17418989467114</v>
      </c>
      <c r="L86" s="83">
        <f>IF(A86=1,断面设计!$D$7,IF(A86=2,断面设计!$D$8,IF(A86=3,断面设计!$D$9,IF(A86=4,断面设计!$D$10,IF(A86=5,断面设计!$D$11,IF(A86=6,断面设计!$D$12,IF(A86=7,断面设计!$D$13,IF(A86=8,断面设计!$D$14,IF(A86=9,断面设计!$D$15,IF(A86=10,断面设计!$D$16))))))))))</f>
        <v>1.5</v>
      </c>
      <c r="M86" s="83">
        <f t="shared" si="43"/>
        <v>1.2</v>
      </c>
      <c r="N86" s="110">
        <f t="shared" si="50"/>
        <v>1.4999999999999999E-2</v>
      </c>
      <c r="O86" s="83">
        <f>IF(A86=1,断面设计!$J$7,IF(A86=2,断面设计!$J$8,IF(A86=3,断面设计!$J$9,IF(A86=4,断面设计!$J$10,IF(A86=5,断面设计!$J$11,IF(A86=6,断面设计!$J$12,IF(A86=7,断面设计!$J$13,IF(A86=8,断面设计!$J$14,IF(A86=9,断面设计!$J$15,IF(A86=10,断面设计!$J$16))))))))))</f>
        <v>5000</v>
      </c>
      <c r="P86" s="111">
        <f>IF(A86=1,断面设计!$K$7,IF(A86=2,断面设计!$K$8,IF(A86=3,断面设计!$K$9,IF(A86=4,断面设计!$K$10,IF(A86=5,断面设计!$K$11,IF(A86=6,断面设计!$K$12,IF(A86=7,断面设计!$K$13,IF(A86=8,断面设计!$K$14,IF(A86=9,断面设计!$K$15,IF(A86=10,断面设计!$K$16))))))))))</f>
        <v>4.0008708155654071</v>
      </c>
      <c r="Q86" s="110">
        <f>IF(A86=1,断面设计!$C$7,IF(A86=2,断面设计!$C$8,IF(A86=3,断面设计!$C$9,IF(A86=4,断面设计!$C$10,IF(A86=5,断面设计!$C$11,IF(A86=6,断面设计!$C$12,IF(A86=7,断面设计!$C$13,IF(A86=8,断面设计!$C$14,IF(A86=9,断面设计!$C$15,IF(A86=10,断面设计!$C$16))))))))))</f>
        <v>1.4961164896839501</v>
      </c>
      <c r="R86" s="83">
        <f>IF(A86=1,断面设计!$F$7,IF(A86=2,断面设计!$F$8,IF(A86=3,断面设计!$F$9,IF(A86=4,断面设计!$F$10,IF(A86=5,断面设计!$F$11,IF(A86=6,断面设计!$F$12,IF(A86=7,断面设计!$F$13,IF(A86=8,断面设计!$F$14,IF(A86=9,断面设计!$F$15,IF(A86=10,断面设计!$F$16))))))))))</f>
        <v>4.930212195370995</v>
      </c>
      <c r="S86" s="83">
        <f>IF(A86=1,断面设计!$G$7,IF(A86=2,断面设计!$G$8,IF(A86=3,断面设计!$G$9,IF(A86=4,断面设计!$G$10,IF(A86=5,断面设计!$G$11,IF(A86=6,断面设计!$G$12,IF(A86=7,断面设计!$G$13,IF(A86=8,断面设计!$G$14,IF(A86=9,断面设计!$G$15,IF(A86=10,断面设计!$G$16))))))))))</f>
        <v>6.1740173314690692</v>
      </c>
      <c r="T86" s="83">
        <f t="shared" si="44"/>
        <v>0.79854200768786654</v>
      </c>
      <c r="U86" s="83">
        <f t="shared" si="45"/>
        <v>0.81150073404991541</v>
      </c>
      <c r="V86" s="123">
        <f t="shared" si="46"/>
        <v>9.553854504349709E-4</v>
      </c>
      <c r="W86" s="127"/>
      <c r="X86" s="110">
        <f>IF(AN86=0,IF(AN85=2,(H86-H85-AE85)/O86,(H86-H85)/O86),IF(AN86=1,IF(AN85=2,IF(AE86&lt;9,(H86-H85-AE86-AE85)/断面设计!$J$7,(H86-H85-AE86-AE85)/断面设计!$J$7),(H86-H85-AE86)/O85),(H86-H85)/O86))</f>
        <v>2.0834837978934227E-2</v>
      </c>
      <c r="Y86" s="133">
        <v>0</v>
      </c>
      <c r="Z86" s="134">
        <f t="shared" si="51"/>
        <v>0</v>
      </c>
      <c r="AA86" s="142"/>
      <c r="AB86" s="133">
        <f t="shared" si="33"/>
        <v>1.4961164896839501</v>
      </c>
      <c r="AC86" s="110">
        <f t="shared" si="34"/>
        <v>2.1790223429369197E-2</v>
      </c>
      <c r="AD86" s="110">
        <f t="shared" ca="1" si="47"/>
        <v>2388.1779539786035</v>
      </c>
      <c r="AE86" s="82">
        <f t="shared" si="48"/>
        <v>0</v>
      </c>
      <c r="AF86" s="110" t="str">
        <f t="shared" si="35"/>
        <v xml:space="preserve"> </v>
      </c>
      <c r="AG86" s="110" t="str">
        <f>IF(AE86=0," ",AF86-断面设计!$C$7)</f>
        <v xml:space="preserve"> </v>
      </c>
      <c r="AH86" s="110">
        <f t="shared" ca="1" si="36"/>
        <v>2388.1798340429823</v>
      </c>
      <c r="AI86" s="110">
        <f t="shared" ca="1" si="37"/>
        <v>2386.6837175532983</v>
      </c>
      <c r="AJ86" s="110">
        <f t="shared" ca="1" si="38"/>
        <v>2388.1770292996753</v>
      </c>
      <c r="AK86" s="110">
        <f t="shared" ca="1" si="39"/>
        <v>2386.6809128099912</v>
      </c>
      <c r="AL86" s="110">
        <f t="shared" ca="1" si="40"/>
        <v>2388.1784316713288</v>
      </c>
      <c r="AM86" s="110">
        <f t="shared" ca="1" si="41"/>
        <v>2386.6823151816448</v>
      </c>
      <c r="AN86" s="127"/>
      <c r="AO86" s="80">
        <v>0</v>
      </c>
      <c r="AU86" s="64" t="str">
        <f t="shared" ca="1" si="49"/>
        <v>5700.43944815894,2386.68231518164</v>
      </c>
      <c r="AV86" s="64" t="str">
        <f t="shared" ca="1" si="30"/>
        <v>5700.43944815894,2388.17843167133</v>
      </c>
      <c r="AW86" s="169" t="str">
        <f t="shared" si="31"/>
        <v xml:space="preserve">pl 5700.43944815894,0 5700.43944815894,76 </v>
      </c>
      <c r="AX86" s="161" t="str">
        <f t="shared" ca="1" si="27"/>
        <v>-text 5700.43944815894,48 3.5 90 2386.682</v>
      </c>
      <c r="AY86" s="161" t="str">
        <f t="shared" ca="1" si="28"/>
        <v>-text 5700.43944815894,62.5 3.5 90 2388.178</v>
      </c>
      <c r="AZ86" s="42" t="str">
        <f t="shared" si="29"/>
        <v>-text 5700.43944815894,23.5 3.5 90 马分5+700.44</v>
      </c>
    </row>
    <row r="87" spans="1:206" s="42" customFormat="1" x14ac:dyDescent="0.25">
      <c r="A87" s="80">
        <v>4</v>
      </c>
      <c r="B87" s="76" t="str">
        <f>线路!B84</f>
        <v>IP61</v>
      </c>
      <c r="C87" s="81">
        <f>线路!E84</f>
        <v>450835.5624</v>
      </c>
      <c r="D87" s="81">
        <f>线路!F84</f>
        <v>3043150.8662999999</v>
      </c>
      <c r="E87" s="85">
        <f>线路!G84</f>
        <v>13</v>
      </c>
      <c r="F87" s="85">
        <f>线路!H84</f>
        <v>31.888999999999999</v>
      </c>
      <c r="G87" s="86">
        <f>线路!L84</f>
        <v>5724.3978623559969</v>
      </c>
      <c r="H87" s="86">
        <f>线路!M84</f>
        <v>5728.0155546495916</v>
      </c>
      <c r="I87" s="86">
        <f>线路!N84</f>
        <v>5731.6332469431873</v>
      </c>
      <c r="J87" s="83">
        <f t="shared" si="32"/>
        <v>7.2353845871903104</v>
      </c>
      <c r="K87" s="83">
        <f t="shared" si="42"/>
        <v>27.576106490649181</v>
      </c>
      <c r="L87" s="83">
        <f>IF(A87=1,断面设计!$D$7,IF(A87=2,断面设计!$D$8,IF(A87=3,断面设计!$D$9,IF(A87=4,断面设计!$D$10,IF(A87=5,断面设计!$D$11,IF(A87=6,断面设计!$D$12,IF(A87=7,断面设计!$D$13,IF(A87=8,断面设计!$D$14,IF(A87=9,断面设计!$D$15,IF(A87=10,断面设计!$D$16))))))))))</f>
        <v>1.5</v>
      </c>
      <c r="M87" s="83">
        <f t="shared" si="43"/>
        <v>1.2</v>
      </c>
      <c r="N87" s="110">
        <f t="shared" si="50"/>
        <v>1.4999999999999999E-2</v>
      </c>
      <c r="O87" s="83">
        <f>IF(A87=1,断面设计!$J$7,IF(A87=2,断面设计!$J$8,IF(A87=3,断面设计!$J$9,IF(A87=4,断面设计!$J$10,IF(A87=5,断面设计!$J$11,IF(A87=6,断面设计!$J$12,IF(A87=7,断面设计!$J$13,IF(A87=8,断面设计!$J$14,IF(A87=9,断面设计!$J$15,IF(A87=10,断面设计!$J$16))))))))))</f>
        <v>5000</v>
      </c>
      <c r="P87" s="111">
        <f>IF(A87=1,断面设计!$K$7,IF(A87=2,断面设计!$K$8,IF(A87=3,断面设计!$K$9,IF(A87=4,断面设计!$K$10,IF(A87=5,断面设计!$K$11,IF(A87=6,断面设计!$K$12,IF(A87=7,断面设计!$K$13,IF(A87=8,断面设计!$K$14,IF(A87=9,断面设计!$K$15,IF(A87=10,断面设计!$K$16))))))))))</f>
        <v>4.0008708155654071</v>
      </c>
      <c r="Q87" s="110">
        <f>IF(A87=1,断面设计!$C$7,IF(A87=2,断面设计!$C$8,IF(A87=3,断面设计!$C$9,IF(A87=4,断面设计!$C$10,IF(A87=5,断面设计!$C$11,IF(A87=6,断面设计!$C$12,IF(A87=7,断面设计!$C$13,IF(A87=8,断面设计!$C$14,IF(A87=9,断面设计!$C$15,IF(A87=10,断面设计!$C$16))))))))))</f>
        <v>1.4961164896839501</v>
      </c>
      <c r="R87" s="83">
        <f>IF(A87=1,断面设计!$F$7,IF(A87=2,断面设计!$F$8,IF(A87=3,断面设计!$F$9,IF(A87=4,断面设计!$F$10,IF(A87=5,断面设计!$F$11,IF(A87=6,断面设计!$F$12,IF(A87=7,断面设计!$F$13,IF(A87=8,断面设计!$F$14,IF(A87=9,断面设计!$F$15,IF(A87=10,断面设计!$F$16))))))))))</f>
        <v>4.930212195370995</v>
      </c>
      <c r="S87" s="83">
        <f>IF(A87=1,断面设计!$G$7,IF(A87=2,断面设计!$G$8,IF(A87=3,断面设计!$G$9,IF(A87=4,断面设计!$G$10,IF(A87=5,断面设计!$G$11,IF(A87=6,断面设计!$G$12,IF(A87=7,断面设计!$G$13,IF(A87=8,断面设计!$G$14,IF(A87=9,断面设计!$G$15,IF(A87=10,断面设计!$G$16))))))))))</f>
        <v>6.1740173314690692</v>
      </c>
      <c r="T87" s="83">
        <f t="shared" si="44"/>
        <v>0.79854200768786654</v>
      </c>
      <c r="U87" s="83">
        <f t="shared" si="45"/>
        <v>0.81150073404991541</v>
      </c>
      <c r="V87" s="123">
        <f t="shared" si="46"/>
        <v>7.4756555501106342E-4</v>
      </c>
      <c r="W87" s="127"/>
      <c r="X87" s="110">
        <f>IF(AN87=0,IF(AN86=2,(H87-H86-AE86)/O87,(H87-H86)/O87),IF(AN87=1,IF(AN86=2,IF(AE87&lt;9,(H87-H86-AE87-AE86)/断面设计!$J$7,(H87-H86-AE87-AE86)/断面设计!$J$7),(H87-H86-AE87)/O86),(H87-H86)/O87))</f>
        <v>5.5152212981298366E-3</v>
      </c>
      <c r="Y87" s="133">
        <v>0</v>
      </c>
      <c r="Z87" s="134">
        <f t="shared" si="51"/>
        <v>0</v>
      </c>
      <c r="AA87" s="142"/>
      <c r="AB87" s="133">
        <f t="shared" si="33"/>
        <v>1.4961164896839501</v>
      </c>
      <c r="AC87" s="110">
        <f t="shared" si="34"/>
        <v>6.2627868531409002E-3</v>
      </c>
      <c r="AD87" s="110">
        <f t="shared" ca="1" si="47"/>
        <v>2388.1716911917501</v>
      </c>
      <c r="AE87" s="82">
        <f t="shared" si="48"/>
        <v>0</v>
      </c>
      <c r="AF87" s="110" t="str">
        <f t="shared" si="35"/>
        <v xml:space="preserve"> </v>
      </c>
      <c r="AG87" s="110" t="str">
        <f>IF(AE87=0," ",AF87-断面设计!$C$7)</f>
        <v xml:space="preserve"> </v>
      </c>
      <c r="AH87" s="110">
        <f t="shared" ca="1" si="36"/>
        <v>2388.1731622957641</v>
      </c>
      <c r="AI87" s="110">
        <f t="shared" ca="1" si="37"/>
        <v>2386.6770458060801</v>
      </c>
      <c r="AJ87" s="110">
        <f t="shared" ca="1" si="38"/>
        <v>2388.1709676532914</v>
      </c>
      <c r="AK87" s="110">
        <f t="shared" ca="1" si="39"/>
        <v>2386.6748511636074</v>
      </c>
      <c r="AL87" s="110">
        <f t="shared" ca="1" si="40"/>
        <v>2388.1720649745275</v>
      </c>
      <c r="AM87" s="110">
        <f t="shared" ca="1" si="41"/>
        <v>2386.6759484848435</v>
      </c>
      <c r="AN87" s="127"/>
      <c r="AO87" s="80">
        <v>0</v>
      </c>
      <c r="AU87" s="64" t="str">
        <f t="shared" ca="1" si="49"/>
        <v>5728.01555464959,2386.67594848484</v>
      </c>
      <c r="AV87" s="64" t="str">
        <f t="shared" ca="1" si="30"/>
        <v>5728.01555464959,2388.17206497453</v>
      </c>
      <c r="AW87" s="169" t="str">
        <f t="shared" si="31"/>
        <v xml:space="preserve">pl 5728.01555464959,0 5728.01555464959,76 </v>
      </c>
      <c r="AX87" s="161" t="str">
        <f t="shared" ca="1" si="27"/>
        <v>-text 5728.01555464959,48 3.5 90 2386.676</v>
      </c>
      <c r="AY87" s="161" t="str">
        <f t="shared" ca="1" si="28"/>
        <v>-text 5728.01555464959,62.5 3.5 90 2388.172</v>
      </c>
      <c r="AZ87" s="42" t="str">
        <f t="shared" si="29"/>
        <v>-text 5728.01555464959,23.5 3.5 90 马分5+728.02</v>
      </c>
    </row>
    <row r="88" spans="1:206" s="55" customFormat="1" x14ac:dyDescent="0.25">
      <c r="A88" s="92">
        <v>4</v>
      </c>
      <c r="B88" s="93" t="str">
        <f>线路!B85</f>
        <v>7#倒虹吸进</v>
      </c>
      <c r="C88" s="94">
        <f>线路!E85</f>
        <v>450821.07370000001</v>
      </c>
      <c r="D88" s="94">
        <f>线路!F85</f>
        <v>3043085.9216999998</v>
      </c>
      <c r="E88" s="95">
        <f>线路!G85</f>
        <v>0</v>
      </c>
      <c r="F88" s="95">
        <f>线路!H85</f>
        <v>0</v>
      </c>
      <c r="G88" s="96">
        <f>线路!L85</f>
        <v>5794.4603224804214</v>
      </c>
      <c r="H88" s="96">
        <f>线路!M85</f>
        <v>5794.4603224804214</v>
      </c>
      <c r="I88" s="96">
        <f>线路!N85</f>
        <v>5794.4603224804214</v>
      </c>
      <c r="J88" s="115">
        <f t="shared" si="32"/>
        <v>0</v>
      </c>
      <c r="K88" s="115">
        <f t="shared" si="42"/>
        <v>66.444767830829733</v>
      </c>
      <c r="L88" s="115">
        <f>IF(A88=1,断面设计!$D$7,IF(A88=2,断面设计!$D$8,IF(A88=3,断面设计!$D$9,IF(A88=4,断面设计!$D$10,IF(A88=5,断面设计!$D$11,IF(A88=6,断面设计!$D$12,IF(A88=7,断面设计!$D$13,IF(A88=8,断面设计!$D$14,IF(A88=9,断面设计!$D$15,IF(A88=10,断面设计!$D$16))))))))))</f>
        <v>1.5</v>
      </c>
      <c r="M88" s="115">
        <f t="shared" si="43"/>
        <v>1.2</v>
      </c>
      <c r="N88" s="116">
        <f t="shared" si="50"/>
        <v>1.4999999999999999E-2</v>
      </c>
      <c r="O88" s="115">
        <f>IF(A88=1,断面设计!$J$7,IF(A88=2,断面设计!$J$8,IF(A88=3,断面设计!$J$9,IF(A88=4,断面设计!$J$10,IF(A88=5,断面设计!$J$11,IF(A88=6,断面设计!$J$12,IF(A88=7,断面设计!$J$13,IF(A88=8,断面设计!$J$14,IF(A88=9,断面设计!$J$15,IF(A88=10,断面设计!$J$16))))))))))</f>
        <v>5000</v>
      </c>
      <c r="P88" s="117">
        <f>IF(A88=1,断面设计!$K$7,IF(A88=2,断面设计!$K$8,IF(A88=3,断面设计!$K$9,IF(A88=4,断面设计!$K$10,IF(A88=5,断面设计!$K$11,IF(A88=6,断面设计!$K$12,IF(A88=7,断面设计!$K$13,IF(A88=8,断面设计!$K$14,IF(A88=9,断面设计!$K$15,IF(A88=10,断面设计!$K$16))))))))))</f>
        <v>4.0008708155654071</v>
      </c>
      <c r="Q88" s="116">
        <f>IF(A88=1,断面设计!$C$7,IF(A88=2,断面设计!$C$8,IF(A88=3,断面设计!$C$9,IF(A88=4,断面设计!$C$10,IF(A88=5,断面设计!$C$11,IF(A88=6,断面设计!$C$12,IF(A88=7,断面设计!$C$13,IF(A88=8,断面设计!$C$14,IF(A88=9,断面设计!$C$15,IF(A88=10,断面设计!$C$16))))))))))</f>
        <v>1.4961164896839501</v>
      </c>
      <c r="R88" s="115">
        <f>IF(A88=1,断面设计!$F$7,IF(A88=2,断面设计!$F$8,IF(A88=3,断面设计!$F$9,IF(A88=4,断面设计!$F$10,IF(A88=5,断面设计!$F$11,IF(A88=6,断面设计!$F$12,IF(A88=7,断面设计!$F$13,IF(A88=8,断面设计!$F$14,IF(A88=9,断面设计!$F$15,IF(A88=10,断面设计!$F$16))))))))))</f>
        <v>4.930212195370995</v>
      </c>
      <c r="S88" s="115">
        <f>IF(A88=1,断面设计!$G$7,IF(A88=2,断面设计!$G$8,IF(A88=3,断面设计!$G$9,IF(A88=4,断面设计!$G$10,IF(A88=5,断面设计!$G$11,IF(A88=6,断面设计!$G$12,IF(A88=7,断面设计!$G$13,IF(A88=8,断面设计!$G$14,IF(A88=9,断面设计!$G$15,IF(A88=10,断面设计!$G$16))))))))))</f>
        <v>6.1740173314690692</v>
      </c>
      <c r="T88" s="115">
        <f t="shared" si="44"/>
        <v>0.79854200768786654</v>
      </c>
      <c r="U88" s="115">
        <f t="shared" si="45"/>
        <v>0.81150073404991541</v>
      </c>
      <c r="V88" s="125"/>
      <c r="W88" s="178"/>
      <c r="X88" s="116"/>
      <c r="Y88" s="139">
        <v>0</v>
      </c>
      <c r="Z88" s="140">
        <f t="shared" si="51"/>
        <v>0</v>
      </c>
      <c r="AA88" s="143"/>
      <c r="AB88" s="139">
        <f t="shared" si="33"/>
        <v>1.4961164896839501</v>
      </c>
      <c r="AC88" s="116">
        <f t="shared" si="34"/>
        <v>0</v>
      </c>
      <c r="AD88" s="116">
        <f t="shared" ca="1" si="47"/>
        <v>2388.1716911917501</v>
      </c>
      <c r="AE88" s="141">
        <f t="shared" si="48"/>
        <v>0</v>
      </c>
      <c r="AF88" s="116" t="str">
        <f t="shared" si="35"/>
        <v xml:space="preserve"> </v>
      </c>
      <c r="AG88" s="116" t="str">
        <f>IF(AE88=0," ",AF88-断面设计!$C$7)</f>
        <v xml:space="preserve"> </v>
      </c>
      <c r="AH88" s="116" t="str">
        <f t="shared" si="36"/>
        <v xml:space="preserve"> </v>
      </c>
      <c r="AI88" s="116" t="str">
        <f t="shared" si="37"/>
        <v xml:space="preserve"> </v>
      </c>
      <c r="AJ88" s="116" t="str">
        <f t="shared" si="38"/>
        <v xml:space="preserve"> </v>
      </c>
      <c r="AK88" s="116" t="str">
        <f t="shared" si="39"/>
        <v xml:space="preserve"> </v>
      </c>
      <c r="AL88" s="116">
        <f t="shared" ca="1" si="40"/>
        <v>2388.1716911917501</v>
      </c>
      <c r="AM88" s="116">
        <f t="shared" ca="1" si="41"/>
        <v>2386.6755747020661</v>
      </c>
      <c r="AN88" s="178"/>
      <c r="AO88" s="92">
        <v>0</v>
      </c>
      <c r="AP88" s="42"/>
      <c r="AQ88" s="42"/>
      <c r="AR88" s="42"/>
      <c r="AS88" s="42"/>
      <c r="AT88" s="42"/>
      <c r="AU88" s="64" t="str">
        <f t="shared" ca="1" si="49"/>
        <v>5794.46032248042,2386.67557470207</v>
      </c>
      <c r="AV88" s="64" t="str">
        <f t="shared" ca="1" si="30"/>
        <v>5794.46032248042,2388.17169119175</v>
      </c>
      <c r="AW88" s="169" t="str">
        <f t="shared" si="31"/>
        <v xml:space="preserve">pl 5794.46032248042,0 5794.46032248042,76 </v>
      </c>
      <c r="AX88" s="161" t="str">
        <f t="shared" ca="1" si="27"/>
        <v>-text 5794.46032248042,48 3.5 90 2386.676</v>
      </c>
      <c r="AY88" s="161" t="str">
        <f t="shared" ca="1" si="28"/>
        <v>-text 5794.46032248042,62.5 3.5 90 2388.172</v>
      </c>
      <c r="AZ88" s="42" t="str">
        <f t="shared" si="29"/>
        <v>-text 5794.46032248042,23.5 3.5 90 马分5+794.46</v>
      </c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  <c r="CW88" s="42"/>
      <c r="CX88" s="42"/>
      <c r="CY88" s="42"/>
      <c r="CZ88" s="42"/>
      <c r="DA88" s="42"/>
      <c r="DB88" s="42"/>
      <c r="DC88" s="42"/>
      <c r="DD88" s="42"/>
      <c r="DE88" s="42"/>
      <c r="DF88" s="42"/>
      <c r="DG88" s="42"/>
      <c r="DH88" s="42"/>
      <c r="DI88" s="42"/>
      <c r="DJ88" s="42"/>
      <c r="DK88" s="42"/>
      <c r="DL88" s="42"/>
      <c r="DM88" s="42"/>
      <c r="DN88" s="42"/>
      <c r="DO88" s="42"/>
      <c r="DP88" s="42"/>
      <c r="DQ88" s="42"/>
      <c r="DR88" s="42"/>
      <c r="DS88" s="42"/>
      <c r="DT88" s="42"/>
      <c r="DU88" s="42"/>
      <c r="DV88" s="42"/>
      <c r="DW88" s="42"/>
      <c r="DX88" s="42"/>
      <c r="DY88" s="42"/>
      <c r="DZ88" s="42"/>
      <c r="EA88" s="42"/>
      <c r="EB88" s="42"/>
      <c r="EC88" s="42"/>
      <c r="ED88" s="42"/>
      <c r="EE88" s="42"/>
      <c r="EF88" s="42"/>
      <c r="EG88" s="42"/>
      <c r="EH88" s="42"/>
      <c r="EI88" s="42"/>
      <c r="EJ88" s="42"/>
      <c r="EK88" s="42"/>
      <c r="EL88" s="42"/>
      <c r="EM88" s="42"/>
      <c r="EN88" s="42"/>
      <c r="EO88" s="42"/>
      <c r="EP88" s="42"/>
      <c r="EQ88" s="42"/>
      <c r="ER88" s="42"/>
      <c r="ES88" s="42"/>
      <c r="ET88" s="42"/>
      <c r="EU88" s="42"/>
      <c r="EV88" s="42"/>
      <c r="EW88" s="42"/>
      <c r="EX88" s="42"/>
      <c r="EY88" s="42"/>
      <c r="EZ88" s="42"/>
      <c r="FA88" s="42"/>
      <c r="FB88" s="42"/>
      <c r="FC88" s="42"/>
      <c r="FD88" s="42"/>
      <c r="FE88" s="42"/>
      <c r="FF88" s="42"/>
      <c r="FG88" s="42"/>
      <c r="FH88" s="42"/>
      <c r="FI88" s="42"/>
      <c r="FJ88" s="42"/>
      <c r="FK88" s="42"/>
      <c r="FL88" s="42"/>
      <c r="FM88" s="42"/>
      <c r="FN88" s="42"/>
      <c r="FO88" s="42"/>
      <c r="FP88" s="42"/>
      <c r="FQ88" s="42"/>
      <c r="FR88" s="42"/>
      <c r="FS88" s="42"/>
      <c r="FT88" s="42"/>
      <c r="FU88" s="42"/>
      <c r="FV88" s="42"/>
      <c r="FW88" s="42"/>
      <c r="FX88" s="42"/>
      <c r="FY88" s="42"/>
      <c r="FZ88" s="42"/>
      <c r="GA88" s="42"/>
      <c r="GB88" s="42"/>
      <c r="GC88" s="42"/>
      <c r="GD88" s="42"/>
      <c r="GE88" s="42"/>
      <c r="GF88" s="42"/>
      <c r="GG88" s="42"/>
      <c r="GH88" s="42"/>
      <c r="GI88" s="42"/>
      <c r="GJ88" s="42"/>
      <c r="GK88" s="42"/>
      <c r="GL88" s="42"/>
      <c r="GM88" s="42"/>
      <c r="GN88" s="42"/>
      <c r="GO88" s="42"/>
      <c r="GP88" s="42"/>
      <c r="GQ88" s="42"/>
      <c r="GR88" s="42"/>
      <c r="GS88" s="42"/>
      <c r="GT88" s="42"/>
      <c r="GU88" s="42"/>
      <c r="GV88" s="42"/>
      <c r="GW88" s="42"/>
      <c r="GX88" s="42"/>
    </row>
    <row r="89" spans="1:206" s="55" customFormat="1" x14ac:dyDescent="0.25">
      <c r="A89" s="92">
        <v>4</v>
      </c>
      <c r="B89" s="93" t="str">
        <f>线路!B86</f>
        <v>7#倒虹吸出</v>
      </c>
      <c r="C89" s="94">
        <f>线路!E86</f>
        <v>450684.5723</v>
      </c>
      <c r="D89" s="94">
        <f>线路!F86</f>
        <v>3042474.0627000001</v>
      </c>
      <c r="E89" s="95">
        <f>线路!G86</f>
        <v>0</v>
      </c>
      <c r="F89" s="95">
        <f>线路!H86</f>
        <v>0</v>
      </c>
      <c r="G89" s="96">
        <f>线路!L86</f>
        <v>6421.3606878357159</v>
      </c>
      <c r="H89" s="96">
        <f>线路!M86</f>
        <v>6421.3606878357159</v>
      </c>
      <c r="I89" s="96">
        <f>线路!N86</f>
        <v>6421.3606878357159</v>
      </c>
      <c r="J89" s="115">
        <f t="shared" si="32"/>
        <v>0</v>
      </c>
      <c r="K89" s="115">
        <f t="shared" si="42"/>
        <v>626.90036535529453</v>
      </c>
      <c r="L89" s="115">
        <f>IF(A89=1,断面设计!$D$7,IF(A89=2,断面设计!$D$8,IF(A89=3,断面设计!$D$9,IF(A89=4,断面设计!$D$10,IF(A89=5,断面设计!$D$11,IF(A89=6,断面设计!$D$12,IF(A89=7,断面设计!$D$13,IF(A89=8,断面设计!$D$14,IF(A89=9,断面设计!$D$15,IF(A89=10,断面设计!$D$16))))))))))</f>
        <v>1.5</v>
      </c>
      <c r="M89" s="115">
        <f t="shared" si="43"/>
        <v>1.2</v>
      </c>
      <c r="N89" s="116">
        <f t="shared" si="50"/>
        <v>1.4999999999999999E-2</v>
      </c>
      <c r="O89" s="115">
        <f>IF(A89=1,断面设计!$J$7,IF(A89=2,断面设计!$J$8,IF(A89=3,断面设计!$J$9,IF(A89=4,断面设计!$J$10,IF(A89=5,断面设计!$J$11,IF(A89=6,断面设计!$J$12,IF(A89=7,断面设计!$J$13,IF(A89=8,断面设计!$J$14,IF(A89=9,断面设计!$J$15,IF(A89=10,断面设计!$J$16))))))))))</f>
        <v>5000</v>
      </c>
      <c r="P89" s="117">
        <f>IF(A89=1,断面设计!$K$7,IF(A89=2,断面设计!$K$8,IF(A89=3,断面设计!$K$9,IF(A89=4,断面设计!$K$10,IF(A89=5,断面设计!$K$11,IF(A89=6,断面设计!$K$12,IF(A89=7,断面设计!$K$13,IF(A89=8,断面设计!$K$14,IF(A89=9,断面设计!$K$15,IF(A89=10,断面设计!$K$16))))))))))</f>
        <v>4.0008708155654071</v>
      </c>
      <c r="Q89" s="116">
        <f>IF(A89=1,断面设计!$C$7,IF(A89=2,断面设计!$C$8,IF(A89=3,断面设计!$C$9,IF(A89=4,断面设计!$C$10,IF(A89=5,断面设计!$C$11,IF(A89=6,断面设计!$C$12,IF(A89=7,断面设计!$C$13,IF(A89=8,断面设计!$C$14,IF(A89=9,断面设计!$C$15,IF(A89=10,断面设计!$C$16))))))))))</f>
        <v>1.4961164896839501</v>
      </c>
      <c r="R89" s="115">
        <f>IF(A89=1,断面设计!$F$7,IF(A89=2,断面设计!$F$8,IF(A89=3,断面设计!$F$9,IF(A89=4,断面设计!$F$10,IF(A89=5,断面设计!$F$11,IF(A89=6,断面设计!$F$12,IF(A89=7,断面设计!$F$13,IF(A89=8,断面设计!$F$14,IF(A89=9,断面设计!$F$15,IF(A89=10,断面设计!$F$16))))))))))</f>
        <v>4.930212195370995</v>
      </c>
      <c r="S89" s="115">
        <f>IF(A89=1,断面设计!$G$7,IF(A89=2,断面设计!$G$8,IF(A89=3,断面设计!$G$9,IF(A89=4,断面设计!$G$10,IF(A89=5,断面设计!$G$11,IF(A89=6,断面设计!$G$12,IF(A89=7,断面设计!$G$13,IF(A89=8,断面设计!$G$14,IF(A89=9,断面设计!$G$15,IF(A89=10,断面设计!$G$16))))))))))</f>
        <v>6.1740173314690692</v>
      </c>
      <c r="T89" s="115">
        <f t="shared" si="44"/>
        <v>0.79854200768786654</v>
      </c>
      <c r="U89" s="115">
        <f t="shared" si="45"/>
        <v>0.81150073404991541</v>
      </c>
      <c r="V89" s="125"/>
      <c r="W89" s="178"/>
      <c r="X89" s="116">
        <f ca="1">倒虹管水头损失计算!D410</f>
        <v>0.62990168653530965</v>
      </c>
      <c r="Y89" s="139">
        <v>0</v>
      </c>
      <c r="Z89" s="140">
        <f t="shared" si="51"/>
        <v>0</v>
      </c>
      <c r="AA89" s="143"/>
      <c r="AB89" s="139">
        <f t="shared" si="33"/>
        <v>1.4961164896839501</v>
      </c>
      <c r="AC89" s="116">
        <f t="shared" ca="1" si="34"/>
        <v>0.62990168653530965</v>
      </c>
      <c r="AD89" s="116">
        <f t="shared" ca="1" si="47"/>
        <v>2387.5417895052146</v>
      </c>
      <c r="AE89" s="141">
        <f t="shared" si="48"/>
        <v>0</v>
      </c>
      <c r="AF89" s="116" t="str">
        <f t="shared" si="35"/>
        <v xml:space="preserve"> </v>
      </c>
      <c r="AG89" s="116" t="str">
        <f>IF(AE89=0," ",AF89-断面设计!$C$7)</f>
        <v xml:space="preserve"> </v>
      </c>
      <c r="AH89" s="116" t="str">
        <f t="shared" si="36"/>
        <v xml:space="preserve"> </v>
      </c>
      <c r="AI89" s="116" t="str">
        <f t="shared" si="37"/>
        <v xml:space="preserve"> </v>
      </c>
      <c r="AJ89" s="116" t="str">
        <f t="shared" si="38"/>
        <v xml:space="preserve"> </v>
      </c>
      <c r="AK89" s="116" t="str">
        <f t="shared" si="39"/>
        <v xml:space="preserve"> </v>
      </c>
      <c r="AL89" s="116">
        <f t="shared" ca="1" si="40"/>
        <v>2387.5417895052146</v>
      </c>
      <c r="AM89" s="116">
        <f t="shared" ca="1" si="41"/>
        <v>2386.0456730155306</v>
      </c>
      <c r="AN89" s="178"/>
      <c r="AO89" s="92">
        <v>0</v>
      </c>
      <c r="AP89" s="42"/>
      <c r="AQ89" s="42"/>
      <c r="AR89" s="42"/>
      <c r="AS89" s="42"/>
      <c r="AT89" s="42"/>
      <c r="AU89" s="64" t="str">
        <f t="shared" ca="1" si="49"/>
        <v>6421.36068783572,2386.04567301553</v>
      </c>
      <c r="AV89" s="64" t="str">
        <f t="shared" ca="1" si="30"/>
        <v>6421.36068783572,2387.54178950521</v>
      </c>
      <c r="AW89" s="169" t="str">
        <f t="shared" si="31"/>
        <v xml:space="preserve">pl 6421.36068783572,0 6421.36068783572,76 </v>
      </c>
      <c r="AX89" s="161" t="str">
        <f t="shared" ca="1" si="27"/>
        <v>-text 6421.36068783572,48 3.5 90 2386.046</v>
      </c>
      <c r="AY89" s="161" t="str">
        <f t="shared" ca="1" si="28"/>
        <v>-text 6421.36068783572,62.5 3.5 90 2387.542</v>
      </c>
      <c r="AZ89" s="42" t="str">
        <f t="shared" si="29"/>
        <v>-text 6421.36068783572,23.5 3.5 90 马分6+421.36</v>
      </c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  <c r="CW89" s="42"/>
      <c r="CX89" s="42"/>
      <c r="CY89" s="42"/>
      <c r="CZ89" s="42"/>
      <c r="DA89" s="42"/>
      <c r="DB89" s="42"/>
      <c r="DC89" s="42"/>
      <c r="DD89" s="42"/>
      <c r="DE89" s="42"/>
      <c r="DF89" s="42"/>
      <c r="DG89" s="42"/>
      <c r="DH89" s="42"/>
      <c r="DI89" s="42"/>
      <c r="DJ89" s="42"/>
      <c r="DK89" s="42"/>
      <c r="DL89" s="42"/>
      <c r="DM89" s="42"/>
      <c r="DN89" s="42"/>
      <c r="DO89" s="42"/>
      <c r="DP89" s="42"/>
      <c r="DQ89" s="42"/>
      <c r="DR89" s="42"/>
      <c r="DS89" s="42"/>
      <c r="DT89" s="42"/>
      <c r="DU89" s="42"/>
      <c r="DV89" s="42"/>
      <c r="DW89" s="42"/>
      <c r="DX89" s="42"/>
      <c r="DY89" s="42"/>
      <c r="DZ89" s="42"/>
      <c r="EA89" s="42"/>
      <c r="EB89" s="42"/>
      <c r="EC89" s="42"/>
      <c r="ED89" s="42"/>
      <c r="EE89" s="42"/>
      <c r="EF89" s="42"/>
      <c r="EG89" s="42"/>
      <c r="EH89" s="42"/>
      <c r="EI89" s="42"/>
      <c r="EJ89" s="42"/>
      <c r="EK89" s="42"/>
      <c r="EL89" s="42"/>
      <c r="EM89" s="42"/>
      <c r="EN89" s="42"/>
      <c r="EO89" s="42"/>
      <c r="EP89" s="42"/>
      <c r="EQ89" s="42"/>
      <c r="ER89" s="42"/>
      <c r="ES89" s="42"/>
      <c r="ET89" s="42"/>
      <c r="EU89" s="42"/>
      <c r="EV89" s="42"/>
      <c r="EW89" s="42"/>
      <c r="EX89" s="42"/>
      <c r="EY89" s="42"/>
      <c r="EZ89" s="42"/>
      <c r="FA89" s="42"/>
      <c r="FB89" s="42"/>
      <c r="FC89" s="42"/>
      <c r="FD89" s="42"/>
      <c r="FE89" s="42"/>
      <c r="FF89" s="42"/>
      <c r="FG89" s="42"/>
      <c r="FH89" s="42"/>
      <c r="FI89" s="42"/>
      <c r="FJ89" s="42"/>
      <c r="FK89" s="42"/>
      <c r="FL89" s="42"/>
      <c r="FM89" s="42"/>
      <c r="FN89" s="42"/>
      <c r="FO89" s="42"/>
      <c r="FP89" s="42"/>
      <c r="FQ89" s="42"/>
      <c r="FR89" s="42"/>
      <c r="FS89" s="42"/>
      <c r="FT89" s="42"/>
      <c r="FU89" s="42"/>
      <c r="FV89" s="42"/>
      <c r="FW89" s="42"/>
      <c r="FX89" s="42"/>
      <c r="FY89" s="42"/>
      <c r="FZ89" s="42"/>
      <c r="GA89" s="42"/>
      <c r="GB89" s="42"/>
      <c r="GC89" s="42"/>
      <c r="GD89" s="42"/>
      <c r="GE89" s="42"/>
      <c r="GF89" s="42"/>
      <c r="GG89" s="42"/>
      <c r="GH89" s="42"/>
      <c r="GI89" s="42"/>
      <c r="GJ89" s="42"/>
      <c r="GK89" s="42"/>
      <c r="GL89" s="42"/>
      <c r="GM89" s="42"/>
      <c r="GN89" s="42"/>
      <c r="GO89" s="42"/>
      <c r="GP89" s="42"/>
      <c r="GQ89" s="42"/>
      <c r="GR89" s="42"/>
      <c r="GS89" s="42"/>
      <c r="GT89" s="42"/>
      <c r="GU89" s="42"/>
      <c r="GV89" s="42"/>
      <c r="GW89" s="42"/>
      <c r="GX89" s="42"/>
    </row>
    <row r="90" spans="1:206" s="42" customFormat="1" x14ac:dyDescent="0.25">
      <c r="A90" s="80">
        <v>4</v>
      </c>
      <c r="B90" s="76" t="str">
        <f>线路!B87</f>
        <v>1#新庄节制闸</v>
      </c>
      <c r="C90" s="81">
        <f>线路!E87</f>
        <v>450638.90759999998</v>
      </c>
      <c r="D90" s="81">
        <f>线路!F87</f>
        <v>3042269.3739999998</v>
      </c>
      <c r="E90" s="85">
        <f>线路!G87</f>
        <v>0</v>
      </c>
      <c r="F90" s="85">
        <f>线路!H87</f>
        <v>0</v>
      </c>
      <c r="G90" s="86">
        <f>线路!L87</f>
        <v>6631.0812846637355</v>
      </c>
      <c r="H90" s="86">
        <f>线路!M87</f>
        <v>6631.0812846637355</v>
      </c>
      <c r="I90" s="86">
        <f>线路!N87</f>
        <v>6631.0812846637355</v>
      </c>
      <c r="J90" s="83">
        <f t="shared" si="32"/>
        <v>0</v>
      </c>
      <c r="K90" s="83">
        <f t="shared" si="42"/>
        <v>209.72059682801955</v>
      </c>
      <c r="L90" s="83">
        <f>IF(A90=1,断面设计!$D$7,IF(A90=2,断面设计!$D$8,IF(A90=3,断面设计!$D$9,IF(A90=4,断面设计!$D$10,IF(A90=5,断面设计!$D$11,IF(A90=6,断面设计!$D$12,IF(A90=7,断面设计!$D$13,IF(A90=8,断面设计!$D$14,IF(A90=9,断面设计!$D$15,IF(A90=10,断面设计!$D$16))))))))))</f>
        <v>1.5</v>
      </c>
      <c r="M90" s="83">
        <f t="shared" si="43"/>
        <v>1.2</v>
      </c>
      <c r="N90" s="110">
        <f t="shared" si="50"/>
        <v>1.4999999999999999E-2</v>
      </c>
      <c r="O90" s="83">
        <f>IF(A90=1,断面设计!$J$7,IF(A90=2,断面设计!$J$8,IF(A90=3,断面设计!$J$9,IF(A90=4,断面设计!$J$10,IF(A90=5,断面设计!$J$11,IF(A90=6,断面设计!$J$12,IF(A90=7,断面设计!$J$13,IF(A90=8,断面设计!$J$14,IF(A90=9,断面设计!$J$15,IF(A90=10,断面设计!$J$16))))))))))</f>
        <v>5000</v>
      </c>
      <c r="P90" s="111">
        <f>IF(A90=1,断面设计!$K$7,IF(A90=2,断面设计!$K$8,IF(A90=3,断面设计!$K$9,IF(A90=4,断面设计!$K$10,IF(A90=5,断面设计!$K$11,IF(A90=6,断面设计!$K$12,IF(A90=7,断面设计!$K$13,IF(A90=8,断面设计!$K$14,IF(A90=9,断面设计!$K$15,IF(A90=10,断面设计!$K$16))))))))))</f>
        <v>4.0008708155654071</v>
      </c>
      <c r="Q90" s="110">
        <f>IF(A90=1,断面设计!$C$7,IF(A90=2,断面设计!$C$8,IF(A90=3,断面设计!$C$9,IF(A90=4,断面设计!$C$10,IF(A90=5,断面设计!$C$11,IF(A90=6,断面设计!$C$12,IF(A90=7,断面设计!$C$13,IF(A90=8,断面设计!$C$14,IF(A90=9,断面设计!$C$15,IF(A90=10,断面设计!$C$16))))))))))</f>
        <v>1.4961164896839501</v>
      </c>
      <c r="R90" s="83">
        <f>IF(A90=1,断面设计!$F$7,IF(A90=2,断面设计!$F$8,IF(A90=3,断面设计!$F$9,IF(A90=4,断面设计!$F$10,IF(A90=5,断面设计!$F$11,IF(A90=6,断面设计!$F$12,IF(A90=7,断面设计!$F$13,IF(A90=8,断面设计!$F$14,IF(A90=9,断面设计!$F$15,IF(A90=10,断面设计!$F$16))))))))))</f>
        <v>4.930212195370995</v>
      </c>
      <c r="S90" s="83">
        <f>IF(A90=1,断面设计!$G$7,IF(A90=2,断面设计!$G$8,IF(A90=3,断面设计!$G$9,IF(A90=4,断面设计!$G$10,IF(A90=5,断面设计!$G$11,IF(A90=6,断面设计!$G$12,IF(A90=7,断面设计!$G$13,IF(A90=8,断面设计!$G$14,IF(A90=9,断面设计!$G$15,IF(A90=10,断面设计!$G$16))))))))))</f>
        <v>6.1740173314690692</v>
      </c>
      <c r="T90" s="83">
        <f t="shared" si="44"/>
        <v>0.79854200768786654</v>
      </c>
      <c r="U90" s="83">
        <f t="shared" si="45"/>
        <v>0.81150073404991541</v>
      </c>
      <c r="V90" s="123"/>
      <c r="W90" s="127"/>
      <c r="X90" s="110">
        <f>IF(AN90=0,IF(AN89=2,(H90-H89-AE89)/O90,(H90-H89)/O90),IF(AN90=1,IF(AN89=2,IF(AE90&lt;9,(H90-H89-AE90-AE89)/断面设计!$J$7,(H90-H89-AE90-AE89)/断面设计!$J$7),(H90-H89-AE90)/O89),(H90-H89)/O90))</f>
        <v>4.194411936560391E-2</v>
      </c>
      <c r="Y90" s="133">
        <v>0</v>
      </c>
      <c r="Z90" s="134">
        <f t="shared" si="51"/>
        <v>0</v>
      </c>
      <c r="AA90" s="142">
        <v>0.05</v>
      </c>
      <c r="AB90" s="133">
        <f t="shared" si="33"/>
        <v>1.4961164896839501</v>
      </c>
      <c r="AC90" s="110">
        <f t="shared" si="34"/>
        <v>9.1944119365603913E-2</v>
      </c>
      <c r="AD90" s="110">
        <f t="shared" ca="1" si="47"/>
        <v>2387.4498453858491</v>
      </c>
      <c r="AE90" s="82">
        <f t="shared" si="48"/>
        <v>0</v>
      </c>
      <c r="AF90" s="110" t="str">
        <f t="shared" si="35"/>
        <v xml:space="preserve"> </v>
      </c>
      <c r="AG90" s="110" t="str">
        <f>IF(AE90=0," ",AF90-断面设计!$C$7)</f>
        <v xml:space="preserve"> </v>
      </c>
      <c r="AH90" s="110" t="str">
        <f t="shared" si="36"/>
        <v xml:space="preserve"> </v>
      </c>
      <c r="AI90" s="110" t="str">
        <f t="shared" si="37"/>
        <v xml:space="preserve"> </v>
      </c>
      <c r="AJ90" s="110" t="str">
        <f t="shared" si="38"/>
        <v xml:space="preserve"> </v>
      </c>
      <c r="AK90" s="110" t="str">
        <f t="shared" si="39"/>
        <v xml:space="preserve"> </v>
      </c>
      <c r="AL90" s="110">
        <f t="shared" ca="1" si="40"/>
        <v>2387.4498453858491</v>
      </c>
      <c r="AM90" s="110">
        <f t="shared" ca="1" si="41"/>
        <v>2385.9537288961651</v>
      </c>
      <c r="AN90" s="127"/>
      <c r="AO90" s="80">
        <v>0</v>
      </c>
      <c r="AU90" s="64" t="str">
        <f t="shared" ca="1" si="49"/>
        <v>6631.08128466374,2385.95372889617</v>
      </c>
      <c r="AV90" s="64" t="str">
        <f t="shared" ca="1" si="30"/>
        <v>6631.08128466374,2387.44984538585</v>
      </c>
      <c r="AW90" s="169" t="str">
        <f t="shared" si="31"/>
        <v xml:space="preserve">pl 6631.08128466374,0 6631.08128466374,76 </v>
      </c>
      <c r="AX90" s="161" t="str">
        <f t="shared" ca="1" si="27"/>
        <v>-text 6631.08128466374,48 3.5 90 2385.954</v>
      </c>
      <c r="AY90" s="161" t="str">
        <f t="shared" ca="1" si="28"/>
        <v>-text 6631.08128466374,62.5 3.5 90 2387.450</v>
      </c>
      <c r="AZ90" s="42" t="str">
        <f t="shared" si="29"/>
        <v>-text 6631.08128466374,23.5 3.5 90 马分6+631.08</v>
      </c>
    </row>
    <row r="91" spans="1:206" s="42" customFormat="1" x14ac:dyDescent="0.25">
      <c r="A91" s="80">
        <v>4</v>
      </c>
      <c r="B91" s="76" t="str">
        <f>线路!B88</f>
        <v>IP62</v>
      </c>
      <c r="C91" s="81">
        <f>线路!E88</f>
        <v>450634.0184</v>
      </c>
      <c r="D91" s="81">
        <f>线路!F88</f>
        <v>3042247.4582000002</v>
      </c>
      <c r="E91" s="85">
        <f>线路!G88</f>
        <v>13</v>
      </c>
      <c r="F91" s="85">
        <f>线路!H88</f>
        <v>28.887</v>
      </c>
      <c r="G91" s="86">
        <f>线路!L88</f>
        <v>6650.1874738770439</v>
      </c>
      <c r="H91" s="86">
        <f>线路!M88</f>
        <v>6653.4646000736975</v>
      </c>
      <c r="I91" s="86">
        <f>线路!N88</f>
        <v>6656.7417262703511</v>
      </c>
      <c r="J91" s="83">
        <f t="shared" si="32"/>
        <v>6.5542523933072516</v>
      </c>
      <c r="K91" s="83">
        <f t="shared" si="42"/>
        <v>22.383315409962051</v>
      </c>
      <c r="L91" s="83">
        <f>IF(A91=1,断面设计!$D$7,IF(A91=2,断面设计!$D$8,IF(A91=3,断面设计!$D$9,IF(A91=4,断面设计!$D$10,IF(A91=5,断面设计!$D$11,IF(A91=6,断面设计!$D$12,IF(A91=7,断面设计!$D$13,IF(A91=8,断面设计!$D$14,IF(A91=9,断面设计!$D$15,IF(A91=10,断面设计!$D$16))))))))))</f>
        <v>1.5</v>
      </c>
      <c r="M91" s="83">
        <f t="shared" si="43"/>
        <v>1.2</v>
      </c>
      <c r="N91" s="110">
        <f t="shared" si="50"/>
        <v>1.4999999999999999E-2</v>
      </c>
      <c r="O91" s="83">
        <f>IF(A91=1,断面设计!$J$7,IF(A91=2,断面设计!$J$8,IF(A91=3,断面设计!$J$9,IF(A91=4,断面设计!$J$10,IF(A91=5,断面设计!$J$11,IF(A91=6,断面设计!$J$12,IF(A91=7,断面设计!$J$13,IF(A91=8,断面设计!$J$14,IF(A91=9,断面设计!$J$15,IF(A91=10,断面设计!$J$16))))))))))</f>
        <v>5000</v>
      </c>
      <c r="P91" s="111">
        <f>IF(A91=1,断面设计!$K$7,IF(A91=2,断面设计!$K$8,IF(A91=3,断面设计!$K$9,IF(A91=4,断面设计!$K$10,IF(A91=5,断面设计!$K$11,IF(A91=6,断面设计!$K$12,IF(A91=7,断面设计!$K$13,IF(A91=8,断面设计!$K$14,IF(A91=9,断面设计!$K$15,IF(A91=10,断面设计!$K$16))))))))))</f>
        <v>4.0008708155654071</v>
      </c>
      <c r="Q91" s="110">
        <f>IF(A91=1,断面设计!$C$7,IF(A91=2,断面设计!$C$8,IF(A91=3,断面设计!$C$9,IF(A91=4,断面设计!$C$10,IF(A91=5,断面设计!$C$11,IF(A91=6,断面设计!$C$12,IF(A91=7,断面设计!$C$13,IF(A91=8,断面设计!$C$14,IF(A91=9,断面设计!$C$15,IF(A91=10,断面设计!$C$16))))))))))</f>
        <v>1.4961164896839501</v>
      </c>
      <c r="R91" s="83">
        <f>IF(A91=1,断面设计!$F$7,IF(A91=2,断面设计!$F$8,IF(A91=3,断面设计!$F$9,IF(A91=4,断面设计!$F$10,IF(A91=5,断面设计!$F$11,IF(A91=6,断面设计!$F$12,IF(A91=7,断面设计!$F$13,IF(A91=8,断面设计!$F$14,IF(A91=9,断面设计!$F$15,IF(A91=10,断面设计!$F$16))))))))))</f>
        <v>4.930212195370995</v>
      </c>
      <c r="S91" s="83">
        <f>IF(A91=1,断面设计!$G$7,IF(A91=2,断面设计!$G$8,IF(A91=3,断面设计!$G$9,IF(A91=4,断面设计!$G$10,IF(A91=5,断面设计!$G$11,IF(A91=6,断面设计!$G$12,IF(A91=7,断面设计!$G$13,IF(A91=8,断面设计!$G$14,IF(A91=9,断面设计!$G$15,IF(A91=10,断面设计!$G$16))))))))))</f>
        <v>6.1740173314690692</v>
      </c>
      <c r="T91" s="83">
        <f t="shared" si="44"/>
        <v>0.79854200768786654</v>
      </c>
      <c r="U91" s="83">
        <f t="shared" si="45"/>
        <v>0.81150073404991541</v>
      </c>
      <c r="V91" s="123">
        <f t="shared" si="46"/>
        <v>6.7719044772822791E-4</v>
      </c>
      <c r="W91" s="127"/>
      <c r="X91" s="110">
        <f>IF(AN91=0,IF(AN90=2,(H91-H90-AE90)/O91,(H91-H90)/O91),IF(AN91=1,IF(AN90=2,IF(AE91&lt;9,(H91-H90-AE91-AE90)/断面设计!$J$7,(H91-H90-AE91-AE90)/断面设计!$J$7),(H91-H90-AE91)/O90),(H91-H90)/O91))</f>
        <v>4.4766630819924099E-3</v>
      </c>
      <c r="Y91" s="133">
        <v>0</v>
      </c>
      <c r="Z91" s="134">
        <f t="shared" si="51"/>
        <v>0</v>
      </c>
      <c r="AA91" s="142"/>
      <c r="AB91" s="133">
        <f t="shared" si="33"/>
        <v>1.4961164896839501</v>
      </c>
      <c r="AC91" s="110">
        <f t="shared" si="34"/>
        <v>5.1538535297206379E-3</v>
      </c>
      <c r="AD91" s="110">
        <f t="shared" ca="1" si="47"/>
        <v>2387.4446915323192</v>
      </c>
      <c r="AE91" s="82">
        <f t="shared" si="48"/>
        <v>0</v>
      </c>
      <c r="AF91" s="110" t="str">
        <f t="shared" si="35"/>
        <v xml:space="preserve"> </v>
      </c>
      <c r="AG91" s="110" t="str">
        <f>IF(AE91=0," ",AF91-断面设计!$C$7)</f>
        <v xml:space="preserve"> </v>
      </c>
      <c r="AH91" s="110">
        <f t="shared" ca="1" si="36"/>
        <v>2387.4460241480065</v>
      </c>
      <c r="AI91" s="110">
        <f t="shared" ca="1" si="37"/>
        <v>2385.9499076583224</v>
      </c>
      <c r="AJ91" s="110">
        <f t="shared" ca="1" si="38"/>
        <v>2387.4440361070797</v>
      </c>
      <c r="AK91" s="110">
        <f t="shared" ca="1" si="39"/>
        <v>2385.9479196173957</v>
      </c>
      <c r="AL91" s="110">
        <f t="shared" ca="1" si="40"/>
        <v>2387.4450301275429</v>
      </c>
      <c r="AM91" s="110">
        <f t="shared" ca="1" si="41"/>
        <v>2385.9489136378588</v>
      </c>
      <c r="AN91" s="127"/>
      <c r="AO91" s="80">
        <v>0</v>
      </c>
      <c r="AU91" s="64" t="str">
        <f t="shared" ca="1" si="49"/>
        <v>6653.4646000737,2385.94891363786</v>
      </c>
      <c r="AV91" s="64" t="str">
        <f t="shared" ca="1" si="30"/>
        <v>6653.4646000737,2387.44503012754</v>
      </c>
      <c r="AW91" s="169" t="str">
        <f t="shared" si="31"/>
        <v xml:space="preserve">pl 6653.4646000737,0 6653.4646000737,76 </v>
      </c>
      <c r="AX91" s="161" t="str">
        <f t="shared" ca="1" si="27"/>
        <v>-text 6653.4646000737,48 3.5 90 2385.949</v>
      </c>
      <c r="AY91" s="161" t="str">
        <f t="shared" ca="1" si="28"/>
        <v>-text 6653.4646000737,62.5 3.5 90 2387.445</v>
      </c>
      <c r="AZ91" s="42" t="str">
        <f t="shared" si="29"/>
        <v>-text 6653.4646000737,23.5 3.5 90 马分6+653.46</v>
      </c>
    </row>
    <row r="92" spans="1:206" s="55" customFormat="1" ht="15" customHeight="1" x14ac:dyDescent="0.25">
      <c r="A92" s="92">
        <v>4</v>
      </c>
      <c r="B92" s="93" t="str">
        <f>线路!B89</f>
        <v>8#倒虹吸进</v>
      </c>
      <c r="C92" s="94">
        <f>线路!E89</f>
        <v>450619.27679999999</v>
      </c>
      <c r="D92" s="94">
        <f>线路!F89</f>
        <v>3042230.7744</v>
      </c>
      <c r="E92" s="95">
        <f>线路!G89</f>
        <v>0</v>
      </c>
      <c r="F92" s="95">
        <f>线路!H89</f>
        <v>0</v>
      </c>
      <c r="G92" s="96">
        <f>线路!L89</f>
        <v>6675.6568827333149</v>
      </c>
      <c r="H92" s="96">
        <f>线路!M89</f>
        <v>6675.6568827333149</v>
      </c>
      <c r="I92" s="96">
        <f>线路!N89</f>
        <v>6675.6568827333149</v>
      </c>
      <c r="J92" s="115">
        <f t="shared" si="32"/>
        <v>0</v>
      </c>
      <c r="K92" s="115">
        <f t="shared" si="42"/>
        <v>22.192282659617376</v>
      </c>
      <c r="L92" s="115">
        <f>IF(A92=1,断面设计!$D$7,IF(A92=2,断面设计!$D$8,IF(A92=3,断面设计!$D$9,IF(A92=4,断面设计!$D$10,IF(A92=5,断面设计!$D$11,IF(A92=6,断面设计!$D$12,IF(A92=7,断面设计!$D$13,IF(A92=8,断面设计!$D$14,IF(A92=9,断面设计!$D$15,IF(A92=10,断面设计!$D$16))))))))))</f>
        <v>1.5</v>
      </c>
      <c r="M92" s="115">
        <f t="shared" si="43"/>
        <v>1.2</v>
      </c>
      <c r="N92" s="116">
        <f t="shared" si="50"/>
        <v>1.4999999999999999E-2</v>
      </c>
      <c r="O92" s="115">
        <f>IF(A92=1,断面设计!$J$7,IF(A92=2,断面设计!$J$8,IF(A92=3,断面设计!$J$9,IF(A92=4,断面设计!$J$10,IF(A92=5,断面设计!$J$11,IF(A92=6,断面设计!$J$12,IF(A92=7,断面设计!$J$13,IF(A92=8,断面设计!$J$14,IF(A92=9,断面设计!$J$15,IF(A92=10,断面设计!$J$16))))))))))</f>
        <v>5000</v>
      </c>
      <c r="P92" s="117">
        <f>IF(A92=1,断面设计!$K$7,IF(A92=2,断面设计!$K$8,IF(A92=3,断面设计!$K$9,IF(A92=4,断面设计!$K$10,IF(A92=5,断面设计!$K$11,IF(A92=6,断面设计!$K$12,IF(A92=7,断面设计!$K$13,IF(A92=8,断面设计!$K$14,IF(A92=9,断面设计!$K$15,IF(A92=10,断面设计!$K$16))))))))))</f>
        <v>4.0008708155654071</v>
      </c>
      <c r="Q92" s="116">
        <f>IF(A92=1,断面设计!$C$7,IF(A92=2,断面设计!$C$8,IF(A92=3,断面设计!$C$9,IF(A92=4,断面设计!$C$10,IF(A92=5,断面设计!$C$11,IF(A92=6,断面设计!$C$12,IF(A92=7,断面设计!$C$13,IF(A92=8,断面设计!$C$14,IF(A92=9,断面设计!$C$15,IF(A92=10,断面设计!$C$16))))))))))</f>
        <v>1.4961164896839501</v>
      </c>
      <c r="R92" s="115">
        <f>IF(A92=1,断面设计!$F$7,IF(A92=2,断面设计!$F$8,IF(A92=3,断面设计!$F$9,IF(A92=4,断面设计!$F$10,IF(A92=5,断面设计!$F$11,IF(A92=6,断面设计!$F$12,IF(A92=7,断面设计!$F$13,IF(A92=8,断面设计!$F$14,IF(A92=9,断面设计!$F$15,IF(A92=10,断面设计!$F$16))))))))))</f>
        <v>4.930212195370995</v>
      </c>
      <c r="S92" s="115">
        <f>IF(A92=1,断面设计!$G$7,IF(A92=2,断面设计!$G$8,IF(A92=3,断面设计!$G$9,IF(A92=4,断面设计!$G$10,IF(A92=5,断面设计!$G$11,IF(A92=6,断面设计!$G$12,IF(A92=7,断面设计!$G$13,IF(A92=8,断面设计!$G$14,IF(A92=9,断面设计!$G$15,IF(A92=10,断面设计!$G$16))))))))))</f>
        <v>6.1740173314690692</v>
      </c>
      <c r="T92" s="115">
        <f t="shared" si="44"/>
        <v>0.79854200768786654</v>
      </c>
      <c r="U92" s="115">
        <f t="shared" si="45"/>
        <v>0.81150073404991541</v>
      </c>
      <c r="V92" s="125"/>
      <c r="W92" s="178"/>
      <c r="X92" s="116"/>
      <c r="Y92" s="139">
        <v>0</v>
      </c>
      <c r="Z92" s="140">
        <f t="shared" si="51"/>
        <v>0</v>
      </c>
      <c r="AA92" s="143"/>
      <c r="AB92" s="139">
        <f t="shared" si="33"/>
        <v>1.4961164896839501</v>
      </c>
      <c r="AC92" s="116">
        <f t="shared" si="34"/>
        <v>0</v>
      </c>
      <c r="AD92" s="116">
        <f t="shared" ca="1" si="47"/>
        <v>2387.4446915323192</v>
      </c>
      <c r="AE92" s="141">
        <f t="shared" si="48"/>
        <v>0</v>
      </c>
      <c r="AF92" s="116" t="str">
        <f t="shared" si="35"/>
        <v xml:space="preserve"> </v>
      </c>
      <c r="AG92" s="116" t="str">
        <f>IF(AE92=0," ",AF92-断面设计!$C$7)</f>
        <v xml:space="preserve"> </v>
      </c>
      <c r="AH92" s="116" t="str">
        <f t="shared" si="36"/>
        <v xml:space="preserve"> </v>
      </c>
      <c r="AI92" s="116" t="str">
        <f t="shared" si="37"/>
        <v xml:space="preserve"> </v>
      </c>
      <c r="AJ92" s="116" t="str">
        <f t="shared" si="38"/>
        <v xml:space="preserve"> </v>
      </c>
      <c r="AK92" s="116" t="str">
        <f t="shared" si="39"/>
        <v xml:space="preserve"> </v>
      </c>
      <c r="AL92" s="116">
        <f t="shared" ca="1" si="40"/>
        <v>2387.4446915323192</v>
      </c>
      <c r="AM92" s="116">
        <f t="shared" ca="1" si="41"/>
        <v>2385.9485750426352</v>
      </c>
      <c r="AN92" s="178"/>
      <c r="AO92" s="92">
        <v>0</v>
      </c>
      <c r="AP92" s="42"/>
      <c r="AQ92" s="42"/>
      <c r="AR92" s="42"/>
      <c r="AS92" s="42"/>
      <c r="AT92" s="42"/>
      <c r="AU92" s="64" t="str">
        <f t="shared" ca="1" si="49"/>
        <v>6675.65688273331,2385.94857504264</v>
      </c>
      <c r="AV92" s="64" t="str">
        <f t="shared" ca="1" si="30"/>
        <v>6675.65688273331,2387.44469153232</v>
      </c>
      <c r="AW92" s="169" t="str">
        <f t="shared" si="31"/>
        <v xml:space="preserve">pl 6675.65688273331,0 6675.65688273331,76 </v>
      </c>
      <c r="AX92" s="161" t="str">
        <f t="shared" ca="1" si="27"/>
        <v>-text 6675.65688273331,48 3.5 90 2385.949</v>
      </c>
      <c r="AY92" s="161" t="str">
        <f t="shared" ca="1" si="28"/>
        <v>-text 6675.65688273331,62.5 3.5 90 2387.445</v>
      </c>
      <c r="AZ92" s="42" t="str">
        <f t="shared" si="29"/>
        <v>-text 6675.65688273331,23.5 3.5 90 马分6+675.66</v>
      </c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  <c r="CW92" s="42"/>
      <c r="CX92" s="42"/>
      <c r="CY92" s="42"/>
      <c r="CZ92" s="42"/>
      <c r="DA92" s="42"/>
      <c r="DB92" s="42"/>
      <c r="DC92" s="42"/>
      <c r="DD92" s="42"/>
      <c r="DE92" s="42"/>
      <c r="DF92" s="42"/>
      <c r="DG92" s="42"/>
      <c r="DH92" s="42"/>
      <c r="DI92" s="42"/>
      <c r="DJ92" s="42"/>
      <c r="DK92" s="42"/>
      <c r="DL92" s="42"/>
      <c r="DM92" s="42"/>
      <c r="DN92" s="42"/>
      <c r="DO92" s="42"/>
      <c r="DP92" s="42"/>
      <c r="DQ92" s="42"/>
      <c r="DR92" s="42"/>
      <c r="DS92" s="42"/>
      <c r="DT92" s="42"/>
      <c r="DU92" s="42"/>
      <c r="DV92" s="42"/>
      <c r="DW92" s="42"/>
      <c r="DX92" s="42"/>
      <c r="DY92" s="42"/>
      <c r="DZ92" s="42"/>
      <c r="EA92" s="42"/>
      <c r="EB92" s="42"/>
      <c r="EC92" s="42"/>
      <c r="ED92" s="42"/>
      <c r="EE92" s="42"/>
      <c r="EF92" s="42"/>
      <c r="EG92" s="42"/>
      <c r="EH92" s="42"/>
      <c r="EI92" s="42"/>
      <c r="EJ92" s="42"/>
      <c r="EK92" s="42"/>
      <c r="EL92" s="42"/>
      <c r="EM92" s="42"/>
      <c r="EN92" s="42"/>
      <c r="EO92" s="42"/>
      <c r="EP92" s="42"/>
      <c r="EQ92" s="42"/>
      <c r="ER92" s="42"/>
      <c r="ES92" s="42"/>
      <c r="ET92" s="42"/>
      <c r="EU92" s="42"/>
      <c r="EV92" s="42"/>
      <c r="EW92" s="42"/>
      <c r="EX92" s="42"/>
      <c r="EY92" s="42"/>
      <c r="EZ92" s="42"/>
      <c r="FA92" s="42"/>
      <c r="FB92" s="42"/>
      <c r="FC92" s="42"/>
      <c r="FD92" s="42"/>
      <c r="FE92" s="42"/>
      <c r="FF92" s="42"/>
      <c r="FG92" s="42"/>
      <c r="FH92" s="42"/>
      <c r="FI92" s="42"/>
      <c r="FJ92" s="42"/>
      <c r="FK92" s="42"/>
      <c r="FL92" s="42"/>
      <c r="FM92" s="42"/>
      <c r="FN92" s="42"/>
      <c r="FO92" s="42"/>
      <c r="FP92" s="42"/>
      <c r="FQ92" s="42"/>
      <c r="FR92" s="42"/>
      <c r="FS92" s="42"/>
      <c r="FT92" s="42"/>
      <c r="FU92" s="42"/>
      <c r="FV92" s="42"/>
      <c r="FW92" s="42"/>
      <c r="FX92" s="42"/>
      <c r="FY92" s="42"/>
      <c r="FZ92" s="42"/>
      <c r="GA92" s="42"/>
      <c r="GB92" s="42"/>
      <c r="GC92" s="42"/>
      <c r="GD92" s="42"/>
      <c r="GE92" s="42"/>
      <c r="GF92" s="42"/>
      <c r="GG92" s="42"/>
      <c r="GH92" s="42"/>
      <c r="GI92" s="42"/>
      <c r="GJ92" s="42"/>
      <c r="GK92" s="42"/>
      <c r="GL92" s="42"/>
      <c r="GM92" s="42"/>
      <c r="GN92" s="42"/>
      <c r="GO92" s="42"/>
      <c r="GP92" s="42"/>
      <c r="GQ92" s="42"/>
      <c r="GR92" s="42"/>
      <c r="GS92" s="42"/>
      <c r="GT92" s="42"/>
      <c r="GU92" s="42"/>
      <c r="GV92" s="42"/>
      <c r="GW92" s="42"/>
      <c r="GX92" s="42"/>
    </row>
    <row r="93" spans="1:206" s="55" customFormat="1" x14ac:dyDescent="0.25">
      <c r="A93" s="92">
        <v>4</v>
      </c>
      <c r="B93" s="93" t="str">
        <f>线路!B90</f>
        <v>IP63</v>
      </c>
      <c r="C93" s="94">
        <f>线路!E90</f>
        <v>450240.08590000001</v>
      </c>
      <c r="D93" s="94">
        <f>线路!F90</f>
        <v>3041801.6181999999</v>
      </c>
      <c r="E93" s="95">
        <f>线路!G90</f>
        <v>5.4</v>
      </c>
      <c r="F93" s="95">
        <f>线路!H90</f>
        <v>25.042999999999999</v>
      </c>
      <c r="G93" s="96">
        <f>线路!L90</f>
        <v>7247.1362087281032</v>
      </c>
      <c r="H93" s="96">
        <f>线路!M90</f>
        <v>7248.316332300461</v>
      </c>
      <c r="I93" s="96">
        <f>线路!N90</f>
        <v>7249.4964558728188</v>
      </c>
      <c r="J93" s="115">
        <f t="shared" si="32"/>
        <v>2.3602471447156859</v>
      </c>
      <c r="K93" s="115">
        <f t="shared" si="42"/>
        <v>572.65944956714611</v>
      </c>
      <c r="L93" s="115">
        <f>IF(A93=1,断面设计!$D$7,IF(A93=2,断面设计!$D$8,IF(A93=3,断面设计!$D$9,IF(A93=4,断面设计!$D$10,IF(A93=5,断面设计!$D$11,IF(A93=6,断面设计!$D$12,IF(A93=7,断面设计!$D$13,IF(A93=8,断面设计!$D$14,IF(A93=9,断面设计!$D$15,IF(A93=10,断面设计!$D$16))))))))))</f>
        <v>1.5</v>
      </c>
      <c r="M93" s="115">
        <f t="shared" si="43"/>
        <v>1.2</v>
      </c>
      <c r="N93" s="116">
        <f t="shared" si="50"/>
        <v>1.4999999999999999E-2</v>
      </c>
      <c r="O93" s="115">
        <f>IF(A93=1,断面设计!$J$7,IF(A93=2,断面设计!$J$8,IF(A93=3,断面设计!$J$9,IF(A93=4,断面设计!$J$10,IF(A93=5,断面设计!$J$11,IF(A93=6,断面设计!$J$12,IF(A93=7,断面设计!$J$13,IF(A93=8,断面设计!$J$14,IF(A93=9,断面设计!$J$15,IF(A93=10,断面设计!$J$16))))))))))</f>
        <v>5000</v>
      </c>
      <c r="P93" s="117">
        <f>IF(A93=1,断面设计!$K$7,IF(A93=2,断面设计!$K$8,IF(A93=3,断面设计!$K$9,IF(A93=4,断面设计!$K$10,IF(A93=5,断面设计!$K$11,IF(A93=6,断面设计!$K$12,IF(A93=7,断面设计!$K$13,IF(A93=8,断面设计!$K$14,IF(A93=9,断面设计!$K$15,IF(A93=10,断面设计!$K$16))))))))))</f>
        <v>4.0008708155654071</v>
      </c>
      <c r="Q93" s="116">
        <f>IF(A93=1,断面设计!$C$7,IF(A93=2,断面设计!$C$8,IF(A93=3,断面设计!$C$9,IF(A93=4,断面设计!$C$10,IF(A93=5,断面设计!$C$11,IF(A93=6,断面设计!$C$12,IF(A93=7,断面设计!$C$13,IF(A93=8,断面设计!$C$14,IF(A93=9,断面设计!$C$15,IF(A93=10,断面设计!$C$16))))))))))</f>
        <v>1.4961164896839501</v>
      </c>
      <c r="R93" s="115">
        <f>IF(A93=1,断面设计!$F$7,IF(A93=2,断面设计!$F$8,IF(A93=3,断面设计!$F$9,IF(A93=4,断面设计!$F$10,IF(A93=5,断面设计!$F$11,IF(A93=6,断面设计!$F$12,IF(A93=7,断面设计!$F$13,IF(A93=8,断面设计!$F$14,IF(A93=9,断面设计!$F$15,IF(A93=10,断面设计!$F$16))))))))))</f>
        <v>4.930212195370995</v>
      </c>
      <c r="S93" s="115">
        <f>IF(A93=1,断面设计!$G$7,IF(A93=2,断面设计!$G$8,IF(A93=3,断面设计!$G$9,IF(A93=4,断面设计!$G$10,IF(A93=5,断面设计!$G$11,IF(A93=6,断面设计!$G$12,IF(A93=7,断面设计!$G$13,IF(A93=8,断面设计!$G$14,IF(A93=9,断面设计!$G$15,IF(A93=10,断面设计!$G$16))))))))))</f>
        <v>6.1740173314690692</v>
      </c>
      <c r="T93" s="115">
        <f t="shared" si="44"/>
        <v>0.79854200768786654</v>
      </c>
      <c r="U93" s="115">
        <f t="shared" si="45"/>
        <v>0.81150073404991541</v>
      </c>
      <c r="V93" s="125"/>
      <c r="W93" s="116"/>
      <c r="X93" s="116"/>
      <c r="Y93" s="139">
        <v>0</v>
      </c>
      <c r="Z93" s="140">
        <f t="shared" si="51"/>
        <v>0</v>
      </c>
      <c r="AA93" s="143"/>
      <c r="AB93" s="139">
        <f t="shared" si="33"/>
        <v>1.4961164896839501</v>
      </c>
      <c r="AC93" s="116">
        <f t="shared" si="34"/>
        <v>0</v>
      </c>
      <c r="AD93" s="116">
        <f t="shared" ca="1" si="47"/>
        <v>2387.4446915323192</v>
      </c>
      <c r="AE93" s="141">
        <f t="shared" si="48"/>
        <v>0</v>
      </c>
      <c r="AF93" s="116" t="str">
        <f t="shared" si="35"/>
        <v xml:space="preserve"> </v>
      </c>
      <c r="AG93" s="116" t="str">
        <f>IF(AE93=0," ",AF93-断面设计!$C$11)</f>
        <v xml:space="preserve"> </v>
      </c>
      <c r="AH93" s="116">
        <f t="shared" ca="1" si="36"/>
        <v>2387.4449275570337</v>
      </c>
      <c r="AI93" s="116">
        <f t="shared" ca="1" si="37"/>
        <v>2385.9488110673497</v>
      </c>
      <c r="AJ93" s="116">
        <f t="shared" ca="1" si="38"/>
        <v>2387.4444555076047</v>
      </c>
      <c r="AK93" s="116">
        <f t="shared" ca="1" si="39"/>
        <v>2385.9483390179207</v>
      </c>
      <c r="AL93" s="116">
        <f t="shared" ca="1" si="40"/>
        <v>2387.4446915323192</v>
      </c>
      <c r="AM93" s="116">
        <f t="shared" ca="1" si="41"/>
        <v>2385.9485750426352</v>
      </c>
      <c r="AN93" s="178"/>
      <c r="AO93" s="92">
        <v>0</v>
      </c>
      <c r="AP93" s="42"/>
      <c r="AQ93" s="42"/>
      <c r="AR93" s="42"/>
      <c r="AS93" s="42"/>
      <c r="AT93" s="42"/>
      <c r="AU93" s="64" t="str">
        <f t="shared" ca="1" si="49"/>
        <v>7248.31633230046,2385.94857504264</v>
      </c>
      <c r="AV93" s="64" t="str">
        <f t="shared" ca="1" si="30"/>
        <v>7248.31633230046,2387.44469153232</v>
      </c>
      <c r="AW93" s="169" t="str">
        <f t="shared" si="31"/>
        <v xml:space="preserve">pl 7248.31633230046,0 7248.31633230046,76 </v>
      </c>
      <c r="AX93" s="161" t="str">
        <f t="shared" ca="1" si="27"/>
        <v>-text 7248.31633230046,48 3.5 90 2385.949</v>
      </c>
      <c r="AY93" s="161" t="str">
        <f t="shared" ca="1" si="28"/>
        <v>-text 7248.31633230046,62.5 3.5 90 2387.445</v>
      </c>
      <c r="AZ93" s="42" t="str">
        <f t="shared" si="29"/>
        <v>-text 7248.31633230046,23.5 3.5 90 马分7+248.32</v>
      </c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  <c r="CW93" s="42"/>
      <c r="CX93" s="42"/>
      <c r="CY93" s="42"/>
      <c r="CZ93" s="42"/>
      <c r="DA93" s="42"/>
      <c r="DB93" s="42"/>
      <c r="DC93" s="42"/>
      <c r="DD93" s="42"/>
      <c r="DE93" s="42"/>
      <c r="DF93" s="42"/>
      <c r="DG93" s="42"/>
      <c r="DH93" s="42"/>
      <c r="DI93" s="42"/>
      <c r="DJ93" s="42"/>
      <c r="DK93" s="42"/>
      <c r="DL93" s="42"/>
      <c r="DM93" s="42"/>
      <c r="DN93" s="42"/>
      <c r="DO93" s="42"/>
      <c r="DP93" s="42"/>
      <c r="DQ93" s="42"/>
      <c r="DR93" s="42"/>
      <c r="DS93" s="42"/>
      <c r="DT93" s="42"/>
      <c r="DU93" s="42"/>
      <c r="DV93" s="42"/>
      <c r="DW93" s="42"/>
      <c r="DX93" s="42"/>
      <c r="DY93" s="42"/>
      <c r="DZ93" s="42"/>
      <c r="EA93" s="42"/>
      <c r="EB93" s="42"/>
      <c r="EC93" s="42"/>
      <c r="ED93" s="42"/>
      <c r="EE93" s="42"/>
      <c r="EF93" s="42"/>
      <c r="EG93" s="42"/>
      <c r="EH93" s="42"/>
      <c r="EI93" s="42"/>
      <c r="EJ93" s="42"/>
      <c r="EK93" s="42"/>
      <c r="EL93" s="42"/>
      <c r="EM93" s="42"/>
      <c r="EN93" s="42"/>
      <c r="EO93" s="42"/>
      <c r="EP93" s="42"/>
      <c r="EQ93" s="42"/>
      <c r="ER93" s="42"/>
      <c r="ES93" s="42"/>
      <c r="ET93" s="42"/>
      <c r="EU93" s="42"/>
      <c r="EV93" s="42"/>
      <c r="EW93" s="42"/>
      <c r="EX93" s="42"/>
      <c r="EY93" s="42"/>
      <c r="EZ93" s="42"/>
      <c r="FA93" s="42"/>
      <c r="FB93" s="42"/>
      <c r="FC93" s="42"/>
      <c r="FD93" s="42"/>
      <c r="FE93" s="42"/>
      <c r="FF93" s="42"/>
      <c r="FG93" s="42"/>
      <c r="FH93" s="42"/>
      <c r="FI93" s="42"/>
      <c r="FJ93" s="42"/>
      <c r="FK93" s="42"/>
      <c r="FL93" s="42"/>
      <c r="FM93" s="42"/>
      <c r="FN93" s="42"/>
      <c r="FO93" s="42"/>
      <c r="FP93" s="42"/>
      <c r="FQ93" s="42"/>
      <c r="FR93" s="42"/>
      <c r="FS93" s="42"/>
      <c r="FT93" s="42"/>
      <c r="FU93" s="42"/>
      <c r="FV93" s="42"/>
      <c r="FW93" s="42"/>
      <c r="FX93" s="42"/>
      <c r="FY93" s="42"/>
      <c r="FZ93" s="42"/>
      <c r="GA93" s="42"/>
      <c r="GB93" s="42"/>
      <c r="GC93" s="42"/>
      <c r="GD93" s="42"/>
      <c r="GE93" s="42"/>
      <c r="GF93" s="42"/>
      <c r="GG93" s="42"/>
      <c r="GH93" s="42"/>
      <c r="GI93" s="42"/>
      <c r="GJ93" s="42"/>
      <c r="GK93" s="42"/>
      <c r="GL93" s="42"/>
      <c r="GM93" s="42"/>
      <c r="GN93" s="42"/>
      <c r="GO93" s="42"/>
      <c r="GP93" s="42"/>
      <c r="GQ93" s="42"/>
      <c r="GR93" s="42"/>
      <c r="GS93" s="42"/>
      <c r="GT93" s="42"/>
      <c r="GU93" s="42"/>
      <c r="GV93" s="42"/>
      <c r="GW93" s="42"/>
      <c r="GX93" s="42"/>
    </row>
    <row r="94" spans="1:206" s="55" customFormat="1" x14ac:dyDescent="0.25">
      <c r="A94" s="92">
        <v>4</v>
      </c>
      <c r="B94" s="93" t="str">
        <f>线路!B91</f>
        <v>IP64</v>
      </c>
      <c r="C94" s="94">
        <f>线路!E91</f>
        <v>450045.6741</v>
      </c>
      <c r="D94" s="94">
        <f>线路!F91</f>
        <v>3041717.1096999999</v>
      </c>
      <c r="E94" s="95">
        <f>线路!G91</f>
        <v>5.4</v>
      </c>
      <c r="F94" s="95">
        <f>线路!H91</f>
        <v>45.49</v>
      </c>
      <c r="G94" s="96">
        <f>线路!L91</f>
        <v>7458.0183113700223</v>
      </c>
      <c r="H94" s="96">
        <f>线路!M91</f>
        <v>7460.1619771171991</v>
      </c>
      <c r="I94" s="96">
        <f>线路!N91</f>
        <v>7462.3056428643758</v>
      </c>
      <c r="J94" s="115">
        <f t="shared" si="32"/>
        <v>4.2873314943535661</v>
      </c>
      <c r="K94" s="115">
        <f t="shared" si="42"/>
        <v>211.84564481673806</v>
      </c>
      <c r="L94" s="115">
        <f>IF(A94=1,断面设计!$D$7,IF(A94=2,断面设计!$D$8,IF(A94=3,断面设计!$D$9,IF(A94=4,断面设计!$D$10,IF(A94=5,断面设计!$D$11,IF(A94=6,断面设计!$D$12,IF(A94=7,断面设计!$D$13,IF(A94=8,断面设计!$D$14,IF(A94=9,断面设计!$D$15,IF(A94=10,断面设计!$D$16))))))))))</f>
        <v>1.5</v>
      </c>
      <c r="M94" s="115">
        <f t="shared" si="43"/>
        <v>1.2</v>
      </c>
      <c r="N94" s="116">
        <f t="shared" si="50"/>
        <v>1.4999999999999999E-2</v>
      </c>
      <c r="O94" s="115">
        <f>IF(A94=1,断面设计!$J$7,IF(A94=2,断面设计!$J$8,IF(A94=3,断面设计!$J$9,IF(A94=4,断面设计!$J$10,IF(A94=5,断面设计!$J$11,IF(A94=6,断面设计!$J$12,IF(A94=7,断面设计!$J$13,IF(A94=8,断面设计!$J$14,IF(A94=9,断面设计!$J$15,IF(A94=10,断面设计!$J$16))))))))))</f>
        <v>5000</v>
      </c>
      <c r="P94" s="117">
        <f>IF(A94=1,断面设计!$K$7,IF(A94=2,断面设计!$K$8,IF(A94=3,断面设计!$K$9,IF(A94=4,断面设计!$K$10,IF(A94=5,断面设计!$K$11,IF(A94=6,断面设计!$K$12,IF(A94=7,断面设计!$K$13,IF(A94=8,断面设计!$K$14,IF(A94=9,断面设计!$K$15,IF(A94=10,断面设计!$K$16))))))))))</f>
        <v>4.0008708155654071</v>
      </c>
      <c r="Q94" s="116">
        <f>IF(A94=1,断面设计!$C$7,IF(A94=2,断面设计!$C$8,IF(A94=3,断面设计!$C$9,IF(A94=4,断面设计!$C$10,IF(A94=5,断面设计!$C$11,IF(A94=6,断面设计!$C$12,IF(A94=7,断面设计!$C$13,IF(A94=8,断面设计!$C$14,IF(A94=9,断面设计!$C$15,IF(A94=10,断面设计!$C$16))))))))))</f>
        <v>1.4961164896839501</v>
      </c>
      <c r="R94" s="115">
        <f>IF(A94=1,断面设计!$F$7,IF(A94=2,断面设计!$F$8,IF(A94=3,断面设计!$F$9,IF(A94=4,断面设计!$F$10,IF(A94=5,断面设计!$F$11,IF(A94=6,断面设计!$F$12,IF(A94=7,断面设计!$F$13,IF(A94=8,断面设计!$F$14,IF(A94=9,断面设计!$F$15,IF(A94=10,断面设计!$F$16))))))))))</f>
        <v>4.930212195370995</v>
      </c>
      <c r="S94" s="115">
        <f>IF(A94=1,断面设计!$G$7,IF(A94=2,断面设计!$G$8,IF(A94=3,断面设计!$G$9,IF(A94=4,断面设计!$G$10,IF(A94=5,断面设计!$G$11,IF(A94=6,断面设计!$G$12,IF(A94=7,断面设计!$G$13,IF(A94=8,断面设计!$G$14,IF(A94=9,断面设计!$G$15,IF(A94=10,断面设计!$G$16))))))))))</f>
        <v>6.1740173314690692</v>
      </c>
      <c r="T94" s="115">
        <f t="shared" si="44"/>
        <v>0.79854200768786654</v>
      </c>
      <c r="U94" s="115">
        <f t="shared" si="45"/>
        <v>0.81150073404991541</v>
      </c>
      <c r="V94" s="125"/>
      <c r="W94" s="178"/>
      <c r="X94" s="116"/>
      <c r="Y94" s="139">
        <v>0</v>
      </c>
      <c r="Z94" s="140">
        <f t="shared" si="51"/>
        <v>0</v>
      </c>
      <c r="AA94" s="143"/>
      <c r="AB94" s="139">
        <f t="shared" si="33"/>
        <v>1.4961164896839501</v>
      </c>
      <c r="AC94" s="116">
        <f t="shared" si="34"/>
        <v>0</v>
      </c>
      <c r="AD94" s="116">
        <f t="shared" ca="1" si="47"/>
        <v>2387.4446915323192</v>
      </c>
      <c r="AE94" s="141">
        <f t="shared" si="48"/>
        <v>0</v>
      </c>
      <c r="AF94" s="116" t="str">
        <f t="shared" si="35"/>
        <v xml:space="preserve"> </v>
      </c>
      <c r="AG94" s="116" t="str">
        <f>IF(AE94=0," ",AF94-断面设计!$C$7)</f>
        <v xml:space="preserve"> </v>
      </c>
      <c r="AH94" s="116">
        <f t="shared" ca="1" si="36"/>
        <v>2387.4451202654686</v>
      </c>
      <c r="AI94" s="116">
        <f t="shared" ca="1" si="37"/>
        <v>2385.9490037757846</v>
      </c>
      <c r="AJ94" s="116">
        <f t="shared" ca="1" si="38"/>
        <v>2387.4442627991698</v>
      </c>
      <c r="AK94" s="116">
        <f t="shared" ca="1" si="39"/>
        <v>2385.9481463094858</v>
      </c>
      <c r="AL94" s="116">
        <f t="shared" ca="1" si="40"/>
        <v>2387.4446915323192</v>
      </c>
      <c r="AM94" s="116">
        <f t="shared" ca="1" si="41"/>
        <v>2385.9485750426352</v>
      </c>
      <c r="AN94" s="178"/>
      <c r="AO94" s="92">
        <v>0</v>
      </c>
      <c r="AP94" s="42"/>
      <c r="AQ94" s="42"/>
      <c r="AR94" s="42"/>
      <c r="AS94" s="42"/>
      <c r="AT94" s="42"/>
      <c r="AU94" s="64" t="str">
        <f t="shared" ca="1" si="49"/>
        <v>7460.1619771172,2385.94857504264</v>
      </c>
      <c r="AV94" s="64" t="str">
        <f t="shared" ca="1" si="30"/>
        <v>7460.1619771172,2387.44469153232</v>
      </c>
      <c r="AW94" s="169" t="str">
        <f t="shared" si="31"/>
        <v xml:space="preserve">pl 7460.1619771172,0 7460.1619771172,76 </v>
      </c>
      <c r="AX94" s="161" t="str">
        <f t="shared" ca="1" si="27"/>
        <v>-text 7460.1619771172,48 3.5 90 2385.949</v>
      </c>
      <c r="AY94" s="161" t="str">
        <f t="shared" ca="1" si="28"/>
        <v>-text 7460.1619771172,62.5 3.5 90 2387.445</v>
      </c>
      <c r="AZ94" s="42" t="str">
        <f t="shared" si="29"/>
        <v>-text 7460.1619771172,23.5 3.5 90 马分7+460.16</v>
      </c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  <c r="CW94" s="42"/>
      <c r="CX94" s="42"/>
      <c r="CY94" s="42"/>
      <c r="CZ94" s="42"/>
      <c r="DA94" s="42"/>
      <c r="DB94" s="42"/>
      <c r="DC94" s="42"/>
      <c r="DD94" s="42"/>
      <c r="DE94" s="42"/>
      <c r="DF94" s="42"/>
      <c r="DG94" s="42"/>
      <c r="DH94" s="42"/>
      <c r="DI94" s="42"/>
      <c r="DJ94" s="42"/>
      <c r="DK94" s="42"/>
      <c r="DL94" s="42"/>
      <c r="DM94" s="42"/>
      <c r="DN94" s="42"/>
      <c r="DO94" s="42"/>
      <c r="DP94" s="42"/>
      <c r="DQ94" s="42"/>
      <c r="DR94" s="42"/>
      <c r="DS94" s="42"/>
      <c r="DT94" s="42"/>
      <c r="DU94" s="42"/>
      <c r="DV94" s="42"/>
      <c r="DW94" s="42"/>
      <c r="DX94" s="42"/>
      <c r="DY94" s="42"/>
      <c r="DZ94" s="42"/>
      <c r="EA94" s="42"/>
      <c r="EB94" s="42"/>
      <c r="EC94" s="42"/>
      <c r="ED94" s="42"/>
      <c r="EE94" s="42"/>
      <c r="EF94" s="42"/>
      <c r="EG94" s="42"/>
      <c r="EH94" s="42"/>
      <c r="EI94" s="42"/>
      <c r="EJ94" s="42"/>
      <c r="EK94" s="42"/>
      <c r="EL94" s="42"/>
      <c r="EM94" s="42"/>
      <c r="EN94" s="42"/>
      <c r="EO94" s="42"/>
      <c r="EP94" s="42"/>
      <c r="EQ94" s="42"/>
      <c r="ER94" s="42"/>
      <c r="ES94" s="42"/>
      <c r="ET94" s="42"/>
      <c r="EU94" s="42"/>
      <c r="EV94" s="42"/>
      <c r="EW94" s="42"/>
      <c r="EX94" s="42"/>
      <c r="EY94" s="42"/>
      <c r="EZ94" s="42"/>
      <c r="FA94" s="42"/>
      <c r="FB94" s="42"/>
      <c r="FC94" s="42"/>
      <c r="FD94" s="42"/>
      <c r="FE94" s="42"/>
      <c r="FF94" s="42"/>
      <c r="FG94" s="42"/>
      <c r="FH94" s="42"/>
      <c r="FI94" s="42"/>
      <c r="FJ94" s="42"/>
      <c r="FK94" s="42"/>
      <c r="FL94" s="42"/>
      <c r="FM94" s="42"/>
      <c r="FN94" s="42"/>
      <c r="FO94" s="42"/>
      <c r="FP94" s="42"/>
      <c r="FQ94" s="42"/>
      <c r="FR94" s="42"/>
      <c r="FS94" s="42"/>
      <c r="FT94" s="42"/>
      <c r="FU94" s="42"/>
      <c r="FV94" s="42"/>
      <c r="FW94" s="42"/>
      <c r="FX94" s="42"/>
      <c r="FY94" s="42"/>
      <c r="FZ94" s="42"/>
      <c r="GA94" s="42"/>
      <c r="GB94" s="42"/>
      <c r="GC94" s="42"/>
      <c r="GD94" s="42"/>
      <c r="GE94" s="42"/>
      <c r="GF94" s="42"/>
      <c r="GG94" s="42"/>
      <c r="GH94" s="42"/>
      <c r="GI94" s="42"/>
      <c r="GJ94" s="42"/>
      <c r="GK94" s="42"/>
      <c r="GL94" s="42"/>
      <c r="GM94" s="42"/>
      <c r="GN94" s="42"/>
      <c r="GO94" s="42"/>
      <c r="GP94" s="42"/>
      <c r="GQ94" s="42"/>
      <c r="GR94" s="42"/>
      <c r="GS94" s="42"/>
      <c r="GT94" s="42"/>
      <c r="GU94" s="42"/>
      <c r="GV94" s="42"/>
      <c r="GW94" s="42"/>
      <c r="GX94" s="42"/>
    </row>
    <row r="95" spans="1:206" s="55" customFormat="1" x14ac:dyDescent="0.25">
      <c r="A95" s="92">
        <v>4</v>
      </c>
      <c r="B95" s="93" t="str">
        <f>线路!B92</f>
        <v>IP65</v>
      </c>
      <c r="C95" s="94">
        <f>线路!E92</f>
        <v>449953.90549999999</v>
      </c>
      <c r="D95" s="94">
        <f>线路!F92</f>
        <v>3041478.2414000002</v>
      </c>
      <c r="E95" s="95">
        <f>线路!G92</f>
        <v>5.4</v>
      </c>
      <c r="F95" s="95">
        <f>线路!H92</f>
        <v>8.9990000000000006</v>
      </c>
      <c r="G95" s="96">
        <f>线路!L92</f>
        <v>7715.5065513673017</v>
      </c>
      <c r="H95" s="96">
        <f>线路!M92</f>
        <v>7715.930619251646</v>
      </c>
      <c r="I95" s="96">
        <f>线路!N92</f>
        <v>7716.3546871359913</v>
      </c>
      <c r="J95" s="115">
        <f t="shared" si="32"/>
        <v>0.84813576868964446</v>
      </c>
      <c r="K95" s="115">
        <f t="shared" si="42"/>
        <v>255.76864213444696</v>
      </c>
      <c r="L95" s="115">
        <f>IF(A95=1,断面设计!$D$7,IF(A95=2,断面设计!$D$8,IF(A95=3,断面设计!$D$9,IF(A95=4,断面设计!$D$10,IF(A95=5,断面设计!$D$11,IF(A95=6,断面设计!$D$12,IF(A95=7,断面设计!$D$13,IF(A95=8,断面设计!$D$14,IF(A95=9,断面设计!$D$15,IF(A95=10,断面设计!$D$16))))))))))</f>
        <v>1.5</v>
      </c>
      <c r="M95" s="115">
        <f t="shared" si="43"/>
        <v>1.2</v>
      </c>
      <c r="N95" s="116">
        <f t="shared" si="50"/>
        <v>1.4999999999999999E-2</v>
      </c>
      <c r="O95" s="115">
        <f>IF(A95=1,断面设计!$J$7,IF(A95=2,断面设计!$J$8,IF(A95=3,断面设计!$J$9,IF(A95=4,断面设计!$J$10,IF(A95=5,断面设计!$J$11,IF(A95=6,断面设计!$J$12,IF(A95=7,断面设计!$J$13,IF(A95=8,断面设计!$J$14,IF(A95=9,断面设计!$J$15,IF(A95=10,断面设计!$J$16))))))))))</f>
        <v>5000</v>
      </c>
      <c r="P95" s="117">
        <f>IF(A95=1,断面设计!$K$7,IF(A95=2,断面设计!$K$8,IF(A95=3,断面设计!$K$9,IF(A95=4,断面设计!$K$10,IF(A95=5,断面设计!$K$11,IF(A95=6,断面设计!$K$12,IF(A95=7,断面设计!$K$13,IF(A95=8,断面设计!$K$14,IF(A95=9,断面设计!$K$15,IF(A95=10,断面设计!$K$16))))))))))</f>
        <v>4.0008708155654071</v>
      </c>
      <c r="Q95" s="116">
        <f>IF(A95=1,断面设计!$C$7,IF(A95=2,断面设计!$C$8,IF(A95=3,断面设计!$C$9,IF(A95=4,断面设计!$C$10,IF(A95=5,断面设计!$C$11,IF(A95=6,断面设计!$C$12,IF(A95=7,断面设计!$C$13,IF(A95=8,断面设计!$C$14,IF(A95=9,断面设计!$C$15,IF(A95=10,断面设计!$C$16))))))))))</f>
        <v>1.4961164896839501</v>
      </c>
      <c r="R95" s="115">
        <f>IF(A95=1,断面设计!$F$7,IF(A95=2,断面设计!$F$8,IF(A95=3,断面设计!$F$9,IF(A95=4,断面设计!$F$10,IF(A95=5,断面设计!$F$11,IF(A95=6,断面设计!$F$12,IF(A95=7,断面设计!$F$13,IF(A95=8,断面设计!$F$14,IF(A95=9,断面设计!$F$15,IF(A95=10,断面设计!$F$16))))))))))</f>
        <v>4.930212195370995</v>
      </c>
      <c r="S95" s="115">
        <f>IF(A95=1,断面设计!$G$7,IF(A95=2,断面设计!$G$8,IF(A95=3,断面设计!$G$9,IF(A95=4,断面设计!$G$10,IF(A95=5,断面设计!$G$11,IF(A95=6,断面设计!$G$12,IF(A95=7,断面设计!$G$13,IF(A95=8,断面设计!$G$14,IF(A95=9,断面设计!$G$15,IF(A95=10,断面设计!$G$16))))))))))</f>
        <v>6.1740173314690692</v>
      </c>
      <c r="T95" s="115">
        <f t="shared" si="44"/>
        <v>0.79854200768786654</v>
      </c>
      <c r="U95" s="115">
        <f t="shared" si="45"/>
        <v>0.81150073404991541</v>
      </c>
      <c r="V95" s="125"/>
      <c r="W95" s="178"/>
      <c r="X95" s="116"/>
      <c r="Y95" s="139">
        <v>0</v>
      </c>
      <c r="Z95" s="140">
        <f t="shared" si="51"/>
        <v>0</v>
      </c>
      <c r="AA95" s="143"/>
      <c r="AB95" s="139">
        <f t="shared" si="33"/>
        <v>1.4961164896839501</v>
      </c>
      <c r="AC95" s="116">
        <f t="shared" si="34"/>
        <v>0</v>
      </c>
      <c r="AD95" s="116">
        <f t="shared" ca="1" si="47"/>
        <v>2387.4446915323192</v>
      </c>
      <c r="AE95" s="141">
        <f t="shared" si="48"/>
        <v>0</v>
      </c>
      <c r="AF95" s="116" t="str">
        <f t="shared" si="35"/>
        <v xml:space="preserve"> </v>
      </c>
      <c r="AG95" s="116" t="str">
        <f>IF(AE95=0," ",AF95-断面设计!$C$7)</f>
        <v xml:space="preserve"> </v>
      </c>
      <c r="AH95" s="116">
        <f t="shared" ca="1" si="36"/>
        <v>2387.4447763458961</v>
      </c>
      <c r="AI95" s="116">
        <f t="shared" ca="1" si="37"/>
        <v>2385.9486598562121</v>
      </c>
      <c r="AJ95" s="116">
        <f t="shared" ca="1" si="38"/>
        <v>2387.4446067187423</v>
      </c>
      <c r="AK95" s="116">
        <f t="shared" ca="1" si="39"/>
        <v>2385.9484902290583</v>
      </c>
      <c r="AL95" s="116">
        <f t="shared" ca="1" si="40"/>
        <v>2387.4446915323192</v>
      </c>
      <c r="AM95" s="116">
        <f t="shared" ca="1" si="41"/>
        <v>2385.9485750426352</v>
      </c>
      <c r="AN95" s="178"/>
      <c r="AO95" s="92">
        <v>0</v>
      </c>
      <c r="AP95" s="42"/>
      <c r="AQ95" s="42"/>
      <c r="AR95" s="42"/>
      <c r="AS95" s="42"/>
      <c r="AT95" s="42"/>
      <c r="AU95" s="64" t="str">
        <f t="shared" ca="1" si="49"/>
        <v>7715.93061925165,2385.94857504264</v>
      </c>
      <c r="AV95" s="64" t="str">
        <f t="shared" ca="1" si="30"/>
        <v>7715.93061925165,2387.44469153232</v>
      </c>
      <c r="AW95" s="169" t="str">
        <f t="shared" si="31"/>
        <v xml:space="preserve">pl 7715.93061925165,0 7715.93061925165,76 </v>
      </c>
      <c r="AX95" s="161" t="str">
        <f t="shared" ca="1" si="27"/>
        <v>-text 7715.93061925165,48 3.5 90 2385.949</v>
      </c>
      <c r="AY95" s="161" t="str">
        <f t="shared" ca="1" si="28"/>
        <v>-text 7715.93061925165,62.5 3.5 90 2387.445</v>
      </c>
      <c r="AZ95" s="42" t="str">
        <f t="shared" si="29"/>
        <v>-text 7715.93061925165,23.5 3.5 90 马分7+715.93</v>
      </c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  <c r="CW95" s="42"/>
      <c r="CX95" s="42"/>
      <c r="CY95" s="42"/>
      <c r="CZ95" s="42"/>
      <c r="DA95" s="42"/>
      <c r="DB95" s="42"/>
      <c r="DC95" s="42"/>
      <c r="DD95" s="42"/>
      <c r="DE95" s="42"/>
      <c r="DF95" s="42"/>
      <c r="DG95" s="42"/>
      <c r="DH95" s="42"/>
      <c r="DI95" s="42"/>
      <c r="DJ95" s="42"/>
      <c r="DK95" s="42"/>
      <c r="DL95" s="42"/>
      <c r="DM95" s="42"/>
      <c r="DN95" s="42"/>
      <c r="DO95" s="42"/>
      <c r="DP95" s="42"/>
      <c r="DQ95" s="42"/>
      <c r="DR95" s="42"/>
      <c r="DS95" s="42"/>
      <c r="DT95" s="42"/>
      <c r="DU95" s="42"/>
      <c r="DV95" s="42"/>
      <c r="DW95" s="42"/>
      <c r="DX95" s="42"/>
      <c r="DY95" s="42"/>
      <c r="DZ95" s="42"/>
      <c r="EA95" s="42"/>
      <c r="EB95" s="42"/>
      <c r="EC95" s="42"/>
      <c r="ED95" s="42"/>
      <c r="EE95" s="42"/>
      <c r="EF95" s="42"/>
      <c r="EG95" s="42"/>
      <c r="EH95" s="42"/>
      <c r="EI95" s="42"/>
      <c r="EJ95" s="42"/>
      <c r="EK95" s="42"/>
      <c r="EL95" s="42"/>
      <c r="EM95" s="42"/>
      <c r="EN95" s="42"/>
      <c r="EO95" s="42"/>
      <c r="EP95" s="42"/>
      <c r="EQ95" s="42"/>
      <c r="ER95" s="42"/>
      <c r="ES95" s="42"/>
      <c r="ET95" s="42"/>
      <c r="EU95" s="42"/>
      <c r="EV95" s="42"/>
      <c r="EW95" s="42"/>
      <c r="EX95" s="42"/>
      <c r="EY95" s="42"/>
      <c r="EZ95" s="42"/>
      <c r="FA95" s="42"/>
      <c r="FB95" s="42"/>
      <c r="FC95" s="42"/>
      <c r="FD95" s="42"/>
      <c r="FE95" s="42"/>
      <c r="FF95" s="42"/>
      <c r="FG95" s="42"/>
      <c r="FH95" s="42"/>
      <c r="FI95" s="42"/>
      <c r="FJ95" s="42"/>
      <c r="FK95" s="42"/>
      <c r="FL95" s="42"/>
      <c r="FM95" s="42"/>
      <c r="FN95" s="42"/>
      <c r="FO95" s="42"/>
      <c r="FP95" s="42"/>
      <c r="FQ95" s="42"/>
      <c r="FR95" s="42"/>
      <c r="FS95" s="42"/>
      <c r="FT95" s="42"/>
      <c r="FU95" s="42"/>
      <c r="FV95" s="42"/>
      <c r="FW95" s="42"/>
      <c r="FX95" s="42"/>
      <c r="FY95" s="42"/>
      <c r="FZ95" s="42"/>
      <c r="GA95" s="42"/>
      <c r="GB95" s="42"/>
      <c r="GC95" s="42"/>
      <c r="GD95" s="42"/>
      <c r="GE95" s="42"/>
      <c r="GF95" s="42"/>
      <c r="GG95" s="42"/>
      <c r="GH95" s="42"/>
      <c r="GI95" s="42"/>
      <c r="GJ95" s="42"/>
      <c r="GK95" s="42"/>
      <c r="GL95" s="42"/>
      <c r="GM95" s="42"/>
      <c r="GN95" s="42"/>
      <c r="GO95" s="42"/>
      <c r="GP95" s="42"/>
      <c r="GQ95" s="42"/>
      <c r="GR95" s="42"/>
      <c r="GS95" s="42"/>
      <c r="GT95" s="42"/>
      <c r="GU95" s="42"/>
      <c r="GV95" s="42"/>
      <c r="GW95" s="42"/>
      <c r="GX95" s="42"/>
    </row>
    <row r="96" spans="1:206" s="55" customFormat="1" x14ac:dyDescent="0.25">
      <c r="A96" s="92">
        <v>4</v>
      </c>
      <c r="B96" s="93" t="str">
        <f>线路!B93</f>
        <v>IP66</v>
      </c>
      <c r="C96" s="94">
        <f>线路!E93</f>
        <v>449300.57939999999</v>
      </c>
      <c r="D96" s="94">
        <f>线路!F93</f>
        <v>3040347.3034999999</v>
      </c>
      <c r="E96" s="95">
        <f>线路!G93</f>
        <v>5.4</v>
      </c>
      <c r="F96" s="95">
        <f>线路!H93</f>
        <v>18.683</v>
      </c>
      <c r="G96" s="96">
        <f>线路!L93</f>
        <v>9021.1254874780007</v>
      </c>
      <c r="H96" s="96">
        <f>线路!M93</f>
        <v>9022.005903111205</v>
      </c>
      <c r="I96" s="96">
        <f>线路!N93</f>
        <v>9022.8863187444113</v>
      </c>
      <c r="J96" s="115">
        <f t="shared" si="32"/>
        <v>1.7608312664106052</v>
      </c>
      <c r="K96" s="115">
        <f t="shared" si="42"/>
        <v>1306.075283859559</v>
      </c>
      <c r="L96" s="115">
        <f>IF(A96=1,断面设计!$D$7,IF(A96=2,断面设计!$D$8,IF(A96=3,断面设计!$D$9,IF(A96=4,断面设计!$D$10,IF(A96=5,断面设计!$D$11,IF(A96=6,断面设计!$D$12,IF(A96=7,断面设计!$D$13,IF(A96=8,断面设计!$D$14,IF(A96=9,断面设计!$D$15,IF(A96=10,断面设计!$D$16))))))))))</f>
        <v>1.5</v>
      </c>
      <c r="M96" s="115">
        <f t="shared" si="43"/>
        <v>1.2</v>
      </c>
      <c r="N96" s="116">
        <f t="shared" si="50"/>
        <v>1.4999999999999999E-2</v>
      </c>
      <c r="O96" s="115">
        <f>IF(A96=1,断面设计!$J$7,IF(A96=2,断面设计!$J$8,IF(A96=3,断面设计!$J$9,IF(A96=4,断面设计!$J$10,IF(A96=5,断面设计!$J$11,IF(A96=6,断面设计!$J$12,IF(A96=7,断面设计!$J$13,IF(A96=8,断面设计!$J$14,IF(A96=9,断面设计!$J$15,IF(A96=10,断面设计!$J$16))))))))))</f>
        <v>5000</v>
      </c>
      <c r="P96" s="117">
        <f>IF(A96=1,断面设计!$K$7,IF(A96=2,断面设计!$K$8,IF(A96=3,断面设计!$K$9,IF(A96=4,断面设计!$K$10,IF(A96=5,断面设计!$K$11,IF(A96=6,断面设计!$K$12,IF(A96=7,断面设计!$K$13,IF(A96=8,断面设计!$K$14,IF(A96=9,断面设计!$K$15,IF(A96=10,断面设计!$K$16))))))))))</f>
        <v>4.0008708155654071</v>
      </c>
      <c r="Q96" s="116">
        <f>IF(A96=1,断面设计!$C$7,IF(A96=2,断面设计!$C$8,IF(A96=3,断面设计!$C$9,IF(A96=4,断面设计!$C$10,IF(A96=5,断面设计!$C$11,IF(A96=6,断面设计!$C$12,IF(A96=7,断面设计!$C$13,IF(A96=8,断面设计!$C$14,IF(A96=9,断面设计!$C$15,IF(A96=10,断面设计!$C$16))))))))))</f>
        <v>1.4961164896839501</v>
      </c>
      <c r="R96" s="115">
        <f>IF(A96=1,断面设计!$F$7,IF(A96=2,断面设计!$F$8,IF(A96=3,断面设计!$F$9,IF(A96=4,断面设计!$F$10,IF(A96=5,断面设计!$F$11,IF(A96=6,断面设计!$F$12,IF(A96=7,断面设计!$F$13,IF(A96=8,断面设计!$F$14,IF(A96=9,断面设计!$F$15,IF(A96=10,断面设计!$F$16))))))))))</f>
        <v>4.930212195370995</v>
      </c>
      <c r="S96" s="115">
        <f>IF(A96=1,断面设计!$G$7,IF(A96=2,断面设计!$G$8,IF(A96=3,断面设计!$G$9,IF(A96=4,断面设计!$G$10,IF(A96=5,断面设计!$G$11,IF(A96=6,断面设计!$G$12,IF(A96=7,断面设计!$G$13,IF(A96=8,断面设计!$G$14,IF(A96=9,断面设计!$G$15,IF(A96=10,断面设计!$G$16))))))))))</f>
        <v>6.1740173314690692</v>
      </c>
      <c r="T96" s="115">
        <f t="shared" si="44"/>
        <v>0.79854200768786654</v>
      </c>
      <c r="U96" s="115">
        <f t="shared" si="45"/>
        <v>0.81150073404991541</v>
      </c>
      <c r="V96" s="125"/>
      <c r="W96" s="116"/>
      <c r="X96" s="116"/>
      <c r="Y96" s="139">
        <v>0</v>
      </c>
      <c r="Z96" s="140">
        <f t="shared" si="51"/>
        <v>0</v>
      </c>
      <c r="AA96" s="143"/>
      <c r="AB96" s="139">
        <f t="shared" si="33"/>
        <v>1.4961164896839501</v>
      </c>
      <c r="AC96" s="116">
        <f t="shared" si="34"/>
        <v>0</v>
      </c>
      <c r="AD96" s="116">
        <f t="shared" ca="1" si="47"/>
        <v>2387.4446915323192</v>
      </c>
      <c r="AE96" s="141">
        <f t="shared" si="48"/>
        <v>0</v>
      </c>
      <c r="AF96" s="116" t="str">
        <f t="shared" si="35"/>
        <v xml:space="preserve"> </v>
      </c>
      <c r="AG96" s="116" t="str">
        <f>IF(AE96=0," ",AF96-断面设计!$C$11)</f>
        <v xml:space="preserve"> </v>
      </c>
      <c r="AH96" s="116">
        <f t="shared" ca="1" si="36"/>
        <v>2387.4448676154457</v>
      </c>
      <c r="AI96" s="116">
        <f t="shared" ca="1" si="37"/>
        <v>2385.9487511257616</v>
      </c>
      <c r="AJ96" s="116">
        <f t="shared" ca="1" si="38"/>
        <v>2387.4445154491927</v>
      </c>
      <c r="AK96" s="116">
        <f t="shared" ca="1" si="39"/>
        <v>2385.9483989595087</v>
      </c>
      <c r="AL96" s="116">
        <f t="shared" ca="1" si="40"/>
        <v>2387.4446915323192</v>
      </c>
      <c r="AM96" s="116">
        <f t="shared" ca="1" si="41"/>
        <v>2385.9485750426352</v>
      </c>
      <c r="AN96" s="178"/>
      <c r="AO96" s="92">
        <v>0</v>
      </c>
      <c r="AP96" s="42"/>
      <c r="AQ96" s="42"/>
      <c r="AR96" s="42"/>
      <c r="AS96" s="42"/>
      <c r="AT96" s="42"/>
      <c r="AU96" s="64" t="str">
        <f t="shared" ca="1" si="49"/>
        <v>9022.00590311121,2385.94857504264</v>
      </c>
      <c r="AV96" s="64" t="str">
        <f t="shared" ca="1" si="30"/>
        <v>9022.00590311121,2387.44469153232</v>
      </c>
      <c r="AW96" s="169" t="str">
        <f t="shared" si="31"/>
        <v xml:space="preserve">pl 9022.00590311121,0 9022.00590311121,76 </v>
      </c>
      <c r="AX96" s="161" t="str">
        <f t="shared" ca="1" si="27"/>
        <v>-text 9022.00590311121,48 3.5 90 2385.949</v>
      </c>
      <c r="AY96" s="161" t="str">
        <f t="shared" ca="1" si="28"/>
        <v>-text 9022.00590311121,62.5 3.5 90 2387.445</v>
      </c>
      <c r="AZ96" s="42" t="str">
        <f t="shared" si="29"/>
        <v>-text 9022.00590311121,23.5 3.5 90 马分9+022.01</v>
      </c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  <c r="CW96" s="42"/>
      <c r="CX96" s="42"/>
      <c r="CY96" s="42"/>
      <c r="CZ96" s="42"/>
      <c r="DA96" s="42"/>
      <c r="DB96" s="42"/>
      <c r="DC96" s="42"/>
      <c r="DD96" s="42"/>
      <c r="DE96" s="42"/>
      <c r="DF96" s="42"/>
      <c r="DG96" s="42"/>
      <c r="DH96" s="42"/>
      <c r="DI96" s="42"/>
      <c r="DJ96" s="42"/>
      <c r="DK96" s="42"/>
      <c r="DL96" s="42"/>
      <c r="DM96" s="42"/>
      <c r="DN96" s="42"/>
      <c r="DO96" s="42"/>
      <c r="DP96" s="42"/>
      <c r="DQ96" s="42"/>
      <c r="DR96" s="42"/>
      <c r="DS96" s="42"/>
      <c r="DT96" s="42"/>
      <c r="DU96" s="42"/>
      <c r="DV96" s="42"/>
      <c r="DW96" s="42"/>
      <c r="DX96" s="42"/>
      <c r="DY96" s="42"/>
      <c r="DZ96" s="42"/>
      <c r="EA96" s="42"/>
      <c r="EB96" s="42"/>
      <c r="EC96" s="42"/>
      <c r="ED96" s="42"/>
      <c r="EE96" s="42"/>
      <c r="EF96" s="42"/>
      <c r="EG96" s="42"/>
      <c r="EH96" s="42"/>
      <c r="EI96" s="42"/>
      <c r="EJ96" s="42"/>
      <c r="EK96" s="42"/>
      <c r="EL96" s="42"/>
      <c r="EM96" s="42"/>
      <c r="EN96" s="42"/>
      <c r="EO96" s="42"/>
      <c r="EP96" s="42"/>
      <c r="EQ96" s="42"/>
      <c r="ER96" s="42"/>
      <c r="ES96" s="42"/>
      <c r="ET96" s="42"/>
      <c r="EU96" s="42"/>
      <c r="EV96" s="42"/>
      <c r="EW96" s="42"/>
      <c r="EX96" s="42"/>
      <c r="EY96" s="42"/>
      <c r="EZ96" s="42"/>
      <c r="FA96" s="42"/>
      <c r="FB96" s="42"/>
      <c r="FC96" s="42"/>
      <c r="FD96" s="42"/>
      <c r="FE96" s="42"/>
      <c r="FF96" s="42"/>
      <c r="FG96" s="42"/>
      <c r="FH96" s="42"/>
      <c r="FI96" s="42"/>
      <c r="FJ96" s="42"/>
      <c r="FK96" s="42"/>
      <c r="FL96" s="42"/>
      <c r="FM96" s="42"/>
      <c r="FN96" s="42"/>
      <c r="FO96" s="42"/>
      <c r="FP96" s="42"/>
      <c r="FQ96" s="42"/>
      <c r="FR96" s="42"/>
      <c r="FS96" s="42"/>
      <c r="FT96" s="42"/>
      <c r="FU96" s="42"/>
      <c r="FV96" s="42"/>
      <c r="FW96" s="42"/>
      <c r="FX96" s="42"/>
      <c r="FY96" s="42"/>
      <c r="FZ96" s="42"/>
      <c r="GA96" s="42"/>
      <c r="GB96" s="42"/>
      <c r="GC96" s="42"/>
      <c r="GD96" s="42"/>
      <c r="GE96" s="42"/>
      <c r="GF96" s="42"/>
      <c r="GG96" s="42"/>
      <c r="GH96" s="42"/>
      <c r="GI96" s="42"/>
      <c r="GJ96" s="42"/>
      <c r="GK96" s="42"/>
      <c r="GL96" s="42"/>
      <c r="GM96" s="42"/>
      <c r="GN96" s="42"/>
      <c r="GO96" s="42"/>
      <c r="GP96" s="42"/>
      <c r="GQ96" s="42"/>
      <c r="GR96" s="42"/>
      <c r="GS96" s="42"/>
      <c r="GT96" s="42"/>
      <c r="GU96" s="42"/>
      <c r="GV96" s="42"/>
      <c r="GW96" s="42"/>
      <c r="GX96" s="42"/>
    </row>
    <row r="97" spans="1:206" s="55" customFormat="1" x14ac:dyDescent="0.25">
      <c r="A97" s="92">
        <v>4</v>
      </c>
      <c r="B97" s="93" t="str">
        <f>线路!B94</f>
        <v>8#倒虹吸出</v>
      </c>
      <c r="C97" s="94">
        <f>线路!E94</f>
        <v>449113.85149999999</v>
      </c>
      <c r="D97" s="94">
        <f>线路!F94</f>
        <v>3040183.2463000002</v>
      </c>
      <c r="E97" s="95">
        <f>线路!G94</f>
        <v>0</v>
      </c>
      <c r="F97" s="95">
        <f>线路!H94</f>
        <v>0</v>
      </c>
      <c r="G97" s="96">
        <f>线路!L94</f>
        <v>9270.5580180057823</v>
      </c>
      <c r="H97" s="96">
        <f>线路!M94</f>
        <v>9270.5580180057823</v>
      </c>
      <c r="I97" s="96">
        <f>线路!N94</f>
        <v>9270.5580180057823</v>
      </c>
      <c r="J97" s="115">
        <f t="shared" si="32"/>
        <v>0</v>
      </c>
      <c r="K97" s="115">
        <f t="shared" si="42"/>
        <v>248.55211489457724</v>
      </c>
      <c r="L97" s="115">
        <f>IF(A97=1,断面设计!$D$7,IF(A97=2,断面设计!$D$8,IF(A97=3,断面设计!$D$9,IF(A97=4,断面设计!$D$10,IF(A97=5,断面设计!$D$11,IF(A97=6,断面设计!$D$12,IF(A97=7,断面设计!$D$13,IF(A97=8,断面设计!$D$14,IF(A97=9,断面设计!$D$15,IF(A97=10,断面设计!$D$16))))))))))</f>
        <v>1.5</v>
      </c>
      <c r="M97" s="115">
        <f t="shared" si="43"/>
        <v>1.2</v>
      </c>
      <c r="N97" s="116">
        <f t="shared" si="50"/>
        <v>1.4999999999999999E-2</v>
      </c>
      <c r="O97" s="115">
        <f>IF(A97=1,断面设计!$J$7,IF(A97=2,断面设计!$J$8,IF(A97=3,断面设计!$J$9,IF(A97=4,断面设计!$J$10,IF(A97=5,断面设计!$J$11,IF(A97=6,断面设计!$J$12,IF(A97=7,断面设计!$J$13,IF(A97=8,断面设计!$J$14,IF(A97=9,断面设计!$J$15,IF(A97=10,断面设计!$J$16))))))))))</f>
        <v>5000</v>
      </c>
      <c r="P97" s="117">
        <f>IF(A97=1,断面设计!$K$7,IF(A97=2,断面设计!$K$8,IF(A97=3,断面设计!$K$9,IF(A97=4,断面设计!$K$10,IF(A97=5,断面设计!$K$11,IF(A97=6,断面设计!$K$12,IF(A97=7,断面设计!$K$13,IF(A97=8,断面设计!$K$14,IF(A97=9,断面设计!$K$15,IF(A97=10,断面设计!$K$16))))))))))</f>
        <v>4.0008708155654071</v>
      </c>
      <c r="Q97" s="116">
        <f>IF(A97=1,断面设计!$C$7,IF(A97=2,断面设计!$C$8,IF(A97=3,断面设计!$C$9,IF(A97=4,断面设计!$C$10,IF(A97=5,断面设计!$C$11,IF(A97=6,断面设计!$C$12,IF(A97=7,断面设计!$C$13,IF(A97=8,断面设计!$C$14,IF(A97=9,断面设计!$C$15,IF(A97=10,断面设计!$C$16))))))))))</f>
        <v>1.4961164896839501</v>
      </c>
      <c r="R97" s="115">
        <f>IF(A97=1,断面设计!$F$7,IF(A97=2,断面设计!$F$8,IF(A97=3,断面设计!$F$9,IF(A97=4,断面设计!$F$10,IF(A97=5,断面设计!$F$11,IF(A97=6,断面设计!$F$12,IF(A97=7,断面设计!$F$13,IF(A97=8,断面设计!$F$14,IF(A97=9,断面设计!$F$15,IF(A97=10,断面设计!$F$16))))))))))</f>
        <v>4.930212195370995</v>
      </c>
      <c r="S97" s="115">
        <f>IF(A97=1,断面设计!$G$7,IF(A97=2,断面设计!$G$8,IF(A97=3,断面设计!$G$9,IF(A97=4,断面设计!$G$10,IF(A97=5,断面设计!$G$11,IF(A97=6,断面设计!$G$12,IF(A97=7,断面设计!$G$13,IF(A97=8,断面设计!$G$14,IF(A97=9,断面设计!$G$15,IF(A97=10,断面设计!$G$16))))))))))</f>
        <v>6.1740173314690692</v>
      </c>
      <c r="T97" s="115">
        <f t="shared" si="44"/>
        <v>0.79854200768786654</v>
      </c>
      <c r="U97" s="115">
        <f t="shared" si="45"/>
        <v>0.81150073404991541</v>
      </c>
      <c r="V97" s="125"/>
      <c r="W97" s="178"/>
      <c r="X97" s="116">
        <f ca="1">倒虹管水头损失计算!D468</f>
        <v>3.4960573534913677</v>
      </c>
      <c r="Y97" s="139">
        <v>0</v>
      </c>
      <c r="Z97" s="140">
        <f t="shared" si="51"/>
        <v>0</v>
      </c>
      <c r="AA97" s="143"/>
      <c r="AB97" s="139">
        <f t="shared" si="33"/>
        <v>1.4961164896839501</v>
      </c>
      <c r="AC97" s="116">
        <f t="shared" ca="1" si="34"/>
        <v>3.4960573534913677</v>
      </c>
      <c r="AD97" s="116">
        <f t="shared" ca="1" si="47"/>
        <v>2383.9486341788279</v>
      </c>
      <c r="AE97" s="141">
        <f t="shared" si="48"/>
        <v>0</v>
      </c>
      <c r="AF97" s="116" t="str">
        <f t="shared" si="35"/>
        <v xml:space="preserve"> </v>
      </c>
      <c r="AG97" s="116" t="str">
        <f>IF(AE97=0," ",AF97-断面设计!$C$7)</f>
        <v xml:space="preserve"> </v>
      </c>
      <c r="AH97" s="116" t="str">
        <f t="shared" si="36"/>
        <v xml:space="preserve"> </v>
      </c>
      <c r="AI97" s="116" t="str">
        <f t="shared" si="37"/>
        <v xml:space="preserve"> </v>
      </c>
      <c r="AJ97" s="116" t="str">
        <f t="shared" si="38"/>
        <v xml:space="preserve"> </v>
      </c>
      <c r="AK97" s="116" t="str">
        <f t="shared" si="39"/>
        <v xml:space="preserve"> </v>
      </c>
      <c r="AL97" s="116">
        <f t="shared" ca="1" si="40"/>
        <v>2383.9486341788279</v>
      </c>
      <c r="AM97" s="116">
        <f t="shared" ca="1" si="41"/>
        <v>2382.4525176891439</v>
      </c>
      <c r="AN97" s="178"/>
      <c r="AO97" s="92">
        <v>0</v>
      </c>
      <c r="AP97" s="42"/>
      <c r="AQ97" s="42"/>
      <c r="AR97" s="42"/>
      <c r="AS97" s="42"/>
      <c r="AT97" s="42"/>
      <c r="AU97" s="64" t="str">
        <f t="shared" ca="1" si="49"/>
        <v>9270.55801800578,2382.45251768914</v>
      </c>
      <c r="AV97" s="64" t="str">
        <f t="shared" ca="1" si="30"/>
        <v>9270.55801800578,2383.94863417883</v>
      </c>
      <c r="AW97" s="169" t="str">
        <f t="shared" si="31"/>
        <v xml:space="preserve">pl 9270.55801800578,0 9270.55801800578,76 </v>
      </c>
      <c r="AX97" s="161" t="str">
        <f t="shared" ca="1" si="27"/>
        <v>-text 9270.55801800578,48 3.5 90 2382.453</v>
      </c>
      <c r="AY97" s="161" t="str">
        <f t="shared" ca="1" si="28"/>
        <v>-text 9270.55801800578,62.5 3.5 90 2383.949</v>
      </c>
      <c r="AZ97" s="42" t="str">
        <f t="shared" si="29"/>
        <v>-text 9270.55801800578,23.5 3.5 90 马分9+270.56</v>
      </c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  <c r="CW97" s="42"/>
      <c r="CX97" s="42"/>
      <c r="CY97" s="42"/>
      <c r="CZ97" s="42"/>
      <c r="DA97" s="42"/>
      <c r="DB97" s="42"/>
      <c r="DC97" s="42"/>
      <c r="DD97" s="42"/>
      <c r="DE97" s="42"/>
      <c r="DF97" s="42"/>
      <c r="DG97" s="42"/>
      <c r="DH97" s="42"/>
      <c r="DI97" s="42"/>
      <c r="DJ97" s="42"/>
      <c r="DK97" s="42"/>
      <c r="DL97" s="42"/>
      <c r="DM97" s="42"/>
      <c r="DN97" s="42"/>
      <c r="DO97" s="42"/>
      <c r="DP97" s="42"/>
      <c r="DQ97" s="42"/>
      <c r="DR97" s="42"/>
      <c r="DS97" s="42"/>
      <c r="DT97" s="42"/>
      <c r="DU97" s="42"/>
      <c r="DV97" s="42"/>
      <c r="DW97" s="42"/>
      <c r="DX97" s="42"/>
      <c r="DY97" s="42"/>
      <c r="DZ97" s="42"/>
      <c r="EA97" s="42"/>
      <c r="EB97" s="42"/>
      <c r="EC97" s="42"/>
      <c r="ED97" s="42"/>
      <c r="EE97" s="42"/>
      <c r="EF97" s="42"/>
      <c r="EG97" s="42"/>
      <c r="EH97" s="42"/>
      <c r="EI97" s="42"/>
      <c r="EJ97" s="42"/>
      <c r="EK97" s="42"/>
      <c r="EL97" s="42"/>
      <c r="EM97" s="42"/>
      <c r="EN97" s="42"/>
      <c r="EO97" s="42"/>
      <c r="EP97" s="42"/>
      <c r="EQ97" s="42"/>
      <c r="ER97" s="42"/>
      <c r="ES97" s="42"/>
      <c r="ET97" s="42"/>
      <c r="EU97" s="42"/>
      <c r="EV97" s="42"/>
      <c r="EW97" s="42"/>
      <c r="EX97" s="42"/>
      <c r="EY97" s="42"/>
      <c r="EZ97" s="42"/>
      <c r="FA97" s="42"/>
      <c r="FB97" s="42"/>
      <c r="FC97" s="42"/>
      <c r="FD97" s="42"/>
      <c r="FE97" s="42"/>
      <c r="FF97" s="42"/>
      <c r="FG97" s="42"/>
      <c r="FH97" s="42"/>
      <c r="FI97" s="42"/>
      <c r="FJ97" s="42"/>
      <c r="FK97" s="42"/>
      <c r="FL97" s="42"/>
      <c r="FM97" s="42"/>
      <c r="FN97" s="42"/>
      <c r="FO97" s="42"/>
      <c r="FP97" s="42"/>
      <c r="FQ97" s="42"/>
      <c r="FR97" s="42"/>
      <c r="FS97" s="42"/>
      <c r="FT97" s="42"/>
      <c r="FU97" s="42"/>
      <c r="FV97" s="42"/>
      <c r="FW97" s="42"/>
      <c r="FX97" s="42"/>
      <c r="FY97" s="42"/>
      <c r="FZ97" s="42"/>
      <c r="GA97" s="42"/>
      <c r="GB97" s="42"/>
      <c r="GC97" s="42"/>
      <c r="GD97" s="42"/>
      <c r="GE97" s="42"/>
      <c r="GF97" s="42"/>
      <c r="GG97" s="42"/>
      <c r="GH97" s="42"/>
      <c r="GI97" s="42"/>
      <c r="GJ97" s="42"/>
      <c r="GK97" s="42"/>
      <c r="GL97" s="42"/>
      <c r="GM97" s="42"/>
      <c r="GN97" s="42"/>
      <c r="GO97" s="42"/>
      <c r="GP97" s="42"/>
      <c r="GQ97" s="42"/>
      <c r="GR97" s="42"/>
      <c r="GS97" s="42"/>
      <c r="GT97" s="42"/>
      <c r="GU97" s="42"/>
      <c r="GV97" s="42"/>
      <c r="GW97" s="42"/>
      <c r="GX97" s="42"/>
    </row>
    <row r="98" spans="1:206" s="57" customFormat="1" x14ac:dyDescent="0.25">
      <c r="A98" s="102">
        <v>4</v>
      </c>
      <c r="B98" s="88" t="str">
        <f>线路!B95</f>
        <v>四流量段末(4#斗门)</v>
      </c>
      <c r="C98" s="89">
        <f>线路!E95</f>
        <v>448966.28320000001</v>
      </c>
      <c r="D98" s="89">
        <f>线路!F95</f>
        <v>3040053.5945000001</v>
      </c>
      <c r="E98" s="90">
        <f>线路!G95</f>
        <v>0</v>
      </c>
      <c r="F98" s="90">
        <f>线路!H95</f>
        <v>0</v>
      </c>
      <c r="G98" s="91">
        <f>线路!L95</f>
        <v>9466.9911934323209</v>
      </c>
      <c r="H98" s="91">
        <f>线路!M95</f>
        <v>9466.9911934323209</v>
      </c>
      <c r="I98" s="91">
        <f>线路!N95</f>
        <v>9466.9911934323209</v>
      </c>
      <c r="J98" s="112">
        <f t="shared" si="32"/>
        <v>0</v>
      </c>
      <c r="K98" s="112">
        <f t="shared" si="42"/>
        <v>196.43317542653858</v>
      </c>
      <c r="L98" s="112">
        <f>IF(A98=1,断面设计!$D$7,IF(A98=2,断面设计!$D$8,IF(A98=3,断面设计!$D$9,IF(A98=4,断面设计!$D$10,IF(A98=5,断面设计!$D$11,IF(A98=6,断面设计!$D$12,IF(A98=7,断面设计!$D$13,IF(A98=8,断面设计!$D$14,IF(A98=9,断面设计!$D$15,IF(A98=10,断面设计!$D$16))))))))))</f>
        <v>1.5</v>
      </c>
      <c r="M98" s="112">
        <f t="shared" si="43"/>
        <v>1.2</v>
      </c>
      <c r="N98" s="113">
        <f t="shared" si="50"/>
        <v>1.4999999999999999E-2</v>
      </c>
      <c r="O98" s="112">
        <f>IF(A98=1,断面设计!$J$7,IF(A98=2,断面设计!$J$8,IF(A98=3,断面设计!$J$9,IF(A98=4,断面设计!$J$10,IF(A98=5,断面设计!$J$11,IF(A98=6,断面设计!$J$12,IF(A98=7,断面设计!$J$13,IF(A98=8,断面设计!$J$14,IF(A98=9,断面设计!$J$15,IF(A98=10,断面设计!$J$16))))))))))</f>
        <v>5000</v>
      </c>
      <c r="P98" s="114">
        <f>IF(A98=1,断面设计!$K$7,IF(A98=2,断面设计!$K$8,IF(A98=3,断面设计!$K$9,IF(A98=4,断面设计!$K$10,IF(A98=5,断面设计!$K$11,IF(A98=6,断面设计!$K$12,IF(A98=7,断面设计!$K$13,IF(A98=8,断面设计!$K$14,IF(A98=9,断面设计!$K$15,IF(A98=10,断面设计!$K$16))))))))))</f>
        <v>4.0008708155654071</v>
      </c>
      <c r="Q98" s="113">
        <f>IF(A98=1,断面设计!$C$7,IF(A98=2,断面设计!$C$8,IF(A98=3,断面设计!$C$9,IF(A98=4,断面设计!$C$10,IF(A98=5,断面设计!$C$11,IF(A98=6,断面设计!$C$12,IF(A98=7,断面设计!$C$13,IF(A98=8,断面设计!$C$14,IF(A98=9,断面设计!$C$15,IF(A98=10,断面设计!$C$16))))))))))</f>
        <v>1.4961164896839501</v>
      </c>
      <c r="R98" s="112">
        <f>IF(A98=1,断面设计!$F$7,IF(A98=2,断面设计!$F$8,IF(A98=3,断面设计!$F$9,IF(A98=4,断面设计!$F$10,IF(A98=5,断面设计!$F$11,IF(A98=6,断面设计!$F$12,IF(A98=7,断面设计!$F$13,IF(A98=8,断面设计!$F$14,IF(A98=9,断面设计!$F$15,IF(A98=10,断面设计!$F$16))))))))))</f>
        <v>4.930212195370995</v>
      </c>
      <c r="S98" s="112">
        <f>IF(A98=1,断面设计!$G$7,IF(A98=2,断面设计!$G$8,IF(A98=3,断面设计!$G$9,IF(A98=4,断面设计!$G$10,IF(A98=5,断面设计!$G$11,IF(A98=6,断面设计!$G$12,IF(A98=7,断面设计!$G$13,IF(A98=8,断面设计!$G$14,IF(A98=9,断面设计!$G$15,IF(A98=10,断面设计!$G$16))))))))))</f>
        <v>6.1740173314690692</v>
      </c>
      <c r="T98" s="112">
        <f t="shared" si="44"/>
        <v>0.79854200768786654</v>
      </c>
      <c r="U98" s="112">
        <f t="shared" si="45"/>
        <v>0.81150073404991541</v>
      </c>
      <c r="V98" s="124"/>
      <c r="W98" s="128"/>
      <c r="X98" s="113">
        <f>IF(AN98=0,IF(AN97=2,(H98-H97-AE97)/O98,(H98-H97)/O98),IF(AN98=1,IF(AN97=2,IF(AE98&lt;9,(H98-H97-AE98-AE97)/断面设计!$J$7,(H98-H97-AE98-AE97)/断面设计!$J$7),(H98-H97-AE98)/O97),(H98-H97)/O98))</f>
        <v>3.928663508530772E-2</v>
      </c>
      <c r="Y98" s="136">
        <v>0</v>
      </c>
      <c r="Z98" s="137">
        <f t="shared" si="51"/>
        <v>0</v>
      </c>
      <c r="AA98" s="148"/>
      <c r="AB98" s="136">
        <f t="shared" si="33"/>
        <v>1.4961164896839501</v>
      </c>
      <c r="AC98" s="113">
        <f t="shared" si="34"/>
        <v>3.928663508530772E-2</v>
      </c>
      <c r="AD98" s="113">
        <f t="shared" ca="1" si="47"/>
        <v>2383.9093475437426</v>
      </c>
      <c r="AE98" s="138">
        <f t="shared" si="48"/>
        <v>0</v>
      </c>
      <c r="AF98" s="113" t="str">
        <f t="shared" si="35"/>
        <v xml:space="preserve"> </v>
      </c>
      <c r="AG98" s="113" t="str">
        <f>IF(AE98=0," ",AF98-断面设计!$C$7)</f>
        <v xml:space="preserve"> </v>
      </c>
      <c r="AH98" s="113" t="str">
        <f t="shared" si="36"/>
        <v xml:space="preserve"> </v>
      </c>
      <c r="AI98" s="113" t="str">
        <f t="shared" si="37"/>
        <v xml:space="preserve"> </v>
      </c>
      <c r="AJ98" s="113" t="str">
        <f t="shared" si="38"/>
        <v xml:space="preserve"> </v>
      </c>
      <c r="AK98" s="113" t="str">
        <f t="shared" si="39"/>
        <v xml:space="preserve"> </v>
      </c>
      <c r="AL98" s="113">
        <f t="shared" ca="1" si="40"/>
        <v>2383.9093475437426</v>
      </c>
      <c r="AM98" s="113">
        <f t="shared" ca="1" si="41"/>
        <v>2382.4132310540585</v>
      </c>
      <c r="AN98" s="128"/>
      <c r="AO98" s="102">
        <v>0</v>
      </c>
      <c r="AP98" s="42"/>
      <c r="AQ98" s="42"/>
      <c r="AR98" s="42"/>
      <c r="AS98" s="42"/>
      <c r="AT98" s="42"/>
      <c r="AU98" s="64" t="str">
        <f t="shared" ca="1" si="49"/>
        <v>9466.99119343232,2382.41323105406</v>
      </c>
      <c r="AV98" s="64" t="str">
        <f t="shared" ca="1" si="30"/>
        <v>9466.99119343232,2383.90934754374</v>
      </c>
      <c r="AW98" s="169" t="str">
        <f t="shared" si="31"/>
        <v xml:space="preserve">pl 9466.99119343232,0 9466.99119343232,76 </v>
      </c>
      <c r="AX98" s="161" t="str">
        <f t="shared" ca="1" si="27"/>
        <v>-text 9466.99119343232,48 3.5 90 2382.413</v>
      </c>
      <c r="AY98" s="161" t="str">
        <f t="shared" ca="1" si="28"/>
        <v>-text 9466.99119343232,62.5 3.5 90 2383.909</v>
      </c>
      <c r="AZ98" s="42" t="str">
        <f t="shared" si="29"/>
        <v>-text 9466.99119343232,23.5 3.5 90 马分9+466.99</v>
      </c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  <c r="CW98" s="42"/>
      <c r="CX98" s="42"/>
      <c r="CY98" s="42"/>
      <c r="CZ98" s="42"/>
      <c r="DA98" s="42"/>
      <c r="DB98" s="42"/>
      <c r="DC98" s="42"/>
      <c r="DD98" s="42"/>
      <c r="DE98" s="42"/>
      <c r="DF98" s="42"/>
      <c r="DG98" s="42"/>
      <c r="DH98" s="42"/>
      <c r="DI98" s="42"/>
      <c r="DJ98" s="42"/>
      <c r="DK98" s="42"/>
      <c r="DL98" s="42"/>
      <c r="DM98" s="42"/>
      <c r="DN98" s="42"/>
      <c r="DO98" s="42"/>
      <c r="DP98" s="42"/>
      <c r="DQ98" s="42"/>
      <c r="DR98" s="42"/>
      <c r="DS98" s="42"/>
      <c r="DT98" s="42"/>
      <c r="DU98" s="42"/>
      <c r="DV98" s="42"/>
      <c r="DW98" s="42"/>
      <c r="DX98" s="42"/>
      <c r="DY98" s="42"/>
      <c r="DZ98" s="42"/>
      <c r="EA98" s="42"/>
      <c r="EB98" s="42"/>
      <c r="EC98" s="42"/>
      <c r="ED98" s="42"/>
      <c r="EE98" s="42"/>
      <c r="EF98" s="42"/>
      <c r="EG98" s="42"/>
      <c r="EH98" s="42"/>
      <c r="EI98" s="42"/>
      <c r="EJ98" s="42"/>
      <c r="EK98" s="42"/>
      <c r="EL98" s="42"/>
      <c r="EM98" s="42"/>
      <c r="EN98" s="42"/>
      <c r="EO98" s="42"/>
      <c r="EP98" s="42"/>
      <c r="EQ98" s="42"/>
      <c r="ER98" s="42"/>
      <c r="ES98" s="42"/>
      <c r="ET98" s="42"/>
      <c r="EU98" s="42"/>
      <c r="EV98" s="42"/>
      <c r="EW98" s="42"/>
      <c r="EX98" s="42"/>
      <c r="EY98" s="42"/>
      <c r="EZ98" s="42"/>
      <c r="FA98" s="42"/>
      <c r="FB98" s="42"/>
      <c r="FC98" s="42"/>
      <c r="FD98" s="42"/>
      <c r="FE98" s="42"/>
      <c r="FF98" s="42"/>
      <c r="FG98" s="42"/>
      <c r="FH98" s="42"/>
      <c r="FI98" s="42"/>
      <c r="FJ98" s="42"/>
      <c r="FK98" s="42"/>
      <c r="FL98" s="42"/>
      <c r="FM98" s="42"/>
      <c r="FN98" s="42"/>
      <c r="FO98" s="42"/>
      <c r="FP98" s="42"/>
      <c r="FQ98" s="42"/>
      <c r="FR98" s="42"/>
      <c r="FS98" s="42"/>
      <c r="FT98" s="42"/>
      <c r="FU98" s="42"/>
      <c r="FV98" s="42"/>
      <c r="FW98" s="42"/>
      <c r="FX98" s="42"/>
      <c r="FY98" s="42"/>
      <c r="FZ98" s="42"/>
      <c r="GA98" s="42"/>
      <c r="GB98" s="42"/>
      <c r="GC98" s="42"/>
      <c r="GD98" s="42"/>
      <c r="GE98" s="42"/>
      <c r="GF98" s="42"/>
      <c r="GG98" s="42"/>
      <c r="GH98" s="42"/>
      <c r="GI98" s="42"/>
      <c r="GJ98" s="42"/>
      <c r="GK98" s="42"/>
      <c r="GL98" s="42"/>
      <c r="GM98" s="42"/>
      <c r="GN98" s="42"/>
      <c r="GO98" s="42"/>
      <c r="GP98" s="42"/>
      <c r="GQ98" s="42"/>
      <c r="GR98" s="42"/>
      <c r="GS98" s="42"/>
      <c r="GT98" s="42"/>
      <c r="GU98" s="42"/>
      <c r="GV98" s="42"/>
      <c r="GW98" s="42"/>
      <c r="GX98" s="42"/>
    </row>
    <row r="99" spans="1:206" s="42" customFormat="1" x14ac:dyDescent="0.25">
      <c r="A99" s="80">
        <v>5</v>
      </c>
      <c r="B99" s="76" t="str">
        <f>线路!B96</f>
        <v>IP67</v>
      </c>
      <c r="C99" s="81">
        <f>线路!E96</f>
        <v>448940.58760000003</v>
      </c>
      <c r="D99" s="81">
        <f>线路!F96</f>
        <v>3040031.0186000001</v>
      </c>
      <c r="E99" s="85">
        <f>线路!G96</f>
        <v>12</v>
      </c>
      <c r="F99" s="85">
        <f>线路!H96</f>
        <v>34.332999999999998</v>
      </c>
      <c r="G99" s="86">
        <f>线路!L96</f>
        <v>9497.4885744121475</v>
      </c>
      <c r="H99" s="86">
        <f>线路!M96</f>
        <v>9501.0839177646703</v>
      </c>
      <c r="I99" s="86">
        <f>线路!N96</f>
        <v>9504.6792611171932</v>
      </c>
      <c r="J99" s="83">
        <f t="shared" si="32"/>
        <v>7.190686705045664</v>
      </c>
      <c r="K99" s="83">
        <f t="shared" si="42"/>
        <v>34.092724332349462</v>
      </c>
      <c r="L99" s="83">
        <f>IF(A99=1,断面设计!$D$7,IF(A99=2,断面设计!$D$8,IF(A99=3,断面设计!$D$9,IF(A99=4,断面设计!$D$10,IF(A99=5,断面设计!$D$11,IF(A99=6,断面设计!$D$12,IF(A99=7,断面设计!$D$13,IF(A99=8,断面设计!$D$14,IF(A99=9,断面设计!$D$15,IF(A99=10,断面设计!$D$16))))))))))</f>
        <v>1.2</v>
      </c>
      <c r="M99" s="83">
        <f t="shared" si="43"/>
        <v>1.2</v>
      </c>
      <c r="N99" s="110">
        <f t="shared" si="50"/>
        <v>1.4999999999999999E-2</v>
      </c>
      <c r="O99" s="83">
        <f>IF(A99=1,断面设计!$J$7,IF(A99=2,断面设计!$J$8,IF(A99=3,断面设计!$J$9,IF(A99=4,断面设计!$J$10,IF(A99=5,断面设计!$J$11,IF(A99=6,断面设计!$J$12,IF(A99=7,断面设计!$J$13,IF(A99=8,断面设计!$J$14,IF(A99=9,断面设计!$J$15,IF(A99=10,断面设计!$J$16))))))))))</f>
        <v>5000</v>
      </c>
      <c r="P99" s="111">
        <f>IF(A99=1,断面设计!$K$7,IF(A99=2,断面设计!$K$8,IF(A99=3,断面设计!$K$9,IF(A99=4,断面设计!$K$10,IF(A99=5,断面设计!$K$11,IF(A99=6,断面设计!$K$12,IF(A99=7,断面设计!$K$13,IF(A99=8,断面设计!$K$14,IF(A99=9,断面设计!$K$15,IF(A99=10,断面设计!$K$16))))))))))</f>
        <v>3.5000124380332474</v>
      </c>
      <c r="Q99" s="110">
        <f>IF(A99=1,断面设计!$C$7,IF(A99=2,断面设计!$C$8,IF(A99=3,断面设计!$C$9,IF(A99=4,断面设计!$C$10,IF(A99=5,断面设计!$C$11,IF(A99=6,断面设计!$C$12,IF(A99=7,断面设计!$C$13,IF(A99=8,断面设计!$C$14,IF(A99=9,断面设计!$C$15,IF(A99=10,断面设计!$C$16))))))))))</f>
        <v>1.4906129304215501</v>
      </c>
      <c r="R99" s="83">
        <f>IF(A99=1,断面设计!$F$7,IF(A99=2,断面设计!$F$8,IF(A99=3,断面设计!$F$9,IF(A99=4,断面设计!$F$10,IF(A99=5,断面设计!$F$11,IF(A99=6,断面设计!$F$12,IF(A99=7,断面设计!$F$13,IF(A99=8,断面设计!$F$14,IF(A99=9,断面设计!$F$15,IF(A99=10,断面设计!$F$16))))))))))</f>
        <v>4.4550478065137646</v>
      </c>
      <c r="S99" s="83">
        <f>IF(A99=1,断面设计!$G$7,IF(A99=2,断面设计!$G$8,IF(A99=3,断面设计!$G$9,IF(A99=4,断面设计!$G$10,IF(A99=5,断面设计!$G$11,IF(A99=6,断面设计!$G$12,IF(A99=7,断面设计!$G$13,IF(A99=8,断面设计!$G$14,IF(A99=9,断面设计!$G$15,IF(A99=10,断面设计!$G$16))))))))))</f>
        <v>5.8568236626908723</v>
      </c>
      <c r="T99" s="83">
        <f t="shared" si="44"/>
        <v>0.76065937154524599</v>
      </c>
      <c r="U99" s="83">
        <f t="shared" si="45"/>
        <v>0.78562848033097388</v>
      </c>
      <c r="V99" s="123">
        <f t="shared" si="46"/>
        <v>7.5313941417622587E-4</v>
      </c>
      <c r="W99" s="127"/>
      <c r="X99" s="110">
        <f>IF(AN99=0,IF(AN98=2,(H99-H98-AE98)/O99,(H99-H98)/O99),IF(AN99=1,IF(AN98=2,IF(AE99&lt;9,(H99-H98-AE99-AE98)/断面设计!$J$7,(H99-H98-AE99-AE98)/断面设计!$J$7),(H99-H98-AE99)/O98),(H99-H98)/O99))</f>
        <v>6.8185448664698925E-3</v>
      </c>
      <c r="Y99" s="133">
        <v>0</v>
      </c>
      <c r="Z99" s="134">
        <f t="shared" si="51"/>
        <v>0</v>
      </c>
      <c r="AA99" s="142"/>
      <c r="AB99" s="133">
        <f t="shared" si="33"/>
        <v>1.4906129304215501</v>
      </c>
      <c r="AC99" s="110">
        <f t="shared" si="34"/>
        <v>7.5716842806461187E-3</v>
      </c>
      <c r="AD99" s="110">
        <f t="shared" ca="1" si="47"/>
        <v>2383.9017758594618</v>
      </c>
      <c r="AE99" s="82">
        <f t="shared" si="48"/>
        <v>0</v>
      </c>
      <c r="AF99" s="110" t="str">
        <f t="shared" si="35"/>
        <v xml:space="preserve"> </v>
      </c>
      <c r="AG99" s="110" t="str">
        <f>IF(AE99=0," ",AF99-断面设计!$C$7)</f>
        <v xml:space="preserve"> </v>
      </c>
      <c r="AH99" s="110">
        <f t="shared" ca="1" si="36"/>
        <v>2383.9032480675464</v>
      </c>
      <c r="AI99" s="110">
        <f t="shared" ca="1" si="37"/>
        <v>2382.4126351371247</v>
      </c>
      <c r="AJ99" s="110">
        <f t="shared" ca="1" si="38"/>
        <v>2383.9010567907912</v>
      </c>
      <c r="AK99" s="110">
        <f t="shared" ca="1" si="39"/>
        <v>2382.4104438603695</v>
      </c>
      <c r="AL99" s="110">
        <f t="shared" ca="1" si="40"/>
        <v>2383.9021524291688</v>
      </c>
      <c r="AM99" s="110">
        <f t="shared" ca="1" si="41"/>
        <v>2382.4115394987471</v>
      </c>
      <c r="AN99" s="127"/>
      <c r="AO99" s="80">
        <v>0</v>
      </c>
      <c r="AU99" s="64" t="str">
        <f t="shared" ca="1" si="49"/>
        <v>9501.08391776467,2382.41153949875</v>
      </c>
      <c r="AV99" s="64" t="str">
        <f t="shared" ca="1" si="30"/>
        <v>9501.08391776467,2383.90215242917</v>
      </c>
      <c r="AW99" s="169" t="str">
        <f t="shared" si="31"/>
        <v xml:space="preserve">pl 9501.08391776467,0 9501.08391776467,76 </v>
      </c>
      <c r="AX99" s="161" t="str">
        <f t="shared" ca="1" si="27"/>
        <v>-text 9501.08391776467,48 3.5 90 2382.412</v>
      </c>
      <c r="AY99" s="161" t="str">
        <f t="shared" ca="1" si="28"/>
        <v>-text 9501.08391776467,62.5 3.5 90 2383.902</v>
      </c>
      <c r="AZ99" s="42" t="str">
        <f t="shared" si="29"/>
        <v>-text 9501.08391776467,23.5 3.5 90 马分9+501.08</v>
      </c>
    </row>
    <row r="100" spans="1:206" s="58" customFormat="1" x14ac:dyDescent="0.25">
      <c r="A100" s="170">
        <v>5</v>
      </c>
      <c r="B100" s="171" t="str">
        <f>线路!B97</f>
        <v>1#隧洞进</v>
      </c>
      <c r="C100" s="172">
        <f>线路!E97</f>
        <v>448899.00140000001</v>
      </c>
      <c r="D100" s="172">
        <f>线路!F97</f>
        <v>3040025.9355000001</v>
      </c>
      <c r="E100" s="173">
        <f>线路!G97</f>
        <v>0</v>
      </c>
      <c r="F100" s="173">
        <f>线路!H97</f>
        <v>0</v>
      </c>
      <c r="G100" s="174">
        <f>线路!L97</f>
        <v>9542.8680308205967</v>
      </c>
      <c r="H100" s="174">
        <f>线路!M97</f>
        <v>9542.8680308205967</v>
      </c>
      <c r="I100" s="174">
        <f>线路!N97</f>
        <v>9542.8680308205967</v>
      </c>
      <c r="J100" s="175">
        <f t="shared" si="32"/>
        <v>0</v>
      </c>
      <c r="K100" s="175">
        <f t="shared" si="42"/>
        <v>41.784113055926355</v>
      </c>
      <c r="L100" s="175">
        <f>IF(A100=1,断面设计!$D$7,IF(A100=2,断面设计!$D$8,IF(A100=3,断面设计!$D$9,IF(A100=4,断面设计!$D$10,IF(A100=5,断面设计!$D$11,IF(A100=6,断面设计!$D$12,IF(A100=7,断面设计!$D$13,IF(A100=8,断面设计!$D$14,IF(A100=9,断面设计!$D$15,IF(A100=10,断面设计!$D$16))))))))))</f>
        <v>1.2</v>
      </c>
      <c r="M100" s="175">
        <f t="shared" si="43"/>
        <v>0</v>
      </c>
      <c r="N100" s="176">
        <f t="shared" si="50"/>
        <v>1.4E-2</v>
      </c>
      <c r="O100" s="175">
        <f>IF(A100=5,断面设计!$O$37,IF(A100=6,断面设计!$O$38,IF(A100=7,断面设计!$O$39,IF(A100=9,断面设计!$O$40,IF(A100=10,断面设计!$O$41)))))</f>
        <v>2000</v>
      </c>
      <c r="P100" s="177">
        <f>IF(A100=1,断面设计!$K$7,IF(A100=2,断面设计!$K$8,IF(A100=3,断面设计!$K$9,IF(A100=4,断面设计!$K$10,IF(A100=5,断面设计!$K$11,IF(A100=6,断面设计!$K$12,IF(A100=7,断面设计!$K$13,IF(A100=8,断面设计!$K$14,IF(A100=9,断面设计!$K$15,IF(A100=10,断面设计!$K$16))))))))))</f>
        <v>3.5000124380332474</v>
      </c>
      <c r="Q100" s="176">
        <f>IF(A100=5,断面设计!$C$37,IF(A100=6,断面设计!$C$38,IF(A100=7,断面设计!$C$39,IF(A100=9,断面设计!$C$40,IF(A100=10,断面设计!$C$41)))))</f>
        <v>1.53170056586367</v>
      </c>
      <c r="R100" s="175">
        <f>IF(A100=5,断面设计!$K$37,IF(A100=6,断面设计!$K$38,IF(A100=7,断面设计!$K$39,IF(A100=9,断面设计!$K$40,IF(A100=10,断面设计!$K$41)))))</f>
        <v>3.06340113172734</v>
      </c>
      <c r="S100" s="175">
        <f>IF(A100=5,断面设计!$L$37,IF(A100=6,断面设计!$L$38,IF(A100=7,断面设计!$L$39,IF(A100=9,断面设计!$L$40,IF(A100=10,断面设计!$L$41)))))</f>
        <v>5.06340113172734</v>
      </c>
      <c r="T100" s="175">
        <f t="shared" si="44"/>
        <v>0.60500858060247831</v>
      </c>
      <c r="U100" s="175">
        <f t="shared" si="45"/>
        <v>1.1425250195881851</v>
      </c>
      <c r="V100" s="179"/>
      <c r="W100" s="176">
        <f>1.15*(U100^2/2-U99^2/2)/9.81</f>
        <v>4.0335066665112197E-2</v>
      </c>
      <c r="X100" s="176">
        <f>IF(AN100=0,IF(AN99=2,(H100-H99-AE99)/O100,(H100-H99)/O100),IF(AN100=1,IF(AN99=2,IF(AE100&lt;9,(H100-H99-AE100-AE99)/断面设计!$J$7,(H100-H99-AE100-AE99)/断面设计!$J$7),(H100-H99-AE100)/O99),(H100-H99)/O100))</f>
        <v>7.3568226111852706E-3</v>
      </c>
      <c r="Y100" s="181">
        <v>0</v>
      </c>
      <c r="Z100" s="182">
        <f t="shared" si="51"/>
        <v>0</v>
      </c>
      <c r="AA100" s="183"/>
      <c r="AB100" s="181">
        <f t="shared" si="33"/>
        <v>1.53170056586367</v>
      </c>
      <c r="AC100" s="176">
        <f t="shared" si="34"/>
        <v>4.7691889276297465E-2</v>
      </c>
      <c r="AD100" s="176">
        <f t="shared" ca="1" si="47"/>
        <v>2383.8540839701855</v>
      </c>
      <c r="AE100" s="184">
        <v>5</v>
      </c>
      <c r="AF100" s="176">
        <f t="shared" ca="1" si="35"/>
        <v>2383.8944190368506</v>
      </c>
      <c r="AG100" s="176">
        <f ca="1">IF(AE100=0," ",AF100-断面设计!$C$7)</f>
        <v>2382.2944732004507</v>
      </c>
      <c r="AH100" s="176" t="str">
        <f t="shared" si="36"/>
        <v xml:space="preserve"> </v>
      </c>
      <c r="AI100" s="176" t="str">
        <f t="shared" si="37"/>
        <v xml:space="preserve"> </v>
      </c>
      <c r="AJ100" s="176" t="str">
        <f t="shared" si="38"/>
        <v xml:space="preserve"> </v>
      </c>
      <c r="AK100" s="176" t="str">
        <f t="shared" si="39"/>
        <v xml:space="preserve"> </v>
      </c>
      <c r="AL100" s="176">
        <f t="shared" ca="1" si="40"/>
        <v>2383.8540839701855</v>
      </c>
      <c r="AM100" s="176">
        <f t="shared" ca="1" si="41"/>
        <v>2382.322383404322</v>
      </c>
      <c r="AN100" s="180">
        <v>1</v>
      </c>
      <c r="AO100" s="170">
        <v>1</v>
      </c>
      <c r="AP100" s="42"/>
      <c r="AQ100" s="42"/>
      <c r="AR100" s="42"/>
      <c r="AS100" s="42"/>
      <c r="AT100" s="42"/>
      <c r="AU100" s="64" t="str">
        <f t="shared" ca="1" si="49"/>
        <v>9542.8680308206,2382.32238340432</v>
      </c>
      <c r="AV100" s="64" t="str">
        <f t="shared" ca="1" si="30"/>
        <v>9542.8680308206,2383.85408397019</v>
      </c>
      <c r="AW100" s="169" t="str">
        <f t="shared" si="31"/>
        <v xml:space="preserve">pl 9542.8680308206,0 9542.8680308206,76 </v>
      </c>
      <c r="AX100" s="161" t="str">
        <f t="shared" ca="1" si="27"/>
        <v>-text 9542.8680308206,48 3.5 90 2382.322</v>
      </c>
      <c r="AY100" s="161" t="str">
        <f t="shared" ca="1" si="28"/>
        <v>-text 9542.8680308206,62.5 3.5 90 2383.854</v>
      </c>
      <c r="AZ100" s="42" t="str">
        <f t="shared" si="29"/>
        <v>-text 9542.8680308206,23.5 3.5 90 马分9+542.87</v>
      </c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  <c r="CW100" s="42"/>
      <c r="CX100" s="42"/>
      <c r="CY100" s="42"/>
      <c r="CZ100" s="42"/>
      <c r="DA100" s="42"/>
      <c r="DB100" s="42"/>
      <c r="DC100" s="42"/>
      <c r="DD100" s="42"/>
      <c r="DE100" s="42"/>
      <c r="DF100" s="42"/>
      <c r="DG100" s="42"/>
      <c r="DH100" s="42"/>
      <c r="DI100" s="42"/>
      <c r="DJ100" s="42"/>
      <c r="DK100" s="42"/>
      <c r="DL100" s="42"/>
      <c r="DM100" s="42"/>
      <c r="DN100" s="42"/>
      <c r="DO100" s="42"/>
      <c r="DP100" s="42"/>
      <c r="DQ100" s="42"/>
      <c r="DR100" s="42"/>
      <c r="DS100" s="42"/>
      <c r="DT100" s="42"/>
      <c r="DU100" s="42"/>
      <c r="DV100" s="42"/>
      <c r="DW100" s="42"/>
      <c r="DX100" s="42"/>
      <c r="DY100" s="42"/>
      <c r="DZ100" s="42"/>
      <c r="EA100" s="42"/>
      <c r="EB100" s="42"/>
      <c r="EC100" s="42"/>
      <c r="ED100" s="42"/>
      <c r="EE100" s="42"/>
      <c r="EF100" s="42"/>
      <c r="EG100" s="42"/>
      <c r="EH100" s="42"/>
      <c r="EI100" s="42"/>
      <c r="EJ100" s="42"/>
      <c r="EK100" s="42"/>
      <c r="EL100" s="42"/>
      <c r="EM100" s="42"/>
      <c r="EN100" s="42"/>
      <c r="EO100" s="42"/>
      <c r="EP100" s="42"/>
      <c r="EQ100" s="42"/>
      <c r="ER100" s="42"/>
      <c r="ES100" s="42"/>
      <c r="ET100" s="42"/>
      <c r="EU100" s="42"/>
      <c r="EV100" s="42"/>
      <c r="EW100" s="42"/>
      <c r="EX100" s="42"/>
      <c r="EY100" s="42"/>
      <c r="EZ100" s="42"/>
      <c r="FA100" s="42"/>
      <c r="FB100" s="42"/>
      <c r="FC100" s="42"/>
      <c r="FD100" s="42"/>
      <c r="FE100" s="42"/>
      <c r="FF100" s="42"/>
      <c r="FG100" s="42"/>
      <c r="FH100" s="42"/>
      <c r="FI100" s="42"/>
      <c r="FJ100" s="42"/>
      <c r="FK100" s="42"/>
      <c r="FL100" s="42"/>
      <c r="FM100" s="42"/>
      <c r="FN100" s="42"/>
      <c r="FO100" s="42"/>
      <c r="FP100" s="42"/>
      <c r="FQ100" s="42"/>
      <c r="FR100" s="42"/>
      <c r="FS100" s="42"/>
      <c r="FT100" s="42"/>
      <c r="FU100" s="42"/>
      <c r="FV100" s="42"/>
      <c r="FW100" s="42"/>
      <c r="FX100" s="42"/>
      <c r="FY100" s="42"/>
      <c r="FZ100" s="42"/>
      <c r="GA100" s="42"/>
      <c r="GB100" s="42"/>
      <c r="GC100" s="42"/>
      <c r="GD100" s="42"/>
      <c r="GE100" s="42"/>
      <c r="GF100" s="42"/>
      <c r="GG100" s="42"/>
      <c r="GH100" s="42"/>
      <c r="GI100" s="42"/>
      <c r="GJ100" s="42"/>
      <c r="GK100" s="42"/>
      <c r="GL100" s="42"/>
      <c r="GM100" s="42"/>
      <c r="GN100" s="42"/>
      <c r="GO100" s="42"/>
      <c r="GP100" s="42"/>
      <c r="GQ100" s="42"/>
      <c r="GR100" s="42"/>
      <c r="GS100" s="42"/>
      <c r="GT100" s="42"/>
      <c r="GU100" s="42"/>
      <c r="GV100" s="42"/>
      <c r="GW100" s="42"/>
      <c r="GX100" s="42"/>
    </row>
    <row r="101" spans="1:206" s="58" customFormat="1" x14ac:dyDescent="0.25">
      <c r="A101" s="170">
        <v>5</v>
      </c>
      <c r="B101" s="171" t="str">
        <f>线路!B98</f>
        <v>IP68</v>
      </c>
      <c r="C101" s="172">
        <f>线路!E98</f>
        <v>448695.69219999999</v>
      </c>
      <c r="D101" s="172">
        <f>线路!F98</f>
        <v>3040001.0847999998</v>
      </c>
      <c r="E101" s="173">
        <f>线路!G98</f>
        <v>12</v>
      </c>
      <c r="F101" s="173">
        <f>线路!H98</f>
        <v>8.7949999999999999</v>
      </c>
      <c r="G101" s="174">
        <f>线路!L98</f>
        <v>9746.7675408388477</v>
      </c>
      <c r="H101" s="174">
        <f>线路!M98</f>
        <v>9747.6885510851243</v>
      </c>
      <c r="I101" s="174">
        <f>线路!N98</f>
        <v>9748.6095613314028</v>
      </c>
      <c r="J101" s="175">
        <f t="shared" si="32"/>
        <v>1.8420204925550934</v>
      </c>
      <c r="K101" s="175">
        <f t="shared" si="42"/>
        <v>204.82052026452766</v>
      </c>
      <c r="L101" s="175">
        <f>IF(A101=1,断面设计!$D$7,IF(A101=2,断面设计!$D$8,IF(A101=3,断面设计!$D$9,IF(A101=4,断面设计!$D$10,IF(A101=5,断面设计!$D$11,IF(A101=6,断面设计!$D$12,IF(A101=7,断面设计!$D$13,IF(A101=8,断面设计!$D$14,IF(A101=9,断面设计!$D$15,IF(A101=10,断面设计!$D$16))))))))))</f>
        <v>1.2</v>
      </c>
      <c r="M101" s="175">
        <f t="shared" si="43"/>
        <v>0</v>
      </c>
      <c r="N101" s="176">
        <f t="shared" si="50"/>
        <v>1.4E-2</v>
      </c>
      <c r="O101" s="175">
        <f>IF(A101=5,断面设计!$O$37,IF(A101=6,断面设计!$O$38,IF(A101=7,断面设计!$O$39,IF(A101=9,断面设计!$O$40,IF(A101=10,断面设计!$O$41)))))</f>
        <v>2000</v>
      </c>
      <c r="P101" s="177">
        <f>IF(A101=1,断面设计!$K$7,IF(A101=2,断面设计!$K$8,IF(A101=3,断面设计!$K$9,IF(A101=4,断面设计!$K$10,IF(A101=5,断面设计!$K$11,IF(A101=6,断面设计!$K$12,IF(A101=7,断面设计!$K$13,IF(A101=8,断面设计!$K$14,IF(A101=9,断面设计!$K$15,IF(A101=10,断面设计!$K$16))))))))))</f>
        <v>3.5000124380332474</v>
      </c>
      <c r="Q101" s="176">
        <f>IF(A101=5,断面设计!$C$37,IF(A101=6,断面设计!$C$38,IF(A101=7,断面设计!$C$39,IF(A101=9,断面设计!$C$40,IF(A101=10,断面设计!$C$41)))))</f>
        <v>1.53170056586367</v>
      </c>
      <c r="R101" s="175">
        <f>IF(A101=5,断面设计!$K$37,IF(A101=6,断面设计!$K$38,IF(A101=7,断面设计!$K$39,IF(A101=9,断面设计!$K$40,IF(A101=10,断面设计!$K$41)))))</f>
        <v>3.06340113172734</v>
      </c>
      <c r="S101" s="175">
        <f>IF(A101=5,断面设计!$L$37,IF(A101=6,断面设计!$L$38,IF(A101=7,断面设计!$L$39,IF(A101=9,断面设计!$L$40,IF(A101=10,断面设计!$L$41)))))</f>
        <v>5.06340113172734</v>
      </c>
      <c r="T101" s="175">
        <f t="shared" si="44"/>
        <v>0.60500858060247831</v>
      </c>
      <c r="U101" s="175">
        <f t="shared" si="45"/>
        <v>1.1425250195881851</v>
      </c>
      <c r="V101" s="179">
        <f t="shared" si="46"/>
        <v>2.1843782914915375E-4</v>
      </c>
      <c r="W101" s="180"/>
      <c r="X101" s="176">
        <f>IF(AN101=0,IF(AN100=2,(H101-H100-AE100)/O101,(H101-H100)/O101),IF(AN101=1,IF(AN100=2,IF(AE101&lt;9,(H101-H100-AE101-AE100)/断面设计!$J$7,(H101-H100-AE101-AE100)/断面设计!$J$7),(H101-H100-AE101)/O100),(H101-H100)/O101))</f>
        <v>0.10241026013226383</v>
      </c>
      <c r="Y101" s="181">
        <v>0</v>
      </c>
      <c r="Z101" s="182">
        <f t="shared" si="51"/>
        <v>0</v>
      </c>
      <c r="AA101" s="183"/>
      <c r="AB101" s="181">
        <f t="shared" si="33"/>
        <v>1.53170056586367</v>
      </c>
      <c r="AC101" s="176">
        <f t="shared" si="34"/>
        <v>0.10262869796141298</v>
      </c>
      <c r="AD101" s="176">
        <f t="shared" ca="1" si="47"/>
        <v>2383.7514552722241</v>
      </c>
      <c r="AE101" s="184">
        <f t="shared" si="48"/>
        <v>0</v>
      </c>
      <c r="AF101" s="176" t="str">
        <f t="shared" si="35"/>
        <v xml:space="preserve"> </v>
      </c>
      <c r="AG101" s="176" t="str">
        <f>IF(AE101=0," ",AF101-断面设计!$C$7)</f>
        <v xml:space="preserve"> </v>
      </c>
      <c r="AH101" s="176">
        <f t="shared" ca="1" si="36"/>
        <v>2383.7521342151763</v>
      </c>
      <c r="AI101" s="176">
        <f t="shared" ca="1" si="37"/>
        <v>2382.2204336493128</v>
      </c>
      <c r="AJ101" s="176">
        <f t="shared" ca="1" si="38"/>
        <v>2383.750994767101</v>
      </c>
      <c r="AK101" s="176">
        <f t="shared" ca="1" si="39"/>
        <v>2382.2192942012375</v>
      </c>
      <c r="AL101" s="176">
        <f t="shared" ca="1" si="40"/>
        <v>2383.7515644911387</v>
      </c>
      <c r="AM101" s="176">
        <f t="shared" ca="1" si="41"/>
        <v>2382.2198639252751</v>
      </c>
      <c r="AN101" s="180"/>
      <c r="AO101" s="170">
        <v>1</v>
      </c>
      <c r="AP101" s="42"/>
      <c r="AQ101" s="42"/>
      <c r="AR101" s="42"/>
      <c r="AS101" s="42"/>
      <c r="AT101" s="42"/>
      <c r="AU101" s="64" t="str">
        <f t="shared" ca="1" si="49"/>
        <v>9747.68855108512,2382.21986392528</v>
      </c>
      <c r="AV101" s="64" t="str">
        <f t="shared" ca="1" si="30"/>
        <v>9747.68855108512,2383.75156449114</v>
      </c>
      <c r="AW101" s="169" t="str">
        <f t="shared" si="31"/>
        <v xml:space="preserve">pl 9747.68855108512,0 9747.68855108512,76 </v>
      </c>
      <c r="AX101" s="161" t="str">
        <f t="shared" ca="1" si="27"/>
        <v>-text 9747.68855108512,48 3.5 90 2382.220</v>
      </c>
      <c r="AY101" s="161" t="str">
        <f t="shared" ca="1" si="28"/>
        <v>-text 9747.68855108512,62.5 3.5 90 2383.752</v>
      </c>
      <c r="AZ101" s="42" t="str">
        <f t="shared" si="29"/>
        <v>-text 9747.68855108512,23.5 3.5 90 马分9+747.69</v>
      </c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  <c r="CW101" s="42"/>
      <c r="CX101" s="42"/>
      <c r="CY101" s="42"/>
      <c r="CZ101" s="42"/>
      <c r="DA101" s="42"/>
      <c r="DB101" s="42"/>
      <c r="DC101" s="42"/>
      <c r="DD101" s="42"/>
      <c r="DE101" s="42"/>
      <c r="DF101" s="42"/>
      <c r="DG101" s="42"/>
      <c r="DH101" s="42"/>
      <c r="DI101" s="42"/>
      <c r="DJ101" s="42"/>
      <c r="DK101" s="42"/>
      <c r="DL101" s="42"/>
      <c r="DM101" s="42"/>
      <c r="DN101" s="42"/>
      <c r="DO101" s="42"/>
      <c r="DP101" s="42"/>
      <c r="DQ101" s="42"/>
      <c r="DR101" s="42"/>
      <c r="DS101" s="42"/>
      <c r="DT101" s="42"/>
      <c r="DU101" s="42"/>
      <c r="DV101" s="42"/>
      <c r="DW101" s="42"/>
      <c r="DX101" s="42"/>
      <c r="DY101" s="42"/>
      <c r="DZ101" s="42"/>
      <c r="EA101" s="42"/>
      <c r="EB101" s="42"/>
      <c r="EC101" s="42"/>
      <c r="ED101" s="42"/>
      <c r="EE101" s="42"/>
      <c r="EF101" s="42"/>
      <c r="EG101" s="42"/>
      <c r="EH101" s="42"/>
      <c r="EI101" s="42"/>
      <c r="EJ101" s="42"/>
      <c r="EK101" s="42"/>
      <c r="EL101" s="42"/>
      <c r="EM101" s="42"/>
      <c r="EN101" s="42"/>
      <c r="EO101" s="42"/>
      <c r="EP101" s="42"/>
      <c r="EQ101" s="42"/>
      <c r="ER101" s="42"/>
      <c r="ES101" s="42"/>
      <c r="ET101" s="42"/>
      <c r="EU101" s="42"/>
      <c r="EV101" s="42"/>
      <c r="EW101" s="42"/>
      <c r="EX101" s="42"/>
      <c r="EY101" s="42"/>
      <c r="EZ101" s="42"/>
      <c r="FA101" s="42"/>
      <c r="FB101" s="42"/>
      <c r="FC101" s="42"/>
      <c r="FD101" s="42"/>
      <c r="FE101" s="42"/>
      <c r="FF101" s="42"/>
      <c r="FG101" s="42"/>
      <c r="FH101" s="42"/>
      <c r="FI101" s="42"/>
      <c r="FJ101" s="42"/>
      <c r="FK101" s="42"/>
      <c r="FL101" s="42"/>
      <c r="FM101" s="42"/>
      <c r="FN101" s="42"/>
      <c r="FO101" s="42"/>
      <c r="FP101" s="42"/>
      <c r="FQ101" s="42"/>
      <c r="FR101" s="42"/>
      <c r="FS101" s="42"/>
      <c r="FT101" s="42"/>
      <c r="FU101" s="42"/>
      <c r="FV101" s="42"/>
      <c r="FW101" s="42"/>
      <c r="FX101" s="42"/>
      <c r="FY101" s="42"/>
      <c r="FZ101" s="42"/>
      <c r="GA101" s="42"/>
      <c r="GB101" s="42"/>
      <c r="GC101" s="42"/>
      <c r="GD101" s="42"/>
      <c r="GE101" s="42"/>
      <c r="GF101" s="42"/>
      <c r="GG101" s="42"/>
      <c r="GH101" s="42"/>
      <c r="GI101" s="42"/>
      <c r="GJ101" s="42"/>
      <c r="GK101" s="42"/>
      <c r="GL101" s="42"/>
      <c r="GM101" s="42"/>
      <c r="GN101" s="42"/>
      <c r="GO101" s="42"/>
      <c r="GP101" s="42"/>
      <c r="GQ101" s="42"/>
      <c r="GR101" s="42"/>
      <c r="GS101" s="42"/>
      <c r="GT101" s="42"/>
      <c r="GU101" s="42"/>
      <c r="GV101" s="42"/>
      <c r="GW101" s="42"/>
      <c r="GX101" s="42"/>
    </row>
    <row r="102" spans="1:206" s="58" customFormat="1" x14ac:dyDescent="0.25">
      <c r="A102" s="170">
        <v>5</v>
      </c>
      <c r="B102" s="171" t="str">
        <f>线路!B99</f>
        <v>IP69</v>
      </c>
      <c r="C102" s="172">
        <f>线路!E99</f>
        <v>448332.3933</v>
      </c>
      <c r="D102" s="172">
        <f>线路!F99</f>
        <v>3040012.6708</v>
      </c>
      <c r="E102" s="173">
        <f>线路!G99</f>
        <v>12</v>
      </c>
      <c r="F102" s="173">
        <f>线路!H99</f>
        <v>59.088000000000001</v>
      </c>
      <c r="G102" s="174">
        <f>线路!L99</f>
        <v>10104.368892732669</v>
      </c>
      <c r="H102" s="174">
        <f>线路!M99</f>
        <v>10110.55657362318</v>
      </c>
      <c r="I102" s="174">
        <f>线路!N99</f>
        <v>10116.744254513691</v>
      </c>
      <c r="J102" s="175">
        <f t="shared" si="32"/>
        <v>12.375361781021638</v>
      </c>
      <c r="K102" s="175">
        <f t="shared" si="42"/>
        <v>362.86802253805581</v>
      </c>
      <c r="L102" s="175">
        <f>IF(A102=1,断面设计!$D$7,IF(A102=2,断面设计!$D$8,IF(A102=3,断面设计!$D$9,IF(A102=4,断面设计!$D$10,IF(A102=5,断面设计!$D$11,IF(A102=6,断面设计!$D$12,IF(A102=7,断面设计!$D$13,IF(A102=8,断面设计!$D$14,IF(A102=9,断面设计!$D$15,IF(A102=10,断面设计!$D$16))))))))))</f>
        <v>1.2</v>
      </c>
      <c r="M102" s="175">
        <f t="shared" si="43"/>
        <v>0</v>
      </c>
      <c r="N102" s="176">
        <f t="shared" si="50"/>
        <v>1.4E-2</v>
      </c>
      <c r="O102" s="175">
        <f>IF(A102=5,断面设计!$O$37,IF(A102=6,断面设计!$O$38,IF(A102=7,断面设计!$O$39,IF(A102=9,断面设计!$O$40,IF(A102=10,断面设计!$O$41)))))</f>
        <v>2000</v>
      </c>
      <c r="P102" s="177">
        <f>IF(A102=1,断面设计!$K$7,IF(A102=2,断面设计!$K$8,IF(A102=3,断面设计!$K$9,IF(A102=4,断面设计!$K$10,IF(A102=5,断面设计!$K$11,IF(A102=6,断面设计!$K$12,IF(A102=7,断面设计!$K$13,IF(A102=8,断面设计!$K$14,IF(A102=9,断面设计!$K$15,IF(A102=10,断面设计!$K$16))))))))))</f>
        <v>3.5000124380332474</v>
      </c>
      <c r="Q102" s="176">
        <f>IF(A102=5,断面设计!$C$37,IF(A102=6,断面设计!$C$38,IF(A102=7,断面设计!$C$39,IF(A102=9,断面设计!$C$40,IF(A102=10,断面设计!$C$41)))))</f>
        <v>1.53170056586367</v>
      </c>
      <c r="R102" s="175">
        <f>IF(A102=5,断面设计!$K$37,IF(A102=6,断面设计!$K$38,IF(A102=7,断面设计!$K$39,IF(A102=9,断面设计!$K$40,IF(A102=10,断面设计!$K$41)))))</f>
        <v>3.06340113172734</v>
      </c>
      <c r="S102" s="175">
        <f>IF(A102=5,断面设计!$L$37,IF(A102=6,断面设计!$L$38,IF(A102=7,断面设计!$L$39,IF(A102=9,断面设计!$L$40,IF(A102=10,断面设计!$L$41)))))</f>
        <v>5.06340113172734</v>
      </c>
      <c r="T102" s="175">
        <f t="shared" si="44"/>
        <v>0.60500858060247831</v>
      </c>
      <c r="U102" s="175">
        <f t="shared" si="45"/>
        <v>1.1425250195881851</v>
      </c>
      <c r="V102" s="179">
        <f t="shared" si="46"/>
        <v>1.4675445649532698E-3</v>
      </c>
      <c r="W102" s="180"/>
      <c r="X102" s="176">
        <f>IF(AN102=0,IF(AN101=2,(H102-H101-AE101)/O102,(H102-H101)/O102),IF(AN102=1,IF(AN101=2,IF(AE102&lt;9,(H102-H101-AE102-AE101)/断面设计!$J$7,(H102-H101-AE102-AE101)/断面设计!$J$7),(H102-H101-AE102)/O101),(H102-H101)/O102))</f>
        <v>0.18143401126902792</v>
      </c>
      <c r="Y102" s="181">
        <v>0</v>
      </c>
      <c r="Z102" s="182">
        <f t="shared" si="51"/>
        <v>0</v>
      </c>
      <c r="AA102" s="183"/>
      <c r="AB102" s="181">
        <f t="shared" si="33"/>
        <v>1.53170056586367</v>
      </c>
      <c r="AC102" s="176">
        <f t="shared" si="34"/>
        <v>0.18290155583398118</v>
      </c>
      <c r="AD102" s="176">
        <f t="shared" ca="1" si="47"/>
        <v>2383.5685537163899</v>
      </c>
      <c r="AE102" s="184">
        <f t="shared" si="48"/>
        <v>0</v>
      </c>
      <c r="AF102" s="176" t="str">
        <f t="shared" si="35"/>
        <v xml:space="preserve"> </v>
      </c>
      <c r="AG102" s="176" t="str">
        <f>IF(AE102=0," ",AF102-断面设计!$C$7)</f>
        <v xml:space="preserve"> </v>
      </c>
      <c r="AH102" s="176">
        <f t="shared" ca="1" si="36"/>
        <v>2383.5731151014002</v>
      </c>
      <c r="AI102" s="176">
        <f t="shared" ca="1" si="37"/>
        <v>2382.0414145355367</v>
      </c>
      <c r="AJ102" s="176">
        <f t="shared" ca="1" si="38"/>
        <v>2383.5654598759447</v>
      </c>
      <c r="AK102" s="176">
        <f t="shared" ca="1" si="39"/>
        <v>2382.0337593100812</v>
      </c>
      <c r="AL102" s="176">
        <f t="shared" ca="1" si="40"/>
        <v>2383.5692874886722</v>
      </c>
      <c r="AM102" s="176">
        <f t="shared" ca="1" si="41"/>
        <v>2382.0375869228087</v>
      </c>
      <c r="AN102" s="180"/>
      <c r="AO102" s="170">
        <v>1</v>
      </c>
      <c r="AP102" s="42"/>
      <c r="AQ102" s="42"/>
      <c r="AR102" s="42"/>
      <c r="AS102" s="42"/>
      <c r="AT102" s="42"/>
      <c r="AU102" s="64" t="str">
        <f t="shared" ca="1" si="49"/>
        <v>10110.5565736232,2382.03758692281</v>
      </c>
      <c r="AV102" s="64" t="str">
        <f t="shared" ca="1" si="30"/>
        <v>10110.5565736232,2383.56928748867</v>
      </c>
      <c r="AW102" s="169" t="str">
        <f t="shared" si="31"/>
        <v xml:space="preserve">pl 10110.5565736232,0 10110.5565736232,76 </v>
      </c>
      <c r="AX102" s="161" t="str">
        <f t="shared" ca="1" si="27"/>
        <v>-text 10110.5565736232,48 3.5 90 2382.038</v>
      </c>
      <c r="AY102" s="161" t="str">
        <f t="shared" ca="1" si="28"/>
        <v>-text 10110.5565736232,62.5 3.5 90 2383.569</v>
      </c>
      <c r="AZ102" s="42" t="str">
        <f t="shared" si="29"/>
        <v>-text 10110.5565736232,23.5 3.5 90 马分10+110.56</v>
      </c>
      <c r="BA102" s="42"/>
      <c r="BB102" s="42"/>
      <c r="BC102" s="42"/>
      <c r="BD102" s="42"/>
      <c r="BE102" s="42"/>
      <c r="BF102" s="42"/>
      <c r="BG102" s="42"/>
      <c r="BH102" s="42"/>
      <c r="BI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  <c r="CW102" s="42"/>
      <c r="CX102" s="42"/>
      <c r="CY102" s="42"/>
      <c r="CZ102" s="42"/>
      <c r="DA102" s="42"/>
      <c r="DB102" s="42"/>
      <c r="DC102" s="42"/>
      <c r="DD102" s="42"/>
      <c r="DE102" s="42"/>
      <c r="DF102" s="42"/>
      <c r="DG102" s="42"/>
      <c r="DH102" s="42"/>
      <c r="DI102" s="42"/>
      <c r="DJ102" s="42"/>
      <c r="DK102" s="42"/>
      <c r="DL102" s="42"/>
      <c r="DM102" s="42"/>
      <c r="DN102" s="42"/>
      <c r="DO102" s="42"/>
      <c r="DP102" s="42"/>
      <c r="DQ102" s="42"/>
      <c r="DR102" s="42"/>
      <c r="DS102" s="42"/>
      <c r="DT102" s="42"/>
      <c r="DU102" s="42"/>
      <c r="DV102" s="42"/>
      <c r="DW102" s="42"/>
      <c r="DX102" s="42"/>
      <c r="DY102" s="42"/>
      <c r="DZ102" s="42"/>
      <c r="EA102" s="42"/>
      <c r="EB102" s="42"/>
      <c r="EC102" s="42"/>
      <c r="ED102" s="42"/>
      <c r="EE102" s="42"/>
      <c r="EF102" s="42"/>
      <c r="EG102" s="42"/>
      <c r="EH102" s="42"/>
      <c r="EI102" s="42"/>
      <c r="EJ102" s="42"/>
      <c r="EK102" s="42"/>
      <c r="EL102" s="42"/>
      <c r="EM102" s="42"/>
      <c r="EN102" s="42"/>
      <c r="EO102" s="42"/>
      <c r="EP102" s="42"/>
      <c r="EQ102" s="42"/>
      <c r="ER102" s="42"/>
      <c r="ES102" s="42"/>
      <c r="ET102" s="42"/>
      <c r="EU102" s="42"/>
      <c r="EV102" s="42"/>
      <c r="EW102" s="42"/>
      <c r="EX102" s="42"/>
      <c r="EY102" s="42"/>
      <c r="EZ102" s="42"/>
      <c r="FA102" s="42"/>
      <c r="FB102" s="42"/>
      <c r="FC102" s="42"/>
      <c r="FD102" s="42"/>
      <c r="FE102" s="42"/>
      <c r="FF102" s="42"/>
      <c r="FG102" s="42"/>
      <c r="FH102" s="42"/>
      <c r="FI102" s="42"/>
      <c r="FJ102" s="42"/>
      <c r="FK102" s="42"/>
      <c r="FL102" s="42"/>
      <c r="FM102" s="42"/>
      <c r="FN102" s="42"/>
      <c r="FO102" s="42"/>
      <c r="FP102" s="42"/>
      <c r="FQ102" s="42"/>
      <c r="FR102" s="42"/>
      <c r="FS102" s="42"/>
      <c r="FT102" s="42"/>
      <c r="FU102" s="42"/>
      <c r="FV102" s="42"/>
      <c r="FW102" s="42"/>
      <c r="FX102" s="42"/>
      <c r="FY102" s="42"/>
      <c r="FZ102" s="42"/>
      <c r="GA102" s="42"/>
      <c r="GB102" s="42"/>
      <c r="GC102" s="42"/>
      <c r="GD102" s="42"/>
      <c r="GE102" s="42"/>
      <c r="GF102" s="42"/>
      <c r="GG102" s="42"/>
      <c r="GH102" s="42"/>
      <c r="GI102" s="42"/>
      <c r="GJ102" s="42"/>
      <c r="GK102" s="42"/>
      <c r="GL102" s="42"/>
      <c r="GM102" s="42"/>
      <c r="GN102" s="42"/>
      <c r="GO102" s="42"/>
      <c r="GP102" s="42"/>
      <c r="GQ102" s="42"/>
      <c r="GR102" s="42"/>
      <c r="GS102" s="42"/>
      <c r="GT102" s="42"/>
      <c r="GU102" s="42"/>
      <c r="GV102" s="42"/>
      <c r="GW102" s="42"/>
      <c r="GX102" s="42"/>
    </row>
    <row r="103" spans="1:206" s="58" customFormat="1" x14ac:dyDescent="0.25">
      <c r="A103" s="170">
        <v>5</v>
      </c>
      <c r="B103" s="171" t="str">
        <f>线路!B100</f>
        <v>1#隧洞出</v>
      </c>
      <c r="C103" s="172">
        <f>线路!E100</f>
        <v>448307.7475</v>
      </c>
      <c r="D103" s="172">
        <f>线路!F100</f>
        <v>3040056.9772999999</v>
      </c>
      <c r="E103" s="173">
        <f>线路!G100</f>
        <v>0</v>
      </c>
      <c r="F103" s="173">
        <f>线路!H100</f>
        <v>0</v>
      </c>
      <c r="G103" s="174">
        <f>线路!L100</f>
        <v>10160.642725913809</v>
      </c>
      <c r="H103" s="174">
        <f>线路!M100</f>
        <v>10160.642725913809</v>
      </c>
      <c r="I103" s="174">
        <f>线路!N100</f>
        <v>10160.642725913809</v>
      </c>
      <c r="J103" s="175">
        <f t="shared" si="32"/>
        <v>0</v>
      </c>
      <c r="K103" s="175">
        <f t="shared" si="42"/>
        <v>50.086152290628888</v>
      </c>
      <c r="L103" s="175">
        <f>IF(A103=1,断面设计!$D$7,IF(A103=2,断面设计!$D$8,IF(A103=3,断面设计!$D$9,IF(A103=4,断面设计!$D$10,IF(A103=5,断面设计!$D$11,IF(A103=6,断面设计!$D$12,IF(A103=7,断面设计!$D$13,IF(A103=8,断面设计!$D$14,IF(A103=9,断面设计!$D$15,IF(A103=10,断面设计!$D$16))))))))))</f>
        <v>1.2</v>
      </c>
      <c r="M103" s="175">
        <f t="shared" si="43"/>
        <v>0</v>
      </c>
      <c r="N103" s="176">
        <f t="shared" si="50"/>
        <v>1.4E-2</v>
      </c>
      <c r="O103" s="175">
        <f>IF(A103=5,断面设计!$O$37,IF(A103=6,断面设计!$O$38,IF(A103=7,断面设计!$O$39,IF(A103=9,断面设计!$O$40,IF(A103=10,断面设计!$O$41)))))</f>
        <v>2000</v>
      </c>
      <c r="P103" s="177">
        <f>IF(A103=1,断面设计!$K$7,IF(A103=2,断面设计!$K$8,IF(A103=3,断面设计!$K$9,IF(A103=4,断面设计!$K$10,IF(A103=5,断面设计!$K$11,IF(A103=6,断面设计!$K$12,IF(A103=7,断面设计!$K$13,IF(A103=8,断面设计!$K$14,IF(A103=9,断面设计!$K$15,IF(A103=10,断面设计!$K$16))))))))))</f>
        <v>3.5000124380332474</v>
      </c>
      <c r="Q103" s="176">
        <f>IF(A103=5,断面设计!$C$37,IF(A103=6,断面设计!$C$38,IF(A103=7,断面设计!$C$39,IF(A103=9,断面设计!$C$40,IF(A103=10,断面设计!$C$41)))))</f>
        <v>1.53170056586367</v>
      </c>
      <c r="R103" s="175">
        <f>IF(A103=5,断面设计!$K$37,IF(A103=6,断面设计!$K$38,IF(A103=7,断面设计!$K$39,IF(A103=9,断面设计!$K$40,IF(A103=10,断面设计!$K$41)))))</f>
        <v>3.06340113172734</v>
      </c>
      <c r="S103" s="175">
        <f>IF(A103=5,断面设计!$L$37,IF(A103=6,断面设计!$L$38,IF(A103=7,断面设计!$L$39,IF(A103=9,断面设计!$L$40,IF(A103=10,断面设计!$L$41)))))</f>
        <v>5.06340113172734</v>
      </c>
      <c r="T103" s="175">
        <f t="shared" si="44"/>
        <v>0.60500858060247831</v>
      </c>
      <c r="U103" s="175">
        <f t="shared" si="45"/>
        <v>1.1425250195881851</v>
      </c>
      <c r="V103" s="179"/>
      <c r="W103" s="176">
        <f>-0.6*(U103^2/2-U104^2/2)/9.81</f>
        <v>-2.1044382607884621E-2</v>
      </c>
      <c r="X103" s="176">
        <f>IF(AN103=0,IF(AN102=2,(H103-H102-AE102)/O103,(H103-H102)/O103),IF(AN103=1,IF(AN102=2,IF(AE103&lt;9,(H103-H102-AE103-AE102)/断面设计!$J$7,(H103-H102-AE103-AE102)/断面设计!$J$7),(H103-H102-AE103)/O102),(H103-H102)/O103))</f>
        <v>2.5043076145314445E-2</v>
      </c>
      <c r="Y103" s="181">
        <v>0</v>
      </c>
      <c r="Z103" s="182">
        <f t="shared" si="51"/>
        <v>0</v>
      </c>
      <c r="AA103" s="183"/>
      <c r="AB103" s="181">
        <f t="shared" si="33"/>
        <v>1.53170056586367</v>
      </c>
      <c r="AC103" s="176">
        <f t="shared" si="34"/>
        <v>3.9986935374298239E-3</v>
      </c>
      <c r="AD103" s="176">
        <f t="shared" ca="1" si="47"/>
        <v>2383.5645550228523</v>
      </c>
      <c r="AE103" s="185">
        <v>5.5</v>
      </c>
      <c r="AF103" s="176">
        <f t="shared" ca="1" si="35"/>
        <v>2383.5645550228523</v>
      </c>
      <c r="AG103" s="176">
        <f ca="1">IF(AE103=0," ",AF103-断面设计!$C$7)</f>
        <v>2381.9646091864524</v>
      </c>
      <c r="AH103" s="176" t="str">
        <f t="shared" si="36"/>
        <v xml:space="preserve"> </v>
      </c>
      <c r="AI103" s="176" t="str">
        <f t="shared" si="37"/>
        <v xml:space="preserve"> </v>
      </c>
      <c r="AJ103" s="176" t="str">
        <f t="shared" si="38"/>
        <v xml:space="preserve"> </v>
      </c>
      <c r="AK103" s="176" t="str">
        <f t="shared" si="39"/>
        <v xml:space="preserve"> </v>
      </c>
      <c r="AL103" s="176">
        <f t="shared" ca="1" si="40"/>
        <v>2383.5435106402447</v>
      </c>
      <c r="AM103" s="176">
        <f t="shared" ca="1" si="41"/>
        <v>2382.0118100743812</v>
      </c>
      <c r="AN103" s="180">
        <v>2</v>
      </c>
      <c r="AO103" s="170">
        <v>1</v>
      </c>
      <c r="AP103" s="42"/>
      <c r="AQ103" s="42"/>
      <c r="AR103" s="42"/>
      <c r="AS103" s="42"/>
      <c r="AT103" s="42"/>
      <c r="AU103" s="64" t="str">
        <f t="shared" ca="1" si="49"/>
        <v>10160.6427259138,2382.01181007438</v>
      </c>
      <c r="AV103" s="64" t="str">
        <f t="shared" ca="1" si="30"/>
        <v>10160.6427259138,2383.54351064024</v>
      </c>
      <c r="AW103" s="169" t="str">
        <f t="shared" si="31"/>
        <v xml:space="preserve">pl 10160.6427259138,0 10160.6427259138,76 </v>
      </c>
      <c r="AX103" s="161" t="str">
        <f t="shared" ca="1" si="27"/>
        <v>-text 10160.6427259138,48 3.5 90 2382.012</v>
      </c>
      <c r="AY103" s="161" t="str">
        <f t="shared" ca="1" si="28"/>
        <v>-text 10160.6427259138,62.5 3.5 90 2383.544</v>
      </c>
      <c r="AZ103" s="42" t="str">
        <f t="shared" si="29"/>
        <v>-text 10160.6427259138,23.5 3.5 90 马分10+160.64</v>
      </c>
      <c r="BA103" s="42"/>
      <c r="BB103" s="42"/>
      <c r="BC103" s="42"/>
      <c r="BD103" s="42"/>
      <c r="BE103" s="42"/>
      <c r="BF103" s="42"/>
      <c r="BG103" s="42"/>
      <c r="BH103" s="42"/>
      <c r="BI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  <c r="CW103" s="42"/>
      <c r="CX103" s="42"/>
      <c r="CY103" s="42"/>
      <c r="CZ103" s="42"/>
      <c r="DA103" s="42"/>
      <c r="DB103" s="42"/>
      <c r="DC103" s="42"/>
      <c r="DD103" s="42"/>
      <c r="DE103" s="42"/>
      <c r="DF103" s="42"/>
      <c r="DG103" s="42"/>
      <c r="DH103" s="42"/>
      <c r="DI103" s="42"/>
      <c r="DJ103" s="42"/>
      <c r="DK103" s="42"/>
      <c r="DL103" s="42"/>
      <c r="DM103" s="42"/>
      <c r="DN103" s="42"/>
      <c r="DO103" s="42"/>
      <c r="DP103" s="42"/>
      <c r="DQ103" s="42"/>
      <c r="DR103" s="42"/>
      <c r="DS103" s="42"/>
      <c r="DT103" s="42"/>
      <c r="DU103" s="42"/>
      <c r="DV103" s="42"/>
      <c r="DW103" s="42"/>
      <c r="DX103" s="42"/>
      <c r="DY103" s="42"/>
      <c r="DZ103" s="42"/>
      <c r="EA103" s="42"/>
      <c r="EB103" s="42"/>
      <c r="EC103" s="42"/>
      <c r="ED103" s="42"/>
      <c r="EE103" s="42"/>
      <c r="EF103" s="42"/>
      <c r="EG103" s="42"/>
      <c r="EH103" s="42"/>
      <c r="EI103" s="42"/>
      <c r="EJ103" s="42"/>
      <c r="EK103" s="42"/>
      <c r="EL103" s="42"/>
      <c r="EM103" s="42"/>
      <c r="EN103" s="42"/>
      <c r="EO103" s="42"/>
      <c r="EP103" s="42"/>
      <c r="EQ103" s="42"/>
      <c r="ER103" s="42"/>
      <c r="ES103" s="42"/>
      <c r="ET103" s="42"/>
      <c r="EU103" s="42"/>
      <c r="EV103" s="42"/>
      <c r="EW103" s="42"/>
      <c r="EX103" s="42"/>
      <c r="EY103" s="42"/>
      <c r="EZ103" s="42"/>
      <c r="FA103" s="42"/>
      <c r="FB103" s="42"/>
      <c r="FC103" s="42"/>
      <c r="FD103" s="42"/>
      <c r="FE103" s="42"/>
      <c r="FF103" s="42"/>
      <c r="FG103" s="42"/>
      <c r="FH103" s="42"/>
      <c r="FI103" s="42"/>
      <c r="FJ103" s="42"/>
      <c r="FK103" s="42"/>
      <c r="FL103" s="42"/>
      <c r="FM103" s="42"/>
      <c r="FN103" s="42"/>
      <c r="FO103" s="42"/>
      <c r="FP103" s="42"/>
      <c r="FQ103" s="42"/>
      <c r="FR103" s="42"/>
      <c r="FS103" s="42"/>
      <c r="FT103" s="42"/>
      <c r="FU103" s="42"/>
      <c r="FV103" s="42"/>
      <c r="FW103" s="42"/>
      <c r="FX103" s="42"/>
      <c r="FY103" s="42"/>
      <c r="FZ103" s="42"/>
      <c r="GA103" s="42"/>
      <c r="GB103" s="42"/>
      <c r="GC103" s="42"/>
      <c r="GD103" s="42"/>
      <c r="GE103" s="42"/>
      <c r="GF103" s="42"/>
      <c r="GG103" s="42"/>
      <c r="GH103" s="42"/>
      <c r="GI103" s="42"/>
      <c r="GJ103" s="42"/>
      <c r="GK103" s="42"/>
      <c r="GL103" s="42"/>
      <c r="GM103" s="42"/>
      <c r="GN103" s="42"/>
      <c r="GO103" s="42"/>
      <c r="GP103" s="42"/>
      <c r="GQ103" s="42"/>
      <c r="GR103" s="42"/>
      <c r="GS103" s="42"/>
      <c r="GT103" s="42"/>
      <c r="GU103" s="42"/>
      <c r="GV103" s="42"/>
      <c r="GW103" s="42"/>
      <c r="GX103" s="42"/>
    </row>
    <row r="104" spans="1:206" s="42" customFormat="1" x14ac:dyDescent="0.25">
      <c r="A104" s="80">
        <v>5</v>
      </c>
      <c r="B104" s="76" t="str">
        <f>线路!B101</f>
        <v>IP70</v>
      </c>
      <c r="C104" s="81">
        <f>线路!E101</f>
        <v>448300.69540000003</v>
      </c>
      <c r="D104" s="81">
        <f>线路!F101</f>
        <v>3040069.6551000001</v>
      </c>
      <c r="E104" s="85">
        <f>线路!G101</f>
        <v>12</v>
      </c>
      <c r="F104" s="85">
        <f>线路!H101</f>
        <v>66.444999999999993</v>
      </c>
      <c r="G104" s="86">
        <f>线路!L101</f>
        <v>10167.290609619888</v>
      </c>
      <c r="H104" s="86">
        <f>线路!M101</f>
        <v>10174.248713748813</v>
      </c>
      <c r="I104" s="86">
        <f>线路!N101</f>
        <v>10181.206817877739</v>
      </c>
      <c r="J104" s="83">
        <f t="shared" si="32"/>
        <v>13.916208257851395</v>
      </c>
      <c r="K104" s="83">
        <f t="shared" si="42"/>
        <v>13.605987835004271</v>
      </c>
      <c r="L104" s="83">
        <f>IF(A104=1,断面设计!$D$7,IF(A104=2,断面设计!$D$8,IF(A104=3,断面设计!$D$9,IF(A104=4,断面设计!$D$10,IF(A104=5,断面设计!$D$11,IF(A104=6,断面设计!$D$12,IF(A104=7,断面设计!$D$13,IF(A104=8,断面设计!$D$14,IF(A104=9,断面设计!$D$15,IF(A104=10,断面设计!$D$16))))))))))</f>
        <v>1.2</v>
      </c>
      <c r="M104" s="83">
        <f t="shared" si="43"/>
        <v>1.2</v>
      </c>
      <c r="N104" s="110">
        <f t="shared" si="50"/>
        <v>1.4999999999999999E-2</v>
      </c>
      <c r="O104" s="83">
        <f>IF(A104=1,断面设计!$J$7,IF(A104=2,断面设计!$J$8,IF(A104=3,断面设计!$J$9,IF(A104=4,断面设计!$J$10,IF(A104=5,断面设计!$J$11,IF(A104=6,断面设计!$J$12,IF(A104=7,断面设计!$J$13,IF(A104=8,断面设计!$J$14,IF(A104=9,断面设计!$J$15,IF(A104=10,断面设计!$J$16))))))))))</f>
        <v>5000</v>
      </c>
      <c r="P104" s="111">
        <f>IF(A104=1,断面设计!$K$7,IF(A104=2,断面设计!$K$8,IF(A104=3,断面设计!$K$9,IF(A104=4,断面设计!$K$10,IF(A104=5,断面设计!$K$11,IF(A104=6,断面设计!$K$12,IF(A104=7,断面设计!$K$13,IF(A104=8,断面设计!$K$14,IF(A104=9,断面设计!$K$15,IF(A104=10,断面设计!$K$16))))))))))</f>
        <v>3.5000124380332474</v>
      </c>
      <c r="Q104" s="110">
        <f>IF(A104=1,断面设计!$C$7,IF(A104=2,断面设计!$C$8,IF(A104=3,断面设计!$C$9,IF(A104=4,断面设计!$C$10,IF(A104=5,断面设计!$C$11,IF(A104=6,断面设计!$C$12,IF(A104=7,断面设计!$C$13,IF(A104=8,断面设计!$C$14,IF(A104=9,断面设计!$C$15,IF(A104=10,断面设计!$C$16))))))))))</f>
        <v>1.4906129304215501</v>
      </c>
      <c r="R104" s="83">
        <f>IF(A104=1,断面设计!$F$7,IF(A104=2,断面设计!$F$8,IF(A104=3,断面设计!$F$9,IF(A104=4,断面设计!$F$10,IF(A104=5,断面设计!$F$11,IF(A104=6,断面设计!$F$12,IF(A104=7,断面设计!$F$13,IF(A104=8,断面设计!$F$14,IF(A104=9,断面设计!$F$15,IF(A104=10,断面设计!$F$16))))))))))</f>
        <v>4.4550478065137646</v>
      </c>
      <c r="S104" s="83">
        <f>IF(A104=1,断面设计!$G$7,IF(A104=2,断面设计!$G$8,IF(A104=3,断面设计!$G$9,IF(A104=4,断面设计!$G$10,IF(A104=5,断面设计!$G$11,IF(A104=6,断面设计!$G$12,IF(A104=7,断面设计!$G$13,IF(A104=8,断面设计!$G$14,IF(A104=9,断面设计!$G$15,IF(A104=10,断面设计!$G$16))))))))))</f>
        <v>5.8568236626908723</v>
      </c>
      <c r="T104" s="83">
        <f t="shared" si="44"/>
        <v>0.76065937154524599</v>
      </c>
      <c r="U104" s="83">
        <f t="shared" si="45"/>
        <v>0.78562848033097388</v>
      </c>
      <c r="V104" s="123">
        <f t="shared" si="46"/>
        <v>1.4575582784768259E-3</v>
      </c>
      <c r="W104" s="127"/>
      <c r="X104" s="110">
        <f>IF(AN104=0,IF(AN103=2,(H104-H103-AE103)/O104,(H104-H103)/O104),IF(AN104=1,IF(AN103=2,IF(AE104&lt;9,(H104-H103-AE104-AE103)/断面设计!$J$7,(H104-H103-AE104-AE103)/断面设计!$J$7),(H104-H103-AE104)/O103),(H104-H103)/O104))</f>
        <v>1.6211975670008543E-3</v>
      </c>
      <c r="Y104" s="133">
        <v>0</v>
      </c>
      <c r="Z104" s="134">
        <f t="shared" si="51"/>
        <v>0</v>
      </c>
      <c r="AA104" s="142"/>
      <c r="AB104" s="133">
        <f t="shared" si="33"/>
        <v>1.4906129304215501</v>
      </c>
      <c r="AC104" s="110">
        <f t="shared" si="34"/>
        <v>3.0787558454776799E-3</v>
      </c>
      <c r="AD104" s="110">
        <f t="shared" ca="1" si="47"/>
        <v>2383.561476267007</v>
      </c>
      <c r="AE104" s="82">
        <f t="shared" si="48"/>
        <v>0</v>
      </c>
      <c r="AF104" s="110" t="str">
        <f t="shared" si="35"/>
        <v xml:space="preserve"> </v>
      </c>
      <c r="AG104" s="110" t="str">
        <f>IF(AE104=0," ",AF104-断面设计!$C$7)</f>
        <v xml:space="preserve"> </v>
      </c>
      <c r="AH104" s="110">
        <f t="shared" ca="1" si="36"/>
        <v>2383.5643254461115</v>
      </c>
      <c r="AI104" s="110">
        <f t="shared" ca="1" si="37"/>
        <v>2382.0737125156897</v>
      </c>
      <c r="AJ104" s="110">
        <f t="shared" ca="1" si="38"/>
        <v>2383.5600846461812</v>
      </c>
      <c r="AK104" s="110">
        <f t="shared" ca="1" si="39"/>
        <v>2382.0694717157594</v>
      </c>
      <c r="AL104" s="110">
        <f t="shared" ca="1" si="40"/>
        <v>2383.5622050461461</v>
      </c>
      <c r="AM104" s="110">
        <f t="shared" ca="1" si="41"/>
        <v>2382.0715921157243</v>
      </c>
      <c r="AN104" s="127"/>
      <c r="AO104" s="80">
        <v>0</v>
      </c>
      <c r="AU104" s="64" t="str">
        <f t="shared" ca="1" si="49"/>
        <v>10174.2487137488,2382.07159211572</v>
      </c>
      <c r="AV104" s="64" t="str">
        <f t="shared" ca="1" si="30"/>
        <v>10174.2487137488,2383.56220504615</v>
      </c>
      <c r="AW104" s="169" t="str">
        <f t="shared" si="31"/>
        <v xml:space="preserve">pl 10174.2487137488,0 10174.2487137488,76 </v>
      </c>
      <c r="AX104" s="161" t="str">
        <f t="shared" ca="1" si="27"/>
        <v>-text 10174.2487137488,48 3.5 90 2382.072</v>
      </c>
      <c r="AY104" s="161" t="str">
        <f t="shared" ca="1" si="28"/>
        <v>-text 10174.2487137488,62.5 3.5 90 2383.562</v>
      </c>
      <c r="AZ104" s="42" t="str">
        <f t="shared" si="29"/>
        <v>-text 10174.2487137488,23.5 3.5 90 马分10+174.25</v>
      </c>
    </row>
    <row r="105" spans="1:206" s="42" customFormat="1" x14ac:dyDescent="0.25">
      <c r="A105" s="80">
        <v>5</v>
      </c>
      <c r="B105" s="76" t="str">
        <f>线路!B102</f>
        <v>IP71</v>
      </c>
      <c r="C105" s="81">
        <f>线路!E102</f>
        <v>448177.20140000002</v>
      </c>
      <c r="D105" s="81">
        <f>线路!F102</f>
        <v>3040057.6973000001</v>
      </c>
      <c r="E105" s="85">
        <f>线路!G102</f>
        <v>12</v>
      </c>
      <c r="F105" s="85">
        <f>线路!H102</f>
        <v>27.663</v>
      </c>
      <c r="G105" s="86">
        <f>线路!L102</f>
        <v>10294.464607076341</v>
      </c>
      <c r="H105" s="86">
        <f>线路!M102</f>
        <v>10297.361469662215</v>
      </c>
      <c r="I105" s="86">
        <f>线路!N102</f>
        <v>10300.258332248091</v>
      </c>
      <c r="J105" s="83">
        <f t="shared" si="32"/>
        <v>5.7937251717503386</v>
      </c>
      <c r="K105" s="83">
        <f t="shared" si="42"/>
        <v>123.112755913402</v>
      </c>
      <c r="L105" s="83">
        <f>IF(A105=1,断面设计!$D$7,IF(A105=2,断面设计!$D$8,IF(A105=3,断面设计!$D$9,IF(A105=4,断面设计!$D$10,IF(A105=5,断面设计!$D$11,IF(A105=6,断面设计!$D$12,IF(A105=7,断面设计!$D$13,IF(A105=8,断面设计!$D$14,IF(A105=9,断面设计!$D$15,IF(A105=10,断面设计!$D$16))))))))))</f>
        <v>1.2</v>
      </c>
      <c r="M105" s="83">
        <f t="shared" si="43"/>
        <v>1.2</v>
      </c>
      <c r="N105" s="110">
        <f t="shared" si="50"/>
        <v>1.4999999999999999E-2</v>
      </c>
      <c r="O105" s="83">
        <f>IF(A105=1,断面设计!$J$7,IF(A105=2,断面设计!$J$8,IF(A105=3,断面设计!$J$9,IF(A105=4,断面设计!$J$10,IF(A105=5,断面设计!$J$11,IF(A105=6,断面设计!$J$12,IF(A105=7,断面设计!$J$13,IF(A105=8,断面设计!$J$14,IF(A105=9,断面设计!$J$15,IF(A105=10,断面设计!$J$16))))))))))</f>
        <v>5000</v>
      </c>
      <c r="P105" s="111">
        <f>IF(A105=1,断面设计!$K$7,IF(A105=2,断面设计!$K$8,IF(A105=3,断面设计!$K$9,IF(A105=4,断面设计!$K$10,IF(A105=5,断面设计!$K$11,IF(A105=6,断面设计!$K$12,IF(A105=7,断面设计!$K$13,IF(A105=8,断面设计!$K$14,IF(A105=9,断面设计!$K$15,IF(A105=10,断面设计!$K$16))))))))))</f>
        <v>3.5000124380332474</v>
      </c>
      <c r="Q105" s="110">
        <f>IF(A105=1,断面设计!$C$7,IF(A105=2,断面设计!$C$8,IF(A105=3,断面设计!$C$9,IF(A105=4,断面设计!$C$10,IF(A105=5,断面设计!$C$11,IF(A105=6,断面设计!$C$12,IF(A105=7,断面设计!$C$13,IF(A105=8,断面设计!$C$14,IF(A105=9,断面设计!$C$15,IF(A105=10,断面设计!$C$16))))))))))</f>
        <v>1.4906129304215501</v>
      </c>
      <c r="R105" s="83">
        <f>IF(A105=1,断面设计!$F$7,IF(A105=2,断面设计!$F$8,IF(A105=3,断面设计!$F$9,IF(A105=4,断面设计!$F$10,IF(A105=5,断面设计!$F$11,IF(A105=6,断面设计!$F$12,IF(A105=7,断面设计!$F$13,IF(A105=8,断面设计!$F$14,IF(A105=9,断面设计!$F$15,IF(A105=10,断面设计!$F$16))))))))))</f>
        <v>4.4550478065137646</v>
      </c>
      <c r="S105" s="83">
        <f>IF(A105=1,断面设计!$G$7,IF(A105=2,断面设计!$G$8,IF(A105=3,断面设计!$G$9,IF(A105=4,断面设计!$G$10,IF(A105=5,断面设计!$G$11,IF(A105=6,断面设计!$G$12,IF(A105=7,断面设计!$G$13,IF(A105=8,断面设计!$G$14,IF(A105=9,断面设计!$G$15,IF(A105=10,断面设计!$G$16))))))))))</f>
        <v>5.8568236626908723</v>
      </c>
      <c r="T105" s="83">
        <f t="shared" si="44"/>
        <v>0.76065937154524599</v>
      </c>
      <c r="U105" s="83">
        <f t="shared" si="45"/>
        <v>0.78562848033097388</v>
      </c>
      <c r="V105" s="123">
        <f t="shared" si="46"/>
        <v>6.0682421036203297E-4</v>
      </c>
      <c r="W105" s="127"/>
      <c r="X105" s="110">
        <f>IF(AN105=0,IF(AN104=2,(H105-H104-AE104)/O105,(H105-H104)/O105),IF(AN105=1,IF(AN104=2,IF(AE105&lt;9,(H105-H104-AE105-AE104)/断面设计!$J$7,(H105-H104-AE105-AE104)/断面设计!$J$7),(H105-H104-AE105)/O104),(H105-H104)/O105))</f>
        <v>2.4622551182680398E-2</v>
      </c>
      <c r="Y105" s="133">
        <v>0</v>
      </c>
      <c r="Z105" s="134">
        <f t="shared" si="51"/>
        <v>0</v>
      </c>
      <c r="AA105" s="142"/>
      <c r="AB105" s="133">
        <f t="shared" si="33"/>
        <v>1.4906129304215501</v>
      </c>
      <c r="AC105" s="110">
        <f t="shared" si="34"/>
        <v>2.522937539304243E-2</v>
      </c>
      <c r="AD105" s="110">
        <f t="shared" ca="1" si="47"/>
        <v>2383.5362468916142</v>
      </c>
      <c r="AE105" s="82">
        <f t="shared" si="48"/>
        <v>0</v>
      </c>
      <c r="AF105" s="110" t="str">
        <f t="shared" si="35"/>
        <v xml:space="preserve"> </v>
      </c>
      <c r="AG105" s="110" t="str">
        <f>IF(AE105=0," ",AF105-断面设计!$C$7)</f>
        <v xml:space="preserve"> </v>
      </c>
      <c r="AH105" s="110">
        <f t="shared" ca="1" si="36"/>
        <v>2383.5374330883419</v>
      </c>
      <c r="AI105" s="110">
        <f t="shared" ca="1" si="37"/>
        <v>2382.0468201579201</v>
      </c>
      <c r="AJ105" s="110">
        <f t="shared" ca="1" si="38"/>
        <v>2383.5356675190969</v>
      </c>
      <c r="AK105" s="110">
        <f t="shared" ca="1" si="39"/>
        <v>2382.0450545886752</v>
      </c>
      <c r="AL105" s="110">
        <f t="shared" ca="1" si="40"/>
        <v>2383.5365503037192</v>
      </c>
      <c r="AM105" s="110">
        <f t="shared" ca="1" si="41"/>
        <v>2382.0459373732974</v>
      </c>
      <c r="AN105" s="127"/>
      <c r="AO105" s="80">
        <v>0</v>
      </c>
      <c r="AU105" s="64" t="str">
        <f t="shared" ca="1" si="49"/>
        <v>10297.3614696622,2382.0459373733</v>
      </c>
      <c r="AV105" s="64" t="str">
        <f t="shared" ca="1" si="30"/>
        <v>10297.3614696622,2383.53655030372</v>
      </c>
      <c r="AW105" s="169" t="str">
        <f t="shared" si="31"/>
        <v xml:space="preserve">pl 10297.3614696622,0 10297.3614696622,76 </v>
      </c>
      <c r="AX105" s="161" t="str">
        <f t="shared" ca="1" si="27"/>
        <v>-text 10297.3614696622,48 3.5 90 2382.046</v>
      </c>
      <c r="AY105" s="161" t="str">
        <f t="shared" ca="1" si="28"/>
        <v>-text 10297.3614696622,62.5 3.5 90 2383.537</v>
      </c>
      <c r="AZ105" s="42" t="str">
        <f t="shared" si="29"/>
        <v>-text 10297.3614696622,23.5 3.5 90 马分10+297.36</v>
      </c>
    </row>
    <row r="106" spans="1:206" s="42" customFormat="1" x14ac:dyDescent="0.25">
      <c r="A106" s="80">
        <v>5</v>
      </c>
      <c r="B106" s="76" t="str">
        <f>线路!B103</f>
        <v>IP72</v>
      </c>
      <c r="C106" s="81">
        <f>线路!E103</f>
        <v>448106.8835</v>
      </c>
      <c r="D106" s="81">
        <f>线路!F103</f>
        <v>3040086.2966</v>
      </c>
      <c r="E106" s="85">
        <f>线路!G103</f>
        <v>12</v>
      </c>
      <c r="F106" s="85">
        <f>线路!H103</f>
        <v>49.683</v>
      </c>
      <c r="G106" s="86">
        <f>线路!L103</f>
        <v>10367.65983403163</v>
      </c>
      <c r="H106" s="86">
        <f>线路!M103</f>
        <v>10372.862625625241</v>
      </c>
      <c r="I106" s="86">
        <f>线路!N103</f>
        <v>10378.06541721885</v>
      </c>
      <c r="J106" s="83">
        <f t="shared" si="32"/>
        <v>10.405583187219236</v>
      </c>
      <c r="K106" s="83">
        <f t="shared" si="42"/>
        <v>75.501155963025667</v>
      </c>
      <c r="L106" s="83">
        <f>IF(A106=1,断面设计!$D$7,IF(A106=2,断面设计!$D$8,IF(A106=3,断面设计!$D$9,IF(A106=4,断面设计!$D$10,IF(A106=5,断面设计!$D$11,IF(A106=6,断面设计!$D$12,IF(A106=7,断面设计!$D$13,IF(A106=8,断面设计!$D$14,IF(A106=9,断面设计!$D$15,IF(A106=10,断面设计!$D$16))))))))))</f>
        <v>1.2</v>
      </c>
      <c r="M106" s="83">
        <f t="shared" si="43"/>
        <v>1.2</v>
      </c>
      <c r="N106" s="110">
        <f t="shared" si="50"/>
        <v>1.4999999999999999E-2</v>
      </c>
      <c r="O106" s="83">
        <f>IF(A106=1,断面设计!$J$7,IF(A106=2,断面设计!$J$8,IF(A106=3,断面设计!$J$9,IF(A106=4,断面设计!$J$10,IF(A106=5,断面设计!$J$11,IF(A106=6,断面设计!$J$12,IF(A106=7,断面设计!$J$13,IF(A106=8,断面设计!$J$14,IF(A106=9,断面设计!$J$15,IF(A106=10,断面设计!$J$16))))))))))</f>
        <v>5000</v>
      </c>
      <c r="P106" s="111">
        <f>IF(A106=1,断面设计!$K$7,IF(A106=2,断面设计!$K$8,IF(A106=3,断面设计!$K$9,IF(A106=4,断面设计!$K$10,IF(A106=5,断面设计!$K$11,IF(A106=6,断面设计!$K$12,IF(A106=7,断面设计!$K$13,IF(A106=8,断面设计!$K$14,IF(A106=9,断面设计!$K$15,IF(A106=10,断面设计!$K$16))))))))))</f>
        <v>3.5000124380332474</v>
      </c>
      <c r="Q106" s="110">
        <f>IF(A106=1,断面设计!$C$7,IF(A106=2,断面设计!$C$8,IF(A106=3,断面设计!$C$9,IF(A106=4,断面设计!$C$10,IF(A106=5,断面设计!$C$11,IF(A106=6,断面设计!$C$12,IF(A106=7,断面设计!$C$13,IF(A106=8,断面设计!$C$14,IF(A106=9,断面设计!$C$15,IF(A106=10,断面设计!$C$16))))))))))</f>
        <v>1.4906129304215501</v>
      </c>
      <c r="R106" s="83">
        <f>IF(A106=1,断面设计!$F$7,IF(A106=2,断面设计!$F$8,IF(A106=3,断面设计!$F$9,IF(A106=4,断面设计!$F$10,IF(A106=5,断面设计!$F$11,IF(A106=6,断面设计!$F$12,IF(A106=7,断面设计!$F$13,IF(A106=8,断面设计!$F$14,IF(A106=9,断面设计!$F$15,IF(A106=10,断面设计!$F$16))))))))))</f>
        <v>4.4550478065137646</v>
      </c>
      <c r="S106" s="83">
        <f>IF(A106=1,断面设计!$G$7,IF(A106=2,断面设计!$G$8,IF(A106=3,断面设计!$G$9,IF(A106=4,断面设计!$G$10,IF(A106=5,断面设计!$G$11,IF(A106=6,断面设计!$G$12,IF(A106=7,断面设计!$G$13,IF(A106=8,断面设计!$G$14,IF(A106=9,断面设计!$G$15,IF(A106=10,断面设计!$G$16))))))))))</f>
        <v>5.8568236626908723</v>
      </c>
      <c r="T106" s="83">
        <f t="shared" si="44"/>
        <v>0.76065937154524599</v>
      </c>
      <c r="U106" s="83">
        <f t="shared" si="45"/>
        <v>0.78562848033097388</v>
      </c>
      <c r="V106" s="123">
        <f t="shared" si="46"/>
        <v>1.0898618097608403E-3</v>
      </c>
      <c r="W106" s="127"/>
      <c r="X106" s="110">
        <f>IF(AN106=0,IF(AN105=2,(H106-H105-AE105)/O106,(H106-H105)/O106),IF(AN106=1,IF(AN105=2,IF(AE106&lt;9,(H106-H105-AE106-AE105)/断面设计!$J$7,(H106-H105-AE106-AE105)/断面设计!$J$7),(H106-H105-AE106)/O105),(H106-H105)/O106))</f>
        <v>1.5100231192605134E-2</v>
      </c>
      <c r="Y106" s="133">
        <v>0</v>
      </c>
      <c r="Z106" s="134">
        <f t="shared" si="51"/>
        <v>0</v>
      </c>
      <c r="AA106" s="142"/>
      <c r="AB106" s="133">
        <f t="shared" si="33"/>
        <v>1.4906129304215501</v>
      </c>
      <c r="AC106" s="110">
        <f t="shared" si="34"/>
        <v>1.6190093002365975E-2</v>
      </c>
      <c r="AD106" s="110">
        <f t="shared" ca="1" si="47"/>
        <v>2383.5200567986117</v>
      </c>
      <c r="AE106" s="82">
        <f t="shared" si="48"/>
        <v>0</v>
      </c>
      <c r="AF106" s="110" t="str">
        <f t="shared" si="35"/>
        <v xml:space="preserve"> </v>
      </c>
      <c r="AG106" s="110" t="str">
        <f>IF(AE106=0," ",AF106-断面设计!$C$7)</f>
        <v xml:space="preserve"> </v>
      </c>
      <c r="AH106" s="110">
        <f t="shared" ca="1" si="36"/>
        <v>2383.5221872187403</v>
      </c>
      <c r="AI106" s="110">
        <f t="shared" ca="1" si="37"/>
        <v>2382.0315742883186</v>
      </c>
      <c r="AJ106" s="110">
        <f t="shared" ca="1" si="38"/>
        <v>2383.5190162402928</v>
      </c>
      <c r="AK106" s="110">
        <f t="shared" ca="1" si="39"/>
        <v>2382.028403309871</v>
      </c>
      <c r="AL106" s="110">
        <f t="shared" ca="1" si="40"/>
        <v>2383.5206017295168</v>
      </c>
      <c r="AM106" s="110">
        <f t="shared" ca="1" si="41"/>
        <v>2382.029988799095</v>
      </c>
      <c r="AN106" s="127"/>
      <c r="AO106" s="80">
        <v>0</v>
      </c>
      <c r="AU106" s="64" t="str">
        <f t="shared" ca="1" si="49"/>
        <v>10372.8626256252,2382.0299887991</v>
      </c>
      <c r="AV106" s="64" t="str">
        <f t="shared" ca="1" si="30"/>
        <v>10372.8626256252,2383.52060172952</v>
      </c>
      <c r="AW106" s="169" t="str">
        <f t="shared" si="31"/>
        <v xml:space="preserve">pl 10372.8626256252,0 10372.8626256252,76 </v>
      </c>
      <c r="AX106" s="161" t="str">
        <f t="shared" ca="1" si="27"/>
        <v>-text 10372.8626256252,48 3.5 90 2382.030</v>
      </c>
      <c r="AY106" s="161" t="str">
        <f t="shared" ca="1" si="28"/>
        <v>-text 10372.8626256252,62.5 3.5 90 2383.521</v>
      </c>
      <c r="AZ106" s="42" t="str">
        <f t="shared" si="29"/>
        <v>-text 10372.8626256252,23.5 3.5 90 马分10+372.86</v>
      </c>
    </row>
    <row r="107" spans="1:206" s="42" customFormat="1" x14ac:dyDescent="0.25">
      <c r="A107" s="80">
        <v>5</v>
      </c>
      <c r="B107" s="76" t="str">
        <f>线路!B104</f>
        <v>IP73</v>
      </c>
      <c r="C107" s="81">
        <f>线路!E104</f>
        <v>447977.74939999997</v>
      </c>
      <c r="D107" s="81">
        <f>线路!F104</f>
        <v>3040018.9273000001</v>
      </c>
      <c r="E107" s="85">
        <f>线路!G104</f>
        <v>12</v>
      </c>
      <c r="F107" s="85">
        <f>线路!H104</f>
        <v>16.57</v>
      </c>
      <c r="G107" s="86">
        <f>线路!L104</f>
        <v>10516.413769766117</v>
      </c>
      <c r="H107" s="86">
        <f>线路!M104</f>
        <v>10518.14897610845</v>
      </c>
      <c r="I107" s="86">
        <f>线路!N104</f>
        <v>10519.884182450784</v>
      </c>
      <c r="J107" s="83">
        <f t="shared" si="32"/>
        <v>3.4704126846663712</v>
      </c>
      <c r="K107" s="83">
        <f t="shared" si="42"/>
        <v>145.28635048320939</v>
      </c>
      <c r="L107" s="83">
        <f>IF(A107=1,断面设计!$D$7,IF(A107=2,断面设计!$D$8,IF(A107=3,断面设计!$D$9,IF(A107=4,断面设计!$D$10,IF(A107=5,断面设计!$D$11,IF(A107=6,断面设计!$D$12,IF(A107=7,断面设计!$D$13,IF(A107=8,断面设计!$D$14,IF(A107=9,断面设计!$D$15,IF(A107=10,断面设计!$D$16))))))))))</f>
        <v>1.2</v>
      </c>
      <c r="M107" s="83">
        <f t="shared" si="43"/>
        <v>1.2</v>
      </c>
      <c r="N107" s="110">
        <f t="shared" si="50"/>
        <v>1.4999999999999999E-2</v>
      </c>
      <c r="O107" s="83">
        <f>IF(A107=1,断面设计!$J$7,IF(A107=2,断面设计!$J$8,IF(A107=3,断面设计!$J$9,IF(A107=4,断面设计!$J$10,IF(A107=5,断面设计!$J$11,IF(A107=6,断面设计!$J$12,IF(A107=7,断面设计!$J$13,IF(A107=8,断面设计!$J$14,IF(A107=9,断面设计!$J$15,IF(A107=10,断面设计!$J$16))))))))))</f>
        <v>5000</v>
      </c>
      <c r="P107" s="111">
        <f>IF(A107=1,断面设计!$K$7,IF(A107=2,断面设计!$K$8,IF(A107=3,断面设计!$K$9,IF(A107=4,断面设计!$K$10,IF(A107=5,断面设计!$K$11,IF(A107=6,断面设计!$K$12,IF(A107=7,断面设计!$K$13,IF(A107=8,断面设计!$K$14,IF(A107=9,断面设计!$K$15,IF(A107=10,断面设计!$K$16))))))))))</f>
        <v>3.5000124380332474</v>
      </c>
      <c r="Q107" s="110">
        <f>IF(A107=1,断面设计!$C$7,IF(A107=2,断面设计!$C$8,IF(A107=3,断面设计!$C$9,IF(A107=4,断面设计!$C$10,IF(A107=5,断面设计!$C$11,IF(A107=6,断面设计!$C$12,IF(A107=7,断面设计!$C$13,IF(A107=8,断面设计!$C$14,IF(A107=9,断面设计!$C$15,IF(A107=10,断面设计!$C$16))))))))))</f>
        <v>1.4906129304215501</v>
      </c>
      <c r="R107" s="83">
        <f>IF(A107=1,断面设计!$F$7,IF(A107=2,断面设计!$F$8,IF(A107=3,断面设计!$F$9,IF(A107=4,断面设计!$F$10,IF(A107=5,断面设计!$F$11,IF(A107=6,断面设计!$F$12,IF(A107=7,断面设计!$F$13,IF(A107=8,断面设计!$F$14,IF(A107=9,断面设计!$F$15,IF(A107=10,断面设计!$F$16))))))))))</f>
        <v>4.4550478065137646</v>
      </c>
      <c r="S107" s="83">
        <f>IF(A107=1,断面设计!$G$7,IF(A107=2,断面设计!$G$8,IF(A107=3,断面设计!$G$9,IF(A107=4,断面设计!$G$10,IF(A107=5,断面设计!$G$11,IF(A107=6,断面设计!$G$12,IF(A107=7,断面设计!$G$13,IF(A107=8,断面设计!$G$14,IF(A107=9,断面设计!$G$15,IF(A107=10,断面设计!$G$16))))))))))</f>
        <v>5.8568236626908723</v>
      </c>
      <c r="T107" s="83">
        <f t="shared" si="44"/>
        <v>0.76065937154524599</v>
      </c>
      <c r="U107" s="83">
        <f t="shared" si="45"/>
        <v>0.78562848033097388</v>
      </c>
      <c r="V107" s="123">
        <f t="shared" si="46"/>
        <v>3.6348469673214286E-4</v>
      </c>
      <c r="W107" s="127"/>
      <c r="X107" s="110">
        <f>IF(AN107=0,IF(AN106=2,(H107-H106-AE106)/O107,(H107-H106)/O107),IF(AN107=1,IF(AN106=2,IF(AE107&lt;9,(H107-H106-AE107-AE106)/断面设计!$J$7,(H107-H106-AE107-AE106)/断面设计!$J$7),(H107-H106-AE107)/O106),(H107-H106)/O107))</f>
        <v>2.9057270096641878E-2</v>
      </c>
      <c r="Y107" s="133">
        <v>0</v>
      </c>
      <c r="Z107" s="134">
        <f t="shared" si="51"/>
        <v>0</v>
      </c>
      <c r="AA107" s="142"/>
      <c r="AB107" s="133">
        <f t="shared" si="33"/>
        <v>1.4906129304215501</v>
      </c>
      <c r="AC107" s="110">
        <f t="shared" si="34"/>
        <v>2.942075479337402E-2</v>
      </c>
      <c r="AD107" s="110">
        <f t="shared" ca="1" si="47"/>
        <v>2383.4906360438181</v>
      </c>
      <c r="AE107" s="82">
        <f t="shared" si="48"/>
        <v>0</v>
      </c>
      <c r="AF107" s="110" t="str">
        <f t="shared" si="35"/>
        <v xml:space="preserve"> </v>
      </c>
      <c r="AG107" s="110" t="str">
        <f>IF(AE107=0," ",AF107-断面设计!$C$7)</f>
        <v xml:space="preserve"> </v>
      </c>
      <c r="AH107" s="110">
        <f t="shared" ca="1" si="36"/>
        <v>2383.4913465697832</v>
      </c>
      <c r="AI107" s="110">
        <f t="shared" ca="1" si="37"/>
        <v>2382.0007336393614</v>
      </c>
      <c r="AJ107" s="110">
        <f t="shared" ca="1" si="38"/>
        <v>2383.4902890025496</v>
      </c>
      <c r="AK107" s="110">
        <f t="shared" ca="1" si="39"/>
        <v>2381.9996760721278</v>
      </c>
      <c r="AL107" s="110">
        <f t="shared" ca="1" si="40"/>
        <v>2383.4908177861666</v>
      </c>
      <c r="AM107" s="110">
        <f t="shared" ca="1" si="41"/>
        <v>2382.0002048557449</v>
      </c>
      <c r="AN107" s="127"/>
      <c r="AO107" s="80">
        <v>0</v>
      </c>
      <c r="AU107" s="64" t="str">
        <f t="shared" ca="1" si="49"/>
        <v>10518.1489761085,2382.00020485574</v>
      </c>
      <c r="AV107" s="64" t="str">
        <f t="shared" ca="1" si="30"/>
        <v>10518.1489761085,2383.49081778617</v>
      </c>
      <c r="AW107" s="169" t="str">
        <f t="shared" si="31"/>
        <v xml:space="preserve">pl 10518.1489761085,0 10518.1489761085,76 </v>
      </c>
      <c r="AX107" s="161" t="str">
        <f t="shared" ca="1" si="27"/>
        <v>-text 10518.1489761085,48 3.5 90 2382.000</v>
      </c>
      <c r="AY107" s="161" t="str">
        <f t="shared" ca="1" si="28"/>
        <v>-text 10518.1489761085,62.5 3.5 90 2383.491</v>
      </c>
      <c r="AZ107" s="42" t="str">
        <f t="shared" si="29"/>
        <v>-text 10518.1489761085,23.5 3.5 90 马分10+518.15</v>
      </c>
    </row>
    <row r="108" spans="1:206" s="42" customFormat="1" x14ac:dyDescent="0.25">
      <c r="A108" s="80">
        <v>5</v>
      </c>
      <c r="B108" s="76" t="str">
        <f>线路!B105</f>
        <v>IP74</v>
      </c>
      <c r="C108" s="81">
        <f>线路!E105</f>
        <v>447899.01640000002</v>
      </c>
      <c r="D108" s="81">
        <f>线路!F105</f>
        <v>3039942.5723000001</v>
      </c>
      <c r="E108" s="85">
        <f>线路!G105</f>
        <v>12</v>
      </c>
      <c r="F108" s="85">
        <f>线路!H105</f>
        <v>38.744</v>
      </c>
      <c r="G108" s="86">
        <f>线路!L105</f>
        <v>10623.594170581822</v>
      </c>
      <c r="H108" s="86">
        <f>线路!M105</f>
        <v>10627.651432774179</v>
      </c>
      <c r="I108" s="86">
        <f>线路!N105</f>
        <v>10631.708694966534</v>
      </c>
      <c r="J108" s="83">
        <f t="shared" si="32"/>
        <v>8.1145243847113306</v>
      </c>
      <c r="K108" s="83">
        <f t="shared" si="42"/>
        <v>109.50245666572846</v>
      </c>
      <c r="L108" s="83">
        <f>IF(A108=1,断面设计!$D$7,IF(A108=2,断面设计!$D$8,IF(A108=3,断面设计!$D$9,IF(A108=4,断面设计!$D$10,IF(A108=5,断面设计!$D$11,IF(A108=6,断面设计!$D$12,IF(A108=7,断面设计!$D$13,IF(A108=8,断面设计!$D$14,IF(A108=9,断面设计!$D$15,IF(A108=10,断面设计!$D$16))))))))))</f>
        <v>1.2</v>
      </c>
      <c r="M108" s="83">
        <f t="shared" si="43"/>
        <v>1.2</v>
      </c>
      <c r="N108" s="110">
        <f t="shared" si="50"/>
        <v>1.4999999999999999E-2</v>
      </c>
      <c r="O108" s="83">
        <f>IF(A108=1,断面设计!$J$7,IF(A108=2,断面设计!$J$8,IF(A108=3,断面设计!$J$9,IF(A108=4,断面设计!$J$10,IF(A108=5,断面设计!$J$11,IF(A108=6,断面设计!$J$12,IF(A108=7,断面设计!$J$13,IF(A108=8,断面设计!$J$14,IF(A108=9,断面设计!$J$15,IF(A108=10,断面设计!$J$16))))))))))</f>
        <v>5000</v>
      </c>
      <c r="P108" s="111">
        <f>IF(A108=1,断面设计!$K$7,IF(A108=2,断面设计!$K$8,IF(A108=3,断面设计!$K$9,IF(A108=4,断面设计!$K$10,IF(A108=5,断面设计!$K$11,IF(A108=6,断面设计!$K$12,IF(A108=7,断面设计!$K$13,IF(A108=8,断面设计!$K$14,IF(A108=9,断面设计!$K$15,IF(A108=10,断面设计!$K$16))))))))))</f>
        <v>3.5000124380332474</v>
      </c>
      <c r="Q108" s="110">
        <f>IF(A108=1,断面设计!$C$7,IF(A108=2,断面设计!$C$8,IF(A108=3,断面设计!$C$9,IF(A108=4,断面设计!$C$10,IF(A108=5,断面设计!$C$11,IF(A108=6,断面设计!$C$12,IF(A108=7,断面设计!$C$13,IF(A108=8,断面设计!$C$14,IF(A108=9,断面设计!$C$15,IF(A108=10,断面设计!$C$16))))))))))</f>
        <v>1.4906129304215501</v>
      </c>
      <c r="R108" s="83">
        <f>IF(A108=1,断面设计!$F$7,IF(A108=2,断面设计!$F$8,IF(A108=3,断面设计!$F$9,IF(A108=4,断面设计!$F$10,IF(A108=5,断面设计!$F$11,IF(A108=6,断面设计!$F$12,IF(A108=7,断面设计!$F$13,IF(A108=8,断面设计!$F$14,IF(A108=9,断面设计!$F$15,IF(A108=10,断面设计!$F$16))))))))))</f>
        <v>4.4550478065137646</v>
      </c>
      <c r="S108" s="83">
        <f>IF(A108=1,断面设计!$G$7,IF(A108=2,断面设计!$G$8,IF(A108=3,断面设计!$G$9,IF(A108=4,断面设计!$G$10,IF(A108=5,断面设计!$G$11,IF(A108=6,断面设计!$G$12,IF(A108=7,断面设计!$G$13,IF(A108=8,断面设计!$G$14,IF(A108=9,断面设计!$G$15,IF(A108=10,断面设计!$G$16))))))))))</f>
        <v>5.8568236626908723</v>
      </c>
      <c r="T108" s="83">
        <f t="shared" si="44"/>
        <v>0.76065937154524599</v>
      </c>
      <c r="U108" s="83">
        <f t="shared" si="45"/>
        <v>0.78562848033097388</v>
      </c>
      <c r="V108" s="123">
        <f t="shared" si="46"/>
        <v>8.4990048824292125E-4</v>
      </c>
      <c r="W108" s="110"/>
      <c r="X108" s="110">
        <f>IF(AN108=0,IF(AN107=2,(H108-H107-AE107)/O108,(H108-H107)/O108),IF(AN108=1,IF(AN107=2,IF(AE108&lt;9,(H108-H107-AE108-AE107)/断面设计!$J$7,(H108-H107-AE108-AE107)/断面设计!$J$7),(H108-H107-AE108)/O107),(H108-H107)/O108))</f>
        <v>2.1900491333145693E-2</v>
      </c>
      <c r="Y108" s="133">
        <v>0</v>
      </c>
      <c r="Z108" s="134">
        <f t="shared" si="51"/>
        <v>0</v>
      </c>
      <c r="AA108" s="142"/>
      <c r="AB108" s="133">
        <f t="shared" si="33"/>
        <v>1.4906129304215501</v>
      </c>
      <c r="AC108" s="110">
        <f t="shared" si="34"/>
        <v>2.2750391821388615E-2</v>
      </c>
      <c r="AD108" s="110">
        <f t="shared" ca="1" si="47"/>
        <v>2383.4678856519968</v>
      </c>
      <c r="AE108" s="82">
        <f t="shared" si="48"/>
        <v>0</v>
      </c>
      <c r="AF108" s="110" t="str">
        <f t="shared" si="35"/>
        <v xml:space="preserve"> </v>
      </c>
      <c r="AG108" s="110" t="str">
        <f>IF(AE108=0," ",AF108-断面设计!$C$12)</f>
        <v xml:space="preserve"> </v>
      </c>
      <c r="AH108" s="110">
        <f t="shared" ca="1" si="36"/>
        <v>2383.4695470049237</v>
      </c>
      <c r="AI108" s="110">
        <f t="shared" ca="1" si="37"/>
        <v>2381.9789340745019</v>
      </c>
      <c r="AJ108" s="110">
        <f t="shared" ca="1" si="38"/>
        <v>2383.4670741995583</v>
      </c>
      <c r="AK108" s="110">
        <f t="shared" ca="1" si="39"/>
        <v>2381.9764612691365</v>
      </c>
      <c r="AL108" s="110">
        <f t="shared" ca="1" si="40"/>
        <v>2383.4683106022408</v>
      </c>
      <c r="AM108" s="110">
        <f t="shared" ca="1" si="41"/>
        <v>2381.977697671819</v>
      </c>
      <c r="AN108" s="127"/>
      <c r="AO108" s="80">
        <v>0</v>
      </c>
      <c r="AU108" s="64" t="str">
        <f t="shared" ca="1" si="49"/>
        <v>10627.6514327742,2381.97769767182</v>
      </c>
      <c r="AV108" s="64" t="str">
        <f t="shared" ca="1" si="30"/>
        <v>10627.6514327742,2383.46831060224</v>
      </c>
      <c r="AW108" s="169" t="str">
        <f t="shared" si="31"/>
        <v xml:space="preserve">pl 10627.6514327742,0 10627.6514327742,76 </v>
      </c>
      <c r="AX108" s="161" t="str">
        <f t="shared" ref="AX108:AX171" ca="1" si="52">"-text"&amp;" "&amp;H108&amp;","&amp;48&amp;" "&amp;"3.5"&amp;" "&amp;"90"&amp;" "&amp;FIXED(AM108,3,TRUE)</f>
        <v>-text 10627.6514327742,48 3.5 90 2381.978</v>
      </c>
      <c r="AY108" s="161" t="str">
        <f t="shared" ref="AY108:AY171" ca="1" si="53">"-text"&amp;" "&amp;H108&amp;","&amp;62.5&amp;" "&amp;"3.5"&amp;" "&amp;"90"&amp;" "&amp;FIXED(AL108,3,TRUE)</f>
        <v>-text 10627.6514327742,62.5 3.5 90 2383.468</v>
      </c>
      <c r="AZ108" s="42" t="str">
        <f t="shared" ref="AZ108:AZ171" si="54">"-text"&amp;" "&amp;H108&amp;","&amp;23.5&amp;" "&amp;"3.5"&amp;" "&amp;"90"&amp;" "&amp;TEXT(H108,"马分0+000.00")</f>
        <v>-text 10627.6514327742,23.5 3.5 90 马分10+627.65</v>
      </c>
    </row>
    <row r="109" spans="1:206" s="42" customFormat="1" x14ac:dyDescent="0.25">
      <c r="A109" s="80">
        <v>5</v>
      </c>
      <c r="B109" s="76" t="str">
        <f>线路!B106</f>
        <v>IP75</v>
      </c>
      <c r="C109" s="81">
        <f>线路!E106</f>
        <v>447892.12439999997</v>
      </c>
      <c r="D109" s="81">
        <f>线路!F106</f>
        <v>3039887.5133000002</v>
      </c>
      <c r="E109" s="85">
        <f>线路!G106</f>
        <v>12</v>
      </c>
      <c r="F109" s="85">
        <f>线路!H106</f>
        <v>53.51</v>
      </c>
      <c r="G109" s="86">
        <f>线路!L106</f>
        <v>10676.928282899831</v>
      </c>
      <c r="H109" s="86">
        <f>线路!M106</f>
        <v>10682.531836996284</v>
      </c>
      <c r="I109" s="86">
        <f>线路!N106</f>
        <v>10688.135391092737</v>
      </c>
      <c r="J109" s="83">
        <f t="shared" si="32"/>
        <v>11.207108192906162</v>
      </c>
      <c r="K109" s="83">
        <f t="shared" si="42"/>
        <v>54.880404222105426</v>
      </c>
      <c r="L109" s="83">
        <f>IF(A109=1,断面设计!$D$7,IF(A109=2,断面设计!$D$8,IF(A109=3,断面设计!$D$9,IF(A109=4,断面设计!$D$10,IF(A109=5,断面设计!$D$11,IF(A109=6,断面设计!$D$12,IF(A109=7,断面设计!$D$13,IF(A109=8,断面设计!$D$14,IF(A109=9,断面设计!$D$15,IF(A109=10,断面设计!$D$16))))))))))</f>
        <v>1.2</v>
      </c>
      <c r="M109" s="83">
        <f t="shared" si="43"/>
        <v>1.2</v>
      </c>
      <c r="N109" s="110">
        <f t="shared" si="50"/>
        <v>1.4999999999999999E-2</v>
      </c>
      <c r="O109" s="83">
        <f>IF(A109=1,断面设计!$J$7,IF(A109=2,断面设计!$J$8,IF(A109=3,断面设计!$J$9,IF(A109=4,断面设计!$J$10,IF(A109=5,断面设计!$J$11,IF(A109=6,断面设计!$J$12,IF(A109=7,断面设计!$J$13,IF(A109=8,断面设计!$J$14,IF(A109=9,断面设计!$J$15,IF(A109=10,断面设计!$J$16))))))))))</f>
        <v>5000</v>
      </c>
      <c r="P109" s="111">
        <f>IF(A109=1,断面设计!$K$7,IF(A109=2,断面设计!$K$8,IF(A109=3,断面设计!$K$9,IF(A109=4,断面设计!$K$10,IF(A109=5,断面设计!$K$11,IF(A109=6,断面设计!$K$12,IF(A109=7,断面设计!$K$13,IF(A109=8,断面设计!$K$14,IF(A109=9,断面设计!$K$15,IF(A109=10,断面设计!$K$16))))))))))</f>
        <v>3.5000124380332474</v>
      </c>
      <c r="Q109" s="110">
        <f>IF(A109=1,断面设计!$C$7,IF(A109=2,断面设计!$C$8,IF(A109=3,断面设计!$C$9,IF(A109=4,断面设计!$C$10,IF(A109=5,断面设计!$C$11,IF(A109=6,断面设计!$C$12,IF(A109=7,断面设计!$C$13,IF(A109=8,断面设计!$C$14,IF(A109=9,断面设计!$C$15,IF(A109=10,断面设计!$C$16))))))))))</f>
        <v>1.4906129304215501</v>
      </c>
      <c r="R109" s="83">
        <f>IF(A109=1,断面设计!$F$7,IF(A109=2,断面设计!$F$8,IF(A109=3,断面设计!$F$9,IF(A109=4,断面设计!$F$10,IF(A109=5,断面设计!$F$11,IF(A109=6,断面设计!$F$12,IF(A109=7,断面设计!$F$13,IF(A109=8,断面设计!$F$14,IF(A109=9,断面设计!$F$15,IF(A109=10,断面设计!$F$16))))))))))</f>
        <v>4.4550478065137646</v>
      </c>
      <c r="S109" s="83">
        <f>IF(A109=1,断面设计!$G$7,IF(A109=2,断面设计!$G$8,IF(A109=3,断面设计!$G$9,IF(A109=4,断面设计!$G$10,IF(A109=5,断面设计!$G$11,IF(A109=6,断面设计!$G$12,IF(A109=7,断面设计!$G$13,IF(A109=8,断面设计!$G$14,IF(A109=9,断面设计!$G$15,IF(A109=10,断面设计!$G$16))))))))))</f>
        <v>5.8568236626908723</v>
      </c>
      <c r="T109" s="83">
        <f t="shared" si="44"/>
        <v>0.76065937154524599</v>
      </c>
      <c r="U109" s="83">
        <f t="shared" si="45"/>
        <v>0.78562848033097388</v>
      </c>
      <c r="V109" s="123">
        <f t="shared" si="46"/>
        <v>1.1738120773767361E-3</v>
      </c>
      <c r="W109" s="110"/>
      <c r="X109" s="110">
        <f>IF(AN109=0,IF(AN108=2,(H109-H108-AE108)/O109,(H109-H108)/O109),IF(AN109=1,IF(AN108=2,IF(AE109&lt;9,(H109-H108-AE109-AE108)/断面设计!$J$7,(H109-H108-AE109-AE108)/断面设计!$J$7),(H109-H108-AE109)/O108),(H109-H108)/O109))</f>
        <v>1.0976080844421086E-2</v>
      </c>
      <c r="Y109" s="133">
        <v>0</v>
      </c>
      <c r="Z109" s="134">
        <f t="shared" si="51"/>
        <v>0</v>
      </c>
      <c r="AA109" s="142"/>
      <c r="AB109" s="133">
        <f t="shared" si="33"/>
        <v>1.4906129304215501</v>
      </c>
      <c r="AC109" s="110">
        <f t="shared" si="34"/>
        <v>1.2149892921797823E-2</v>
      </c>
      <c r="AD109" s="110">
        <f t="shared" ca="1" si="47"/>
        <v>2383.4557357590747</v>
      </c>
      <c r="AE109" s="82">
        <f t="shared" si="48"/>
        <v>0</v>
      </c>
      <c r="AF109" s="110" t="str">
        <f t="shared" si="35"/>
        <v xml:space="preserve"> </v>
      </c>
      <c r="AG109" s="110" t="str">
        <f>IF(AE109=0," ",AF109-断面设计!$C$12)</f>
        <v xml:space="preserve"> </v>
      </c>
      <c r="AH109" s="110">
        <f t="shared" ca="1" si="36"/>
        <v>2383.4580302819713</v>
      </c>
      <c r="AI109" s="110">
        <f t="shared" ca="1" si="37"/>
        <v>2381.9674173515496</v>
      </c>
      <c r="AJ109" s="110">
        <f t="shared" ca="1" si="38"/>
        <v>2383.4546150482556</v>
      </c>
      <c r="AK109" s="110">
        <f t="shared" ca="1" si="39"/>
        <v>2381.9640021178338</v>
      </c>
      <c r="AL109" s="110">
        <f t="shared" ca="1" si="40"/>
        <v>2383.4563226651135</v>
      </c>
      <c r="AM109" s="110">
        <f t="shared" ca="1" si="41"/>
        <v>2381.9657097346917</v>
      </c>
      <c r="AN109" s="127"/>
      <c r="AO109" s="80">
        <v>0</v>
      </c>
      <c r="AU109" s="64" t="str">
        <f t="shared" ca="1" si="49"/>
        <v>10682.5318369963,2381.96570973469</v>
      </c>
      <c r="AV109" s="64" t="str">
        <f t="shared" ref="AV109:AV172" ca="1" si="55">H109&amp;","&amp;AL109</f>
        <v>10682.5318369963,2383.45632266511</v>
      </c>
      <c r="AW109" s="169" t="str">
        <f t="shared" ref="AW109:AW172" si="56">"pl "&amp;H109&amp;",0 "&amp;H109&amp;",76 "</f>
        <v xml:space="preserve">pl 10682.5318369963,0 10682.5318369963,76 </v>
      </c>
      <c r="AX109" s="161" t="str">
        <f t="shared" ca="1" si="52"/>
        <v>-text 10682.5318369963,48 3.5 90 2381.966</v>
      </c>
      <c r="AY109" s="161" t="str">
        <f t="shared" ca="1" si="53"/>
        <v>-text 10682.5318369963,62.5 3.5 90 2383.456</v>
      </c>
      <c r="AZ109" s="42" t="str">
        <f t="shared" si="54"/>
        <v>-text 10682.5318369963,23.5 3.5 90 马分10+682.53</v>
      </c>
    </row>
    <row r="110" spans="1:206" s="42" customFormat="1" x14ac:dyDescent="0.25">
      <c r="A110" s="80">
        <v>5</v>
      </c>
      <c r="B110" s="76" t="str">
        <f>线路!B107</f>
        <v>IP76</v>
      </c>
      <c r="C110" s="81">
        <f>线路!E107</f>
        <v>447916.30940000003</v>
      </c>
      <c r="D110" s="81">
        <f>线路!F107</f>
        <v>3039864.4622999998</v>
      </c>
      <c r="E110" s="85">
        <f>线路!G107</f>
        <v>12</v>
      </c>
      <c r="F110" s="85">
        <f>线路!H107</f>
        <v>77.388999999999996</v>
      </c>
      <c r="G110" s="86">
        <f>线路!L107</f>
        <v>10705.884177823064</v>
      </c>
      <c r="H110" s="86">
        <f>线路!M107</f>
        <v>10713.988334952019</v>
      </c>
      <c r="I110" s="86">
        <f>线路!N107</f>
        <v>10722.092492080974</v>
      </c>
      <c r="J110" s="83">
        <f t="shared" si="32"/>
        <v>16.208314257910388</v>
      </c>
      <c r="K110" s="83">
        <f t="shared" si="42"/>
        <v>31.456497955734449</v>
      </c>
      <c r="L110" s="83">
        <f>IF(A110=1,断面设计!$D$7,IF(A110=2,断面设计!$D$8,IF(A110=3,断面设计!$D$9,IF(A110=4,断面设计!$D$10,IF(A110=5,断面设计!$D$11,IF(A110=6,断面设计!$D$12,IF(A110=7,断面设计!$D$13,IF(A110=8,断面设计!$D$14,IF(A110=9,断面设计!$D$15,IF(A110=10,断面设计!$D$16))))))))))</f>
        <v>1.2</v>
      </c>
      <c r="M110" s="83">
        <f t="shared" si="43"/>
        <v>1.2</v>
      </c>
      <c r="N110" s="110">
        <f t="shared" si="50"/>
        <v>1.4999999999999999E-2</v>
      </c>
      <c r="O110" s="83">
        <f>IF(A110=1,断面设计!$J$7,IF(A110=2,断面设计!$J$8,IF(A110=3,断面设计!$J$9,IF(A110=4,断面设计!$J$10,IF(A110=5,断面设计!$J$11,IF(A110=6,断面设计!$J$12,IF(A110=7,断面设计!$J$13,IF(A110=8,断面设计!$J$14,IF(A110=9,断面设计!$J$15,IF(A110=10,断面设计!$J$16))))))))))</f>
        <v>5000</v>
      </c>
      <c r="P110" s="111">
        <f>IF(A110=1,断面设计!$K$7,IF(A110=2,断面设计!$K$8,IF(A110=3,断面设计!$K$9,IF(A110=4,断面设计!$K$10,IF(A110=5,断面设计!$K$11,IF(A110=6,断面设计!$K$12,IF(A110=7,断面设计!$K$13,IF(A110=8,断面设计!$K$14,IF(A110=9,断面设计!$K$15,IF(A110=10,断面设计!$K$16))))))))))</f>
        <v>3.5000124380332474</v>
      </c>
      <c r="Q110" s="110">
        <f>IF(A110=1,断面设计!$C$7,IF(A110=2,断面设计!$C$8,IF(A110=3,断面设计!$C$9,IF(A110=4,断面设计!$C$10,IF(A110=5,断面设计!$C$11,IF(A110=6,断面设计!$C$12,IF(A110=7,断面设计!$C$13,IF(A110=8,断面设计!$C$14,IF(A110=9,断面设计!$C$15,IF(A110=10,断面设计!$C$16))))))))))</f>
        <v>1.4906129304215501</v>
      </c>
      <c r="R110" s="83">
        <f>IF(A110=1,断面设计!$F$7,IF(A110=2,断面设计!$F$8,IF(A110=3,断面设计!$F$9,IF(A110=4,断面设计!$F$10,IF(A110=5,断面设计!$F$11,IF(A110=6,断面设计!$F$12,IF(A110=7,断面设计!$F$13,IF(A110=8,断面设计!$F$14,IF(A110=9,断面设计!$F$15,IF(A110=10,断面设计!$F$16))))))))))</f>
        <v>4.4550478065137646</v>
      </c>
      <c r="S110" s="83">
        <f>IF(A110=1,断面设计!$G$7,IF(A110=2,断面设计!$G$8,IF(A110=3,断面设计!$G$9,IF(A110=4,断面设计!$G$10,IF(A110=5,断面设计!$G$11,IF(A110=6,断面设计!$G$12,IF(A110=7,断面设计!$G$13,IF(A110=8,断面设计!$G$14,IF(A110=9,断面设计!$G$15,IF(A110=10,断面设计!$G$16))))))))))</f>
        <v>5.8568236626908723</v>
      </c>
      <c r="T110" s="83">
        <f t="shared" si="44"/>
        <v>0.76065937154524599</v>
      </c>
      <c r="U110" s="83">
        <f t="shared" si="45"/>
        <v>0.78562848033097388</v>
      </c>
      <c r="V110" s="123">
        <f t="shared" si="46"/>
        <v>1.6976292815568132E-3</v>
      </c>
      <c r="W110" s="110"/>
      <c r="X110" s="110">
        <f>IF(AN110=0,IF(AN109=2,(H110-H109-AE109)/O110,(H110-H109)/O110),IF(AN110=1,IF(AN109=2,IF(AE110&lt;9,(H110-H109-AE110-AE109)/断面设计!$J$7,(H110-H109-AE110-AE109)/断面设计!$J$7),(H110-H109-AE110)/O109),(H110-H109)/O110))</f>
        <v>6.2912995911468894E-3</v>
      </c>
      <c r="Y110" s="133">
        <v>0</v>
      </c>
      <c r="Z110" s="134">
        <f t="shared" si="51"/>
        <v>0</v>
      </c>
      <c r="AA110" s="142"/>
      <c r="AB110" s="133">
        <f t="shared" si="33"/>
        <v>1.4906129304215501</v>
      </c>
      <c r="AC110" s="110">
        <f t="shared" si="34"/>
        <v>7.988928872703702E-3</v>
      </c>
      <c r="AD110" s="110">
        <f t="shared" ca="1" si="47"/>
        <v>2383.447746830202</v>
      </c>
      <c r="AE110" s="82">
        <f t="shared" si="48"/>
        <v>0</v>
      </c>
      <c r="AF110" s="110" t="str">
        <f t="shared" si="35"/>
        <v xml:space="preserve"> </v>
      </c>
      <c r="AG110" s="110" t="str">
        <f>IF(AE110=0," ",AF110-断面设计!$C$12)</f>
        <v xml:space="preserve"> </v>
      </c>
      <c r="AH110" s="110">
        <f t="shared" ca="1" si="36"/>
        <v>2383.4510652909094</v>
      </c>
      <c r="AI110" s="110">
        <f t="shared" ca="1" si="37"/>
        <v>2381.9604523604876</v>
      </c>
      <c r="AJ110" s="110">
        <f t="shared" ca="1" si="38"/>
        <v>2383.4461259987761</v>
      </c>
      <c r="AK110" s="110">
        <f t="shared" ca="1" si="39"/>
        <v>2381.9555130683543</v>
      </c>
      <c r="AL110" s="110">
        <f t="shared" ca="1" si="40"/>
        <v>2383.448595644843</v>
      </c>
      <c r="AM110" s="110">
        <f t="shared" ca="1" si="41"/>
        <v>2381.9579827144212</v>
      </c>
      <c r="AN110" s="127"/>
      <c r="AO110" s="80">
        <v>0</v>
      </c>
      <c r="AU110" s="64" t="str">
        <f t="shared" ca="1" si="49"/>
        <v>10713.988334952,2381.95798271442</v>
      </c>
      <c r="AV110" s="64" t="str">
        <f t="shared" ca="1" si="55"/>
        <v>10713.988334952,2383.44859564484</v>
      </c>
      <c r="AW110" s="169" t="str">
        <f t="shared" si="56"/>
        <v xml:space="preserve">pl 10713.988334952,0 10713.988334952,76 </v>
      </c>
      <c r="AX110" s="161" t="str">
        <f t="shared" ca="1" si="52"/>
        <v>-text 10713.988334952,48 3.5 90 2381.958</v>
      </c>
      <c r="AY110" s="161" t="str">
        <f t="shared" ca="1" si="53"/>
        <v>-text 10713.988334952,62.5 3.5 90 2383.449</v>
      </c>
      <c r="AZ110" s="42" t="str">
        <f t="shared" si="54"/>
        <v>-text 10713.988334952,23.5 3.5 90 马分10+713.99</v>
      </c>
    </row>
    <row r="111" spans="1:206" s="57" customFormat="1" x14ac:dyDescent="0.25">
      <c r="A111" s="102">
        <v>5</v>
      </c>
      <c r="B111" s="88" t="str">
        <f>线路!B108</f>
        <v>五流量段末(5#斗门)</v>
      </c>
      <c r="C111" s="89">
        <f>线路!E108</f>
        <v>447838.95110000001</v>
      </c>
      <c r="D111" s="89">
        <f>线路!F108</f>
        <v>3039735.7842000001</v>
      </c>
      <c r="E111" s="90">
        <f>线路!G108</f>
        <v>0</v>
      </c>
      <c r="F111" s="90">
        <f>线路!H108</f>
        <v>1E-3</v>
      </c>
      <c r="G111" s="91">
        <f>线路!L108</f>
        <v>10862.621703955332</v>
      </c>
      <c r="H111" s="91">
        <f>线路!M108</f>
        <v>10862.621703955332</v>
      </c>
      <c r="I111" s="91">
        <f>线路!N108</f>
        <v>10862.621703955332</v>
      </c>
      <c r="J111" s="112">
        <f t="shared" si="32"/>
        <v>0</v>
      </c>
      <c r="K111" s="112">
        <f t="shared" si="42"/>
        <v>148.63336900331342</v>
      </c>
      <c r="L111" s="112">
        <f>IF(A111=1,断面设计!$D$7,IF(A111=2,断面设计!$D$8,IF(A111=3,断面设计!$D$9,IF(A111=4,断面设计!$D$10,IF(A111=5,断面设计!$D$11,IF(A111=6,断面设计!$D$12,IF(A111=7,断面设计!$D$13,IF(A111=8,断面设计!$D$14,IF(A111=9,断面设计!$D$15,IF(A111=10,断面设计!$D$16))))))))))</f>
        <v>1.2</v>
      </c>
      <c r="M111" s="112">
        <f t="shared" si="43"/>
        <v>1.2</v>
      </c>
      <c r="N111" s="113">
        <f t="shared" si="50"/>
        <v>1.4999999999999999E-2</v>
      </c>
      <c r="O111" s="112">
        <f>IF(A111=1,断面设计!$J$7,IF(A111=2,断面设计!$J$8,IF(A111=3,断面设计!$J$9,IF(A111=4,断面设计!$J$10,IF(A111=5,断面设计!$J$11,IF(A111=6,断面设计!$J$12,IF(A111=7,断面设计!$J$13,IF(A111=8,断面设计!$J$14,IF(A111=9,断面设计!$J$15,IF(A111=10,断面设计!$J$16))))))))))</f>
        <v>5000</v>
      </c>
      <c r="P111" s="114">
        <f>IF(A111=1,断面设计!$K$7,IF(A111=2,断面设计!$K$8,IF(A111=3,断面设计!$K$9,IF(A111=4,断面设计!$K$10,IF(A111=5,断面设计!$K$11,IF(A111=6,断面设计!$K$12,IF(A111=7,断面设计!$K$13,IF(A111=8,断面设计!$K$14,IF(A111=9,断面设计!$K$15,IF(A111=10,断面设计!$K$16))))))))))</f>
        <v>3.5000124380332474</v>
      </c>
      <c r="Q111" s="113">
        <f>IF(A111=1,断面设计!$C$7,IF(A111=2,断面设计!$C$8,IF(A111=3,断面设计!$C$9,IF(A111=4,断面设计!$C$10,IF(A111=5,断面设计!$C$11,IF(A111=6,断面设计!$C$12,IF(A111=7,断面设计!$C$13,IF(A111=8,断面设计!$C$14,IF(A111=9,断面设计!$C$15,IF(A111=10,断面设计!$C$16))))))))))</f>
        <v>1.4906129304215501</v>
      </c>
      <c r="R111" s="112">
        <f>IF(A111=1,断面设计!$F$7,IF(A111=2,断面设计!$F$8,IF(A111=3,断面设计!$F$9,IF(A111=4,断面设计!$F$10,IF(A111=5,断面设计!$F$11,IF(A111=6,断面设计!$F$12,IF(A111=7,断面设计!$F$13,IF(A111=8,断面设计!$F$14,IF(A111=9,断面设计!$F$15,IF(A111=10,断面设计!$F$16))))))))))</f>
        <v>4.4550478065137646</v>
      </c>
      <c r="S111" s="112">
        <f>IF(A111=1,断面设计!$G$7,IF(A111=2,断面设计!$G$8,IF(A111=3,断面设计!$G$9,IF(A111=4,断面设计!$G$10,IF(A111=5,断面设计!$G$11,IF(A111=6,断面设计!$G$12,IF(A111=7,断面设计!$G$13,IF(A111=8,断面设计!$G$14,IF(A111=9,断面设计!$G$15,IF(A111=10,断面设计!$G$16))))))))))</f>
        <v>5.8568236626908723</v>
      </c>
      <c r="T111" s="112">
        <f t="shared" si="44"/>
        <v>0.76065937154524599</v>
      </c>
      <c r="U111" s="112">
        <f t="shared" si="45"/>
        <v>0.78562848033097388</v>
      </c>
      <c r="V111" s="124"/>
      <c r="W111" s="113"/>
      <c r="X111" s="113">
        <f>IF(AN111=0,IF(AN110=2,(H111-H110-AE110)/O111,(H111-H110)/O111),IF(AN111=1,IF(AN110=2,IF(AE111&lt;9,(H111-H110-AE111-AE110)/断面设计!$J$7,(H111-H110-AE111-AE110)/断面设计!$J$7),(H111-H110-AE111)/O110),(H111-H110)/O111))</f>
        <v>2.9726673800662684E-2</v>
      </c>
      <c r="Y111" s="136">
        <v>0</v>
      </c>
      <c r="Z111" s="137">
        <f t="shared" si="51"/>
        <v>0</v>
      </c>
      <c r="AA111" s="148"/>
      <c r="AB111" s="136">
        <f t="shared" si="33"/>
        <v>1.4906129304215501</v>
      </c>
      <c r="AC111" s="113">
        <f t="shared" si="34"/>
        <v>2.9726673800662684E-2</v>
      </c>
      <c r="AD111" s="113">
        <f t="shared" ca="1" si="47"/>
        <v>2383.4180201564013</v>
      </c>
      <c r="AE111" s="138">
        <f t="shared" si="48"/>
        <v>0</v>
      </c>
      <c r="AF111" s="113" t="str">
        <f t="shared" si="35"/>
        <v xml:space="preserve"> </v>
      </c>
      <c r="AG111" s="113" t="str">
        <f>IF(AE111=0," ",AF111-断面设计!$C$12)</f>
        <v xml:space="preserve"> </v>
      </c>
      <c r="AH111" s="113" t="str">
        <f t="shared" si="36"/>
        <v xml:space="preserve"> </v>
      </c>
      <c r="AI111" s="113" t="str">
        <f t="shared" si="37"/>
        <v xml:space="preserve"> </v>
      </c>
      <c r="AJ111" s="113" t="str">
        <f t="shared" si="38"/>
        <v xml:space="preserve"> </v>
      </c>
      <c r="AK111" s="113" t="str">
        <f t="shared" si="39"/>
        <v xml:space="preserve"> </v>
      </c>
      <c r="AL111" s="113">
        <f t="shared" ca="1" si="40"/>
        <v>2383.4180201564013</v>
      </c>
      <c r="AM111" s="113">
        <f t="shared" ca="1" si="41"/>
        <v>2381.9274072259796</v>
      </c>
      <c r="AN111" s="128"/>
      <c r="AO111" s="102">
        <v>0</v>
      </c>
      <c r="AP111" s="42"/>
      <c r="AQ111" s="42"/>
      <c r="AR111" s="42"/>
      <c r="AS111" s="42"/>
      <c r="AT111" s="42"/>
      <c r="AU111" s="64" t="str">
        <f t="shared" ca="1" si="49"/>
        <v>10862.6217039553,2381.92740722598</v>
      </c>
      <c r="AV111" s="64" t="str">
        <f t="shared" ca="1" si="55"/>
        <v>10862.6217039553,2383.4180201564</v>
      </c>
      <c r="AW111" s="169" t="str">
        <f t="shared" si="56"/>
        <v xml:space="preserve">pl 10862.6217039553,0 10862.6217039553,76 </v>
      </c>
      <c r="AX111" s="161" t="str">
        <f t="shared" ca="1" si="52"/>
        <v>-text 10862.6217039553,48 3.5 90 2381.927</v>
      </c>
      <c r="AY111" s="161" t="str">
        <f t="shared" ca="1" si="53"/>
        <v>-text 10862.6217039553,62.5 3.5 90 2383.418</v>
      </c>
      <c r="AZ111" s="42" t="str">
        <f t="shared" si="54"/>
        <v>-text 10862.6217039553,23.5 3.5 90 马分10+862.62</v>
      </c>
      <c r="BA111" s="42"/>
      <c r="BB111" s="42"/>
      <c r="BC111" s="42"/>
      <c r="BD111" s="42"/>
      <c r="BE111" s="42"/>
      <c r="BF111" s="42"/>
      <c r="BG111" s="42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2"/>
      <c r="CI111" s="42"/>
      <c r="CJ111" s="42"/>
      <c r="CK111" s="42"/>
      <c r="CL111" s="42"/>
      <c r="CM111" s="42"/>
      <c r="CN111" s="42"/>
      <c r="CO111" s="42"/>
      <c r="CP111" s="42"/>
      <c r="CQ111" s="42"/>
      <c r="CR111" s="42"/>
      <c r="CS111" s="42"/>
      <c r="CT111" s="42"/>
      <c r="CU111" s="42"/>
      <c r="CV111" s="42"/>
      <c r="CW111" s="42"/>
      <c r="CX111" s="42"/>
      <c r="CY111" s="42"/>
      <c r="CZ111" s="42"/>
      <c r="DA111" s="42"/>
      <c r="DB111" s="42"/>
      <c r="DC111" s="42"/>
      <c r="DD111" s="42"/>
      <c r="DE111" s="42"/>
      <c r="DF111" s="42"/>
      <c r="DG111" s="42"/>
      <c r="DH111" s="42"/>
      <c r="DI111" s="42"/>
      <c r="DJ111" s="42"/>
      <c r="DK111" s="42"/>
      <c r="DL111" s="42"/>
      <c r="DM111" s="42"/>
      <c r="DN111" s="42"/>
      <c r="DO111" s="42"/>
      <c r="DP111" s="42"/>
      <c r="DQ111" s="42"/>
      <c r="DR111" s="42"/>
      <c r="DS111" s="42"/>
      <c r="DT111" s="42"/>
      <c r="DU111" s="42"/>
      <c r="DV111" s="42"/>
      <c r="DW111" s="42"/>
      <c r="DX111" s="42"/>
      <c r="DY111" s="42"/>
      <c r="DZ111" s="42"/>
      <c r="EA111" s="42"/>
      <c r="EB111" s="42"/>
      <c r="EC111" s="42"/>
      <c r="ED111" s="42"/>
      <c r="EE111" s="42"/>
      <c r="EF111" s="42"/>
      <c r="EG111" s="42"/>
      <c r="EH111" s="42"/>
      <c r="EI111" s="42"/>
      <c r="EJ111" s="42"/>
      <c r="EK111" s="42"/>
      <c r="EL111" s="42"/>
      <c r="EM111" s="42"/>
      <c r="EN111" s="42"/>
      <c r="EO111" s="42"/>
      <c r="EP111" s="42"/>
      <c r="EQ111" s="42"/>
      <c r="ER111" s="42"/>
      <c r="ES111" s="42"/>
      <c r="ET111" s="42"/>
      <c r="EU111" s="42"/>
      <c r="EV111" s="42"/>
      <c r="EW111" s="42"/>
      <c r="EX111" s="42"/>
      <c r="EY111" s="42"/>
      <c r="EZ111" s="42"/>
      <c r="FA111" s="42"/>
      <c r="FB111" s="42"/>
      <c r="FC111" s="42"/>
      <c r="FD111" s="42"/>
      <c r="FE111" s="42"/>
      <c r="FF111" s="42"/>
      <c r="FG111" s="42"/>
      <c r="FH111" s="42"/>
      <c r="FI111" s="42"/>
      <c r="FJ111" s="42"/>
      <c r="FK111" s="42"/>
      <c r="FL111" s="42"/>
      <c r="FM111" s="42"/>
      <c r="FN111" s="42"/>
      <c r="FO111" s="42"/>
      <c r="FP111" s="42"/>
      <c r="FQ111" s="42"/>
      <c r="FR111" s="42"/>
      <c r="FS111" s="42"/>
      <c r="FT111" s="42"/>
      <c r="FU111" s="42"/>
      <c r="FV111" s="42"/>
      <c r="FW111" s="42"/>
      <c r="FX111" s="42"/>
      <c r="FY111" s="42"/>
      <c r="FZ111" s="42"/>
      <c r="GA111" s="42"/>
      <c r="GB111" s="42"/>
      <c r="GC111" s="42"/>
      <c r="GD111" s="42"/>
      <c r="GE111" s="42"/>
      <c r="GF111" s="42"/>
      <c r="GG111" s="42"/>
      <c r="GH111" s="42"/>
      <c r="GI111" s="42"/>
      <c r="GJ111" s="42"/>
      <c r="GK111" s="42"/>
      <c r="GL111" s="42"/>
      <c r="GM111" s="42"/>
      <c r="GN111" s="42"/>
      <c r="GO111" s="42"/>
      <c r="GP111" s="42"/>
      <c r="GQ111" s="42"/>
      <c r="GR111" s="42"/>
      <c r="GS111" s="42"/>
      <c r="GT111" s="42"/>
      <c r="GU111" s="42"/>
      <c r="GV111" s="42"/>
      <c r="GW111" s="42"/>
      <c r="GX111" s="42"/>
    </row>
    <row r="112" spans="1:206" s="42" customFormat="1" x14ac:dyDescent="0.25">
      <c r="A112" s="80">
        <v>6</v>
      </c>
      <c r="B112" s="76" t="str">
        <f>线路!B109</f>
        <v>IP77</v>
      </c>
      <c r="C112" s="81">
        <f>线路!E109</f>
        <v>447834.07020000002</v>
      </c>
      <c r="D112" s="81">
        <f>线路!F109</f>
        <v>3039727.6650999999</v>
      </c>
      <c r="E112" s="85">
        <f>线路!G109</f>
        <v>12</v>
      </c>
      <c r="F112" s="85">
        <f>线路!H109</f>
        <v>21.3</v>
      </c>
      <c r="G112" s="86">
        <f>线路!L109</f>
        <v>10869.838401090205</v>
      </c>
      <c r="H112" s="86">
        <f>线路!M109</f>
        <v>10872.068931874253</v>
      </c>
      <c r="I112" s="86">
        <f>线路!N109</f>
        <v>10874.299462658302</v>
      </c>
      <c r="J112" s="83">
        <f t="shared" si="32"/>
        <v>4.461061568097648</v>
      </c>
      <c r="K112" s="83">
        <f t="shared" si="42"/>
        <v>9.4472279189212713</v>
      </c>
      <c r="L112" s="83">
        <f>IF(A112=1,断面设计!$D$7,IF(A112=2,断面设计!$D$8,IF(A112=3,断面设计!$D$9,IF(A112=4,断面设计!$D$10,IF(A112=5,断面设计!$D$11,IF(A112=6,断面设计!$D$12,IF(A112=7,断面设计!$D$13,IF(A112=8,断面设计!$D$14,IF(A112=9,断面设计!$D$15,IF(A112=10,断面设计!$D$16))))))))))</f>
        <v>1.2</v>
      </c>
      <c r="M112" s="83">
        <f t="shared" si="43"/>
        <v>1.2</v>
      </c>
      <c r="N112" s="110">
        <f t="shared" si="50"/>
        <v>1.4999999999999999E-2</v>
      </c>
      <c r="O112" s="83">
        <f>IF(A112=1,断面设计!$J$7,IF(A112=2,断面设计!$J$8,IF(A112=3,断面设计!$J$9,IF(A112=4,断面设计!$J$10,IF(A112=5,断面设计!$J$11,IF(A112=6,断面设计!$J$12,IF(A112=7,断面设计!$J$13,IF(A112=8,断面设计!$J$14,IF(A112=9,断面设计!$J$15,IF(A112=10,断面设计!$J$16))))))))))</f>
        <v>5000</v>
      </c>
      <c r="P112" s="111">
        <f>IF(A112=1,断面设计!$K$7,IF(A112=2,断面设计!$K$8,IF(A112=3,断面设计!$K$9,IF(A112=4,断面设计!$K$10,IF(A112=5,断面设计!$K$11,IF(A112=6,断面设计!$K$12,IF(A112=7,断面设计!$K$13,IF(A112=8,断面设计!$K$14,IF(A112=9,断面设计!$K$15,IF(A112=10,断面设计!$K$16))))))))))</f>
        <v>3.1003625801059727</v>
      </c>
      <c r="Q112" s="110">
        <f>IF(A112=1,断面设计!$C$7,IF(A112=2,断面设计!$C$8,IF(A112=3,断面设计!$C$9,IF(A112=4,断面设计!$C$10,IF(A112=5,断面设计!$C$11,IF(A112=6,断面设计!$C$12,IF(A112=7,断面设计!$C$13,IF(A112=8,断面设计!$C$14,IF(A112=9,断面设计!$C$15,IF(A112=10,断面设计!$C$16))))))))))</f>
        <v>1.40797130701961</v>
      </c>
      <c r="R112" s="83">
        <f>IF(A112=1,断面设计!$F$7,IF(A112=2,断面设计!$F$8,IF(A112=3,断面设计!$F$9,IF(A112=4,断面设计!$F$10,IF(A112=5,断面设计!$F$11,IF(A112=6,断面设计!$F$12,IF(A112=7,断面设计!$F$13,IF(A112=8,断面设计!$F$14,IF(A112=9,断面设计!$F$15,IF(A112=10,断面设计!$F$16))))))))))</f>
        <v>4.0684254100921429</v>
      </c>
      <c r="S112" s="83">
        <f>IF(A112=1,断面设计!$G$7,IF(A112=2,断面设计!$G$8,IF(A112=3,断面设计!$G$9,IF(A112=4,断面设计!$G$10,IF(A112=5,断面设计!$G$11,IF(A112=6,断面设计!$G$12,IF(A112=7,断面设计!$G$13,IF(A112=8,断面设计!$G$14,IF(A112=9,断面设计!$G$15,IF(A112=10,断面设计!$G$16))))))))))</f>
        <v>5.5986429777343112</v>
      </c>
      <c r="T112" s="83">
        <f t="shared" si="44"/>
        <v>0.72668063069429278</v>
      </c>
      <c r="U112" s="83">
        <f t="shared" si="45"/>
        <v>0.76205466921310838</v>
      </c>
      <c r="V112" s="123">
        <f t="shared" si="46"/>
        <v>4.5683170172355523E-4</v>
      </c>
      <c r="W112" s="110"/>
      <c r="X112" s="110">
        <f>IF(AN112=0,IF(AN111=2,(H112-H111-AE111)/O112,(H112-H111)/O112),IF(AN112=1,IF(AN111=2,IF(AE112&lt;9,(H112-H111-AE112-AE111)/断面设计!$J$7,(H112-H111-AE112-AE111)/断面设计!$J$7),(H112-H111-AE112)/O111),(H112-H111)/O112))</f>
        <v>1.8894455837842542E-3</v>
      </c>
      <c r="Y112" s="133">
        <v>0</v>
      </c>
      <c r="Z112" s="134">
        <f t="shared" si="51"/>
        <v>0</v>
      </c>
      <c r="AA112" s="142"/>
      <c r="AB112" s="133">
        <f t="shared" si="33"/>
        <v>1.40797130701961</v>
      </c>
      <c r="AC112" s="110">
        <f t="shared" si="34"/>
        <v>2.3462772855078096E-3</v>
      </c>
      <c r="AD112" s="110">
        <f t="shared" ca="1" si="47"/>
        <v>2383.4156738791157</v>
      </c>
      <c r="AE112" s="82">
        <f t="shared" si="48"/>
        <v>0</v>
      </c>
      <c r="AF112" s="110" t="str">
        <f t="shared" si="35"/>
        <v xml:space="preserve"> </v>
      </c>
      <c r="AG112" s="110" t="str">
        <f>IF(AE112=0," ",AF112-断面设计!$C$12)</f>
        <v xml:space="preserve"> </v>
      </c>
      <c r="AH112" s="110">
        <f t="shared" ca="1" si="36"/>
        <v>2383.4165768169742</v>
      </c>
      <c r="AI112" s="110">
        <f t="shared" ca="1" si="37"/>
        <v>2382.0086055099546</v>
      </c>
      <c r="AJ112" s="110">
        <f t="shared" ca="1" si="38"/>
        <v>2383.415227772959</v>
      </c>
      <c r="AK112" s="110">
        <f t="shared" ca="1" si="39"/>
        <v>2382.0072564659395</v>
      </c>
      <c r="AL112" s="110">
        <f t="shared" ca="1" si="40"/>
        <v>2383.4159022949666</v>
      </c>
      <c r="AM112" s="110">
        <f t="shared" ca="1" si="41"/>
        <v>2382.007930987947</v>
      </c>
      <c r="AN112" s="127"/>
      <c r="AO112" s="80">
        <v>0</v>
      </c>
      <c r="AU112" s="64" t="str">
        <f t="shared" ca="1" si="49"/>
        <v>10872.0689318743,2382.00793098795</v>
      </c>
      <c r="AV112" s="64" t="str">
        <f t="shared" ca="1" si="55"/>
        <v>10872.0689318743,2383.41590229497</v>
      </c>
      <c r="AW112" s="169" t="str">
        <f t="shared" si="56"/>
        <v xml:space="preserve">pl 10872.0689318743,0 10872.0689318743,76 </v>
      </c>
      <c r="AX112" s="161" t="str">
        <f t="shared" ca="1" si="52"/>
        <v>-text 10872.0689318743,48 3.5 90 2382.008</v>
      </c>
      <c r="AY112" s="161" t="str">
        <f t="shared" ca="1" si="53"/>
        <v>-text 10872.0689318743,62.5 3.5 90 2383.416</v>
      </c>
      <c r="AZ112" s="42" t="str">
        <f t="shared" si="54"/>
        <v>-text 10872.0689318743,23.5 3.5 90 马分10+872.07</v>
      </c>
    </row>
    <row r="113" spans="1:206" s="42" customFormat="1" x14ac:dyDescent="0.25">
      <c r="A113" s="80">
        <v>6</v>
      </c>
      <c r="B113" s="76" t="str">
        <f>线路!B110</f>
        <v>IP78</v>
      </c>
      <c r="C113" s="81">
        <f>线路!E110</f>
        <v>447826.61540000001</v>
      </c>
      <c r="D113" s="81">
        <f>线路!F110</f>
        <v>3039684.1093000001</v>
      </c>
      <c r="E113" s="85">
        <f>线路!G110</f>
        <v>12</v>
      </c>
      <c r="F113" s="85">
        <f>线路!H110</f>
        <v>36.36</v>
      </c>
      <c r="G113" s="86">
        <f>线路!L110</f>
        <v>10912.291283809162</v>
      </c>
      <c r="H113" s="86">
        <f>线路!M110</f>
        <v>10916.098894105313</v>
      </c>
      <c r="I113" s="86">
        <f>线路!N110</f>
        <v>10919.906504401462</v>
      </c>
      <c r="J113" s="83">
        <f t="shared" si="32"/>
        <v>7.6152205923008296</v>
      </c>
      <c r="K113" s="83">
        <f t="shared" si="42"/>
        <v>44.029962231059471</v>
      </c>
      <c r="L113" s="83">
        <f>IF(A113=1,断面设计!$D$7,IF(A113=2,断面设计!$D$8,IF(A113=3,断面设计!$D$9,IF(A113=4,断面设计!$D$10,IF(A113=5,断面设计!$D$11,IF(A113=6,断面设计!$D$12,IF(A113=7,断面设计!$D$13,IF(A113=8,断面设计!$D$14,IF(A113=9,断面设计!$D$15,IF(A113=10,断面设计!$D$16))))))))))</f>
        <v>1.2</v>
      </c>
      <c r="M113" s="83">
        <f t="shared" si="43"/>
        <v>1.2</v>
      </c>
      <c r="N113" s="110">
        <f t="shared" si="50"/>
        <v>1.4999999999999999E-2</v>
      </c>
      <c r="O113" s="83">
        <f>IF(A113=1,断面设计!$J$7,IF(A113=2,断面设计!$J$8,IF(A113=3,断面设计!$J$9,IF(A113=4,断面设计!$J$10,IF(A113=5,断面设计!$J$11,IF(A113=6,断面设计!$J$12,IF(A113=7,断面设计!$J$13,IF(A113=8,断面设计!$J$14,IF(A113=9,断面设计!$J$15,IF(A113=10,断面设计!$J$16))))))))))</f>
        <v>5000</v>
      </c>
      <c r="P113" s="111">
        <f>IF(A113=1,断面设计!$K$7,IF(A113=2,断面设计!$K$8,IF(A113=3,断面设计!$K$9,IF(A113=4,断面设计!$K$10,IF(A113=5,断面设计!$K$11,IF(A113=6,断面设计!$K$12,IF(A113=7,断面设计!$K$13,IF(A113=8,断面设计!$K$14,IF(A113=9,断面设计!$K$15,IF(A113=10,断面设计!$K$16))))))))))</f>
        <v>3.1003625801059727</v>
      </c>
      <c r="Q113" s="110">
        <f>IF(A113=1,断面设计!$C$7,IF(A113=2,断面设计!$C$8,IF(A113=3,断面设计!$C$9,IF(A113=4,断面设计!$C$10,IF(A113=5,断面设计!$C$11,IF(A113=6,断面设计!$C$12,IF(A113=7,断面设计!$C$13,IF(A113=8,断面设计!$C$14,IF(A113=9,断面设计!$C$15,IF(A113=10,断面设计!$C$16))))))))))</f>
        <v>1.40797130701961</v>
      </c>
      <c r="R113" s="83">
        <f>IF(A113=1,断面设计!$F$7,IF(A113=2,断面设计!$F$8,IF(A113=3,断面设计!$F$9,IF(A113=4,断面设计!$F$10,IF(A113=5,断面设计!$F$11,IF(A113=6,断面设计!$F$12,IF(A113=7,断面设计!$F$13,IF(A113=8,断面设计!$F$14,IF(A113=9,断面设计!$F$15,IF(A113=10,断面设计!$F$16))))))))))</f>
        <v>4.0684254100921429</v>
      </c>
      <c r="S113" s="83">
        <f>IF(A113=1,断面设计!$G$7,IF(A113=2,断面设计!$G$8,IF(A113=3,断面设计!$G$9,IF(A113=4,断面设计!$G$10,IF(A113=5,断面设计!$G$11,IF(A113=6,断面设计!$G$12,IF(A113=7,断面设计!$G$13,IF(A113=8,断面设计!$G$14,IF(A113=9,断面设计!$G$15,IF(A113=10,断面设计!$G$16))))))))))</f>
        <v>5.5986429777343112</v>
      </c>
      <c r="T113" s="83">
        <f t="shared" si="44"/>
        <v>0.72668063069429278</v>
      </c>
      <c r="U113" s="83">
        <f t="shared" si="45"/>
        <v>0.76205466921310838</v>
      </c>
      <c r="V113" s="123">
        <f t="shared" si="46"/>
        <v>7.7983101758995926E-4</v>
      </c>
      <c r="W113" s="110"/>
      <c r="X113" s="110">
        <f>IF(AN113=0,IF(AN112=2,(H113-H112-AE112)/O113,(H113-H112)/O113),IF(AN113=1,IF(AN112=2,IF(AE113&lt;9,(H113-H112-AE113-AE112)/断面设计!$J$7,(H113-H112-AE113-AE112)/断面设计!$J$7),(H113-H112-AE113)/O112),(H113-H112)/O113))</f>
        <v>8.8059924462118942E-3</v>
      </c>
      <c r="Y113" s="133">
        <v>0</v>
      </c>
      <c r="Z113" s="134">
        <f t="shared" si="51"/>
        <v>0</v>
      </c>
      <c r="AA113" s="142"/>
      <c r="AB113" s="133">
        <f t="shared" si="33"/>
        <v>1.40797130701961</v>
      </c>
      <c r="AC113" s="110">
        <f t="shared" si="34"/>
        <v>9.5858234638018531E-3</v>
      </c>
      <c r="AD113" s="110">
        <f t="shared" ca="1" si="47"/>
        <v>2383.4060880556517</v>
      </c>
      <c r="AE113" s="82">
        <f t="shared" si="48"/>
        <v>0</v>
      </c>
      <c r="AF113" s="110" t="str">
        <f t="shared" si="35"/>
        <v xml:space="preserve"> </v>
      </c>
      <c r="AG113" s="110" t="str">
        <f>IF(AE113=0," ",AF113-断面设计!$C$12)</f>
        <v xml:space="preserve"> </v>
      </c>
      <c r="AH113" s="110">
        <f t="shared" ca="1" si="36"/>
        <v>2383.4076294087286</v>
      </c>
      <c r="AI113" s="110">
        <f t="shared" ca="1" si="37"/>
        <v>2381.999658101709</v>
      </c>
      <c r="AJ113" s="110">
        <f t="shared" ca="1" si="38"/>
        <v>2383.4053265335924</v>
      </c>
      <c r="AK113" s="110">
        <f t="shared" ca="1" si="39"/>
        <v>2381.9973552265728</v>
      </c>
      <c r="AL113" s="110">
        <f t="shared" ca="1" si="40"/>
        <v>2383.4064779711607</v>
      </c>
      <c r="AM113" s="110">
        <f t="shared" ca="1" si="41"/>
        <v>2381.9985066641411</v>
      </c>
      <c r="AN113" s="127"/>
      <c r="AO113" s="80">
        <v>0</v>
      </c>
      <c r="AU113" s="64" t="str">
        <f t="shared" ca="1" si="49"/>
        <v>10916.0988941053,2381.99850666414</v>
      </c>
      <c r="AV113" s="64" t="str">
        <f t="shared" ca="1" si="55"/>
        <v>10916.0988941053,2383.40647797116</v>
      </c>
      <c r="AW113" s="169" t="str">
        <f t="shared" si="56"/>
        <v xml:space="preserve">pl 10916.0988941053,0 10916.0988941053,76 </v>
      </c>
      <c r="AX113" s="161" t="str">
        <f t="shared" ca="1" si="52"/>
        <v>-text 10916.0988941053,48 3.5 90 2381.999</v>
      </c>
      <c r="AY113" s="161" t="str">
        <f t="shared" ca="1" si="53"/>
        <v>-text 10916.0988941053,62.5 3.5 90 2383.406</v>
      </c>
      <c r="AZ113" s="42" t="str">
        <f t="shared" si="54"/>
        <v>-text 10916.0988941053,23.5 3.5 90 马分10+916.10</v>
      </c>
    </row>
    <row r="114" spans="1:206" s="42" customFormat="1" x14ac:dyDescent="0.25">
      <c r="A114" s="80">
        <v>6</v>
      </c>
      <c r="B114" s="76" t="str">
        <f>线路!B111</f>
        <v>IP79</v>
      </c>
      <c r="C114" s="81">
        <f>线路!E111</f>
        <v>447782.32699999999</v>
      </c>
      <c r="D114" s="81">
        <f>线路!F111</f>
        <v>3039641.4481000002</v>
      </c>
      <c r="E114" s="85">
        <f>线路!G111</f>
        <v>12</v>
      </c>
      <c r="F114" s="85">
        <f>线路!H111</f>
        <v>56.789000000000001</v>
      </c>
      <c r="G114" s="86">
        <f>线路!L111</f>
        <v>10970.972276229306</v>
      </c>
      <c r="H114" s="86">
        <f>线路!M111</f>
        <v>10976.919206402796</v>
      </c>
      <c r="I114" s="86">
        <f>线路!N111</f>
        <v>10982.866136576287</v>
      </c>
      <c r="J114" s="83">
        <f t="shared" si="32"/>
        <v>11.893860346981455</v>
      </c>
      <c r="K114" s="83">
        <f t="shared" si="42"/>
        <v>60.820312297482815</v>
      </c>
      <c r="L114" s="83">
        <f>IF(A114=1,断面设计!$D$7,IF(A114=2,断面设计!$D$8,IF(A114=3,断面设计!$D$9,IF(A114=4,断面设计!$D$10,IF(A114=5,断面设计!$D$11,IF(A114=6,断面设计!$D$12,IF(A114=7,断面设计!$D$13,IF(A114=8,断面设计!$D$14,IF(A114=9,断面设计!$D$15,IF(A114=10,断面设计!$D$16))))))))))</f>
        <v>1.2</v>
      </c>
      <c r="M114" s="83">
        <f t="shared" si="43"/>
        <v>1.2</v>
      </c>
      <c r="N114" s="110">
        <f t="shared" si="50"/>
        <v>1.4999999999999999E-2</v>
      </c>
      <c r="O114" s="83">
        <f>IF(A114=1,断面设计!$J$7,IF(A114=2,断面设计!$J$8,IF(A114=3,断面设计!$J$9,IF(A114=4,断面设计!$J$10,IF(A114=5,断面设计!$J$11,IF(A114=6,断面设计!$J$12,IF(A114=7,断面设计!$J$13,IF(A114=8,断面设计!$J$14,IF(A114=9,断面设计!$J$15,IF(A114=10,断面设计!$J$16))))))))))</f>
        <v>5000</v>
      </c>
      <c r="P114" s="111">
        <f>IF(A114=1,断面设计!$K$7,IF(A114=2,断面设计!$K$8,IF(A114=3,断面设计!$K$9,IF(A114=4,断面设计!$K$10,IF(A114=5,断面设计!$K$11,IF(A114=6,断面设计!$K$12,IF(A114=7,断面设计!$K$13,IF(A114=8,断面设计!$K$14,IF(A114=9,断面设计!$K$15,IF(A114=10,断面设计!$K$16))))))))))</f>
        <v>3.1003625801059727</v>
      </c>
      <c r="Q114" s="110">
        <f>IF(A114=1,断面设计!$C$7,IF(A114=2,断面设计!$C$8,IF(A114=3,断面设计!$C$9,IF(A114=4,断面设计!$C$10,IF(A114=5,断面设计!$C$11,IF(A114=6,断面设计!$C$12,IF(A114=7,断面设计!$C$13,IF(A114=8,断面设计!$C$14,IF(A114=9,断面设计!$C$15,IF(A114=10,断面设计!$C$16))))))))))</f>
        <v>1.40797130701961</v>
      </c>
      <c r="R114" s="83">
        <f>IF(A114=1,断面设计!$F$7,IF(A114=2,断面设计!$F$8,IF(A114=3,断面设计!$F$9,IF(A114=4,断面设计!$F$10,IF(A114=5,断面设计!$F$11,IF(A114=6,断面设计!$F$12,IF(A114=7,断面设计!$F$13,IF(A114=8,断面设计!$F$14,IF(A114=9,断面设计!$F$15,IF(A114=10,断面设计!$F$16))))))))))</f>
        <v>4.0684254100921429</v>
      </c>
      <c r="S114" s="83">
        <f>IF(A114=1,断面设计!$G$7,IF(A114=2,断面设计!$G$8,IF(A114=3,断面设计!$G$9,IF(A114=4,断面设计!$G$10,IF(A114=5,断面设计!$G$11,IF(A114=6,断面设计!$G$12,IF(A114=7,断面设计!$G$13,IF(A114=8,断面设计!$G$14,IF(A114=9,断面设计!$G$15,IF(A114=10,断面设计!$G$16))))))))))</f>
        <v>5.5986429777343112</v>
      </c>
      <c r="T114" s="83">
        <f t="shared" si="44"/>
        <v>0.72668063069429278</v>
      </c>
      <c r="U114" s="83">
        <f t="shared" si="45"/>
        <v>0.76205466921310838</v>
      </c>
      <c r="V114" s="123">
        <f t="shared" si="46"/>
        <v>1.2179819487877822E-3</v>
      </c>
      <c r="W114" s="110"/>
      <c r="X114" s="110">
        <f>IF(AN114=0,IF(AN113=2,(H114-H113-AE113)/O114,(H114-H113)/O114),IF(AN114=1,IF(AN113=2,IF(AE114&lt;9,(H114-H113-AE114-AE113)/断面设计!$J$7,(H114-H113-AE114-AE113)/断面设计!$J$7),(H114-H113-AE114)/O113),(H114-H113)/O114))</f>
        <v>1.2164062459496562E-2</v>
      </c>
      <c r="Y114" s="133">
        <v>0</v>
      </c>
      <c r="Z114" s="134">
        <f t="shared" si="51"/>
        <v>0</v>
      </c>
      <c r="AA114" s="142"/>
      <c r="AB114" s="133">
        <f t="shared" si="33"/>
        <v>1.40797130701961</v>
      </c>
      <c r="AC114" s="110">
        <f t="shared" si="34"/>
        <v>1.3382044408284345E-2</v>
      </c>
      <c r="AD114" s="110">
        <f t="shared" ca="1" si="47"/>
        <v>2383.3927060112433</v>
      </c>
      <c r="AE114" s="82">
        <f t="shared" si="48"/>
        <v>0</v>
      </c>
      <c r="AF114" s="110" t="str">
        <f t="shared" si="35"/>
        <v xml:space="preserve"> </v>
      </c>
      <c r="AG114" s="110" t="str">
        <f>IF(AE114=0," ",AF114-断面设计!$C$12)</f>
        <v xml:space="preserve"> </v>
      </c>
      <c r="AH114" s="110">
        <f t="shared" ca="1" si="36"/>
        <v>2383.3951133792266</v>
      </c>
      <c r="AI114" s="110">
        <f t="shared" ca="1" si="37"/>
        <v>2381.987142072207</v>
      </c>
      <c r="AJ114" s="110">
        <f t="shared" ca="1" si="38"/>
        <v>2383.3915166252086</v>
      </c>
      <c r="AK114" s="110">
        <f t="shared" ca="1" si="39"/>
        <v>2381.983545318189</v>
      </c>
      <c r="AL114" s="110">
        <f t="shared" ca="1" si="40"/>
        <v>2383.3933150022176</v>
      </c>
      <c r="AM114" s="110">
        <f t="shared" ca="1" si="41"/>
        <v>2381.985343695198</v>
      </c>
      <c r="AN114" s="127"/>
      <c r="AO114" s="80">
        <v>0</v>
      </c>
      <c r="AU114" s="64" t="str">
        <f t="shared" ca="1" si="49"/>
        <v>10976.9192064028,2381.9853436952</v>
      </c>
      <c r="AV114" s="64" t="str">
        <f t="shared" ca="1" si="55"/>
        <v>10976.9192064028,2383.39331500222</v>
      </c>
      <c r="AW114" s="169" t="str">
        <f t="shared" si="56"/>
        <v xml:space="preserve">pl 10976.9192064028,0 10976.9192064028,76 </v>
      </c>
      <c r="AX114" s="161" t="str">
        <f t="shared" ca="1" si="52"/>
        <v>-text 10976.9192064028,48 3.5 90 2381.985</v>
      </c>
      <c r="AY114" s="161" t="str">
        <f t="shared" ca="1" si="53"/>
        <v>-text 10976.9192064028,62.5 3.5 90 2383.393</v>
      </c>
      <c r="AZ114" s="42" t="str">
        <f t="shared" si="54"/>
        <v>-text 10976.9192064028,23.5 3.5 90 马分10+976.92</v>
      </c>
    </row>
    <row r="115" spans="1:206" s="42" customFormat="1" x14ac:dyDescent="0.25">
      <c r="A115" s="80">
        <v>6</v>
      </c>
      <c r="B115" s="76" t="str">
        <f>线路!B112</f>
        <v>IP80</v>
      </c>
      <c r="C115" s="81">
        <f>线路!E112</f>
        <v>447792.09259999997</v>
      </c>
      <c r="D115" s="81">
        <f>线路!F112</f>
        <v>3039589.8476999998</v>
      </c>
      <c r="E115" s="85">
        <f>线路!G112</f>
        <v>12</v>
      </c>
      <c r="F115" s="85">
        <f>线路!H112</f>
        <v>47.374000000000002</v>
      </c>
      <c r="G115" s="86">
        <f>线路!L112</f>
        <v>11023.631226195837</v>
      </c>
      <c r="H115" s="86">
        <f>线路!M112</f>
        <v>11028.592219874876</v>
      </c>
      <c r="I115" s="86">
        <f>线路!N112</f>
        <v>11033.553213553914</v>
      </c>
      <c r="J115" s="83">
        <f t="shared" si="32"/>
        <v>9.9219873580768763</v>
      </c>
      <c r="K115" s="83">
        <f t="shared" si="42"/>
        <v>51.673013472080129</v>
      </c>
      <c r="L115" s="83">
        <f>IF(A115=1,断面设计!$D$7,IF(A115=2,断面设计!$D$8,IF(A115=3,断面设计!$D$9,IF(A115=4,断面设计!$D$10,IF(A115=5,断面设计!$D$11,IF(A115=6,断面设计!$D$12,IF(A115=7,断面设计!$D$13,IF(A115=8,断面设计!$D$14,IF(A115=9,断面设计!$D$15,IF(A115=10,断面设计!$D$16))))))))))</f>
        <v>1.2</v>
      </c>
      <c r="M115" s="83">
        <f t="shared" si="43"/>
        <v>1.2</v>
      </c>
      <c r="N115" s="110">
        <f t="shared" si="50"/>
        <v>1.4999999999999999E-2</v>
      </c>
      <c r="O115" s="83">
        <f>IF(A115=1,断面设计!$J$7,IF(A115=2,断面设计!$J$8,IF(A115=3,断面设计!$J$9,IF(A115=4,断面设计!$J$10,IF(A115=5,断面设计!$J$11,IF(A115=6,断面设计!$J$12,IF(A115=7,断面设计!$J$13,IF(A115=8,断面设计!$J$14,IF(A115=9,断面设计!$J$15,IF(A115=10,断面设计!$J$16))))))))))</f>
        <v>5000</v>
      </c>
      <c r="P115" s="111">
        <f>IF(A115=1,断面设计!$K$7,IF(A115=2,断面设计!$K$8,IF(A115=3,断面设计!$K$9,IF(A115=4,断面设计!$K$10,IF(A115=5,断面设计!$K$11,IF(A115=6,断面设计!$K$12,IF(A115=7,断面设计!$K$13,IF(A115=8,断面设计!$K$14,IF(A115=9,断面设计!$K$15,IF(A115=10,断面设计!$K$16))))))))))</f>
        <v>3.1003625801059727</v>
      </c>
      <c r="Q115" s="110">
        <f>IF(A115=1,断面设计!$C$7,IF(A115=2,断面设计!$C$8,IF(A115=3,断面设计!$C$9,IF(A115=4,断面设计!$C$10,IF(A115=5,断面设计!$C$11,IF(A115=6,断面设计!$C$12,IF(A115=7,断面设计!$C$13,IF(A115=8,断面设计!$C$14,IF(A115=9,断面设计!$C$15,IF(A115=10,断面设计!$C$16))))))))))</f>
        <v>1.40797130701961</v>
      </c>
      <c r="R115" s="83">
        <f>IF(A115=1,断面设计!$F$7,IF(A115=2,断面设计!$F$8,IF(A115=3,断面设计!$F$9,IF(A115=4,断面设计!$F$10,IF(A115=5,断面设计!$F$11,IF(A115=6,断面设计!$F$12,IF(A115=7,断面设计!$F$13,IF(A115=8,断面设计!$F$14,IF(A115=9,断面设计!$F$15,IF(A115=10,断面设计!$F$16))))))))))</f>
        <v>4.0684254100921429</v>
      </c>
      <c r="S115" s="83">
        <f>IF(A115=1,断面设计!$G$7,IF(A115=2,断面设计!$G$8,IF(A115=3,断面设计!$G$9,IF(A115=4,断面设计!$G$10,IF(A115=5,断面设计!$G$11,IF(A115=6,断面设计!$G$12,IF(A115=7,断面设计!$G$13,IF(A115=8,断面设计!$G$14,IF(A115=9,断面设计!$G$15,IF(A115=10,断面设计!$G$16))))))))))</f>
        <v>5.5986429777343112</v>
      </c>
      <c r="T115" s="83">
        <f t="shared" si="44"/>
        <v>0.72668063069429278</v>
      </c>
      <c r="U115" s="83">
        <f t="shared" si="45"/>
        <v>0.76205466921310838</v>
      </c>
      <c r="V115" s="123">
        <f t="shared" si="46"/>
        <v>1.016053757626742E-3</v>
      </c>
      <c r="W115" s="127"/>
      <c r="X115" s="110">
        <f>IF(AN115=0,IF(AN114=2,(H115-H114-AE114)/O115,(H115-H114)/O115),IF(AN115=1,IF(AN114=2,IF(AE115&lt;9,(H115-H114-AE115-AE114)/断面设计!$J$7,(H115-H114-AE115-AE114)/断面设计!$J$7),(H115-H114-AE115)/O114),(H115-H114)/O115))</f>
        <v>1.0334602694416026E-2</v>
      </c>
      <c r="Y115" s="133">
        <v>0</v>
      </c>
      <c r="Z115" s="134">
        <f t="shared" si="51"/>
        <v>0</v>
      </c>
      <c r="AA115" s="142"/>
      <c r="AB115" s="133">
        <f t="shared" si="33"/>
        <v>1.40797130701961</v>
      </c>
      <c r="AC115" s="110">
        <f t="shared" si="34"/>
        <v>1.1350656452042768E-2</v>
      </c>
      <c r="AD115" s="110">
        <f t="shared" ca="1" si="47"/>
        <v>2383.3813553547911</v>
      </c>
      <c r="AE115" s="82">
        <f t="shared" si="48"/>
        <v>0</v>
      </c>
      <c r="AF115" s="110" t="str">
        <f t="shared" si="35"/>
        <v xml:space="preserve"> </v>
      </c>
      <c r="AG115" s="110" t="str">
        <f>IF(AE115=0," ",AF115-断面设计!$C$7)</f>
        <v xml:space="preserve"> </v>
      </c>
      <c r="AH115" s="110">
        <f t="shared" ca="1" si="36"/>
        <v>2383.3833636072845</v>
      </c>
      <c r="AI115" s="110">
        <f t="shared" ca="1" si="37"/>
        <v>2381.975392300265</v>
      </c>
      <c r="AJ115" s="110">
        <f t="shared" ca="1" si="38"/>
        <v>2383.3803631560554</v>
      </c>
      <c r="AK115" s="110">
        <f t="shared" ca="1" si="39"/>
        <v>2381.9723918490358</v>
      </c>
      <c r="AL115" s="110">
        <f t="shared" ca="1" si="40"/>
        <v>2383.38186338167</v>
      </c>
      <c r="AM115" s="110">
        <f t="shared" ca="1" si="41"/>
        <v>2381.9738920746504</v>
      </c>
      <c r="AN115" s="127"/>
      <c r="AO115" s="80">
        <v>0</v>
      </c>
      <c r="AU115" s="64" t="str">
        <f t="shared" ca="1" si="49"/>
        <v>11028.5922198749,2381.97389207465</v>
      </c>
      <c r="AV115" s="64" t="str">
        <f t="shared" ca="1" si="55"/>
        <v>11028.5922198749,2383.38186338167</v>
      </c>
      <c r="AW115" s="169" t="str">
        <f t="shared" si="56"/>
        <v xml:space="preserve">pl 11028.5922198749,0 11028.5922198749,76 </v>
      </c>
      <c r="AX115" s="161" t="str">
        <f t="shared" ca="1" si="52"/>
        <v>-text 11028.5922198749,48 3.5 90 2381.974</v>
      </c>
      <c r="AY115" s="161" t="str">
        <f t="shared" ca="1" si="53"/>
        <v>-text 11028.5922198749,62.5 3.5 90 2383.382</v>
      </c>
      <c r="AZ115" s="42" t="str">
        <f t="shared" si="54"/>
        <v>-text 11028.5922198749,23.5 3.5 90 马分11+028.59</v>
      </c>
    </row>
    <row r="116" spans="1:206" s="42" customFormat="1" x14ac:dyDescent="0.25">
      <c r="A116" s="80">
        <v>6</v>
      </c>
      <c r="B116" s="76" t="str">
        <f>线路!B113</f>
        <v>IP81</v>
      </c>
      <c r="C116" s="81">
        <f>线路!E113</f>
        <v>447767.32900000003</v>
      </c>
      <c r="D116" s="81">
        <f>线路!F113</f>
        <v>3039556.5726999999</v>
      </c>
      <c r="E116" s="85">
        <f>线路!G113</f>
        <v>12</v>
      </c>
      <c r="F116" s="85">
        <f>线路!H113</f>
        <v>40.201000000000001</v>
      </c>
      <c r="G116" s="86">
        <f>线路!L113</f>
        <v>11065.37578006378</v>
      </c>
      <c r="H116" s="86">
        <f>线路!M113</f>
        <v>11069.585618939345</v>
      </c>
      <c r="I116" s="86">
        <f>线路!N113</f>
        <v>11073.795457814911</v>
      </c>
      <c r="J116" s="83">
        <f t="shared" si="32"/>
        <v>8.4196777511315304</v>
      </c>
      <c r="K116" s="83">
        <f t="shared" si="42"/>
        <v>40.993399064469486</v>
      </c>
      <c r="L116" s="83">
        <f>IF(A116=1,断面设计!$D$7,IF(A116=2,断面设计!$D$8,IF(A116=3,断面设计!$D$9,IF(A116=4,断面设计!$D$10,IF(A116=5,断面设计!$D$11,IF(A116=6,断面设计!$D$12,IF(A116=7,断面设计!$D$13,IF(A116=8,断面设计!$D$14,IF(A116=9,断面设计!$D$15,IF(A116=10,断面设计!$D$16))))))))))</f>
        <v>1.2</v>
      </c>
      <c r="M116" s="83">
        <f t="shared" si="43"/>
        <v>1.2</v>
      </c>
      <c r="N116" s="110">
        <f t="shared" si="50"/>
        <v>1.4999999999999999E-2</v>
      </c>
      <c r="O116" s="83">
        <f>IF(A116=1,断面设计!$J$7,IF(A116=2,断面设计!$J$8,IF(A116=3,断面设计!$J$9,IF(A116=4,断面设计!$J$10,IF(A116=5,断面设计!$J$11,IF(A116=6,断面设计!$J$12,IF(A116=7,断面设计!$J$13,IF(A116=8,断面设计!$J$14,IF(A116=9,断面设计!$J$15,IF(A116=10,断面设计!$J$16))))))))))</f>
        <v>5000</v>
      </c>
      <c r="P116" s="111">
        <f>IF(A116=1,断面设计!$K$7,IF(A116=2,断面设计!$K$8,IF(A116=3,断面设计!$K$9,IF(A116=4,断面设计!$K$10,IF(A116=5,断面设计!$K$11,IF(A116=6,断面设计!$K$12,IF(A116=7,断面设计!$K$13,IF(A116=8,断面设计!$K$14,IF(A116=9,断面设计!$K$15,IF(A116=10,断面设计!$K$16))))))))))</f>
        <v>3.1003625801059727</v>
      </c>
      <c r="Q116" s="110">
        <f>IF(A116=1,断面设计!$C$7,IF(A116=2,断面设计!$C$8,IF(A116=3,断面设计!$C$9,IF(A116=4,断面设计!$C$10,IF(A116=5,断面设计!$C$11,IF(A116=6,断面设计!$C$12,IF(A116=7,断面设计!$C$13,IF(A116=8,断面设计!$C$14,IF(A116=9,断面设计!$C$15,IF(A116=10,断面设计!$C$16))))))))))</f>
        <v>1.40797130701961</v>
      </c>
      <c r="R116" s="83">
        <f>IF(A116=1,断面设计!$F$7,IF(A116=2,断面设计!$F$8,IF(A116=3,断面设计!$F$9,IF(A116=4,断面设计!$F$10,IF(A116=5,断面设计!$F$11,IF(A116=6,断面设计!$F$12,IF(A116=7,断面设计!$F$13,IF(A116=8,断面设计!$F$14,IF(A116=9,断面设计!$F$15,IF(A116=10,断面设计!$F$16))))))))))</f>
        <v>4.0684254100921429</v>
      </c>
      <c r="S116" s="83">
        <f>IF(A116=1,断面设计!$G$7,IF(A116=2,断面设计!$G$8,IF(A116=3,断面设计!$G$9,IF(A116=4,断面设计!$G$10,IF(A116=5,断面设计!$G$11,IF(A116=6,断面设计!$G$12,IF(A116=7,断面设计!$G$13,IF(A116=8,断面设计!$G$14,IF(A116=9,断面设计!$G$15,IF(A116=10,断面设计!$G$16))))))))))</f>
        <v>5.5986429777343112</v>
      </c>
      <c r="T116" s="83">
        <f t="shared" si="44"/>
        <v>0.72668063069429278</v>
      </c>
      <c r="U116" s="83">
        <f t="shared" si="45"/>
        <v>0.76205466921310838</v>
      </c>
      <c r="V116" s="123">
        <f t="shared" si="46"/>
        <v>8.6221085638448218E-4</v>
      </c>
      <c r="W116" s="110"/>
      <c r="X116" s="110">
        <f>IF(AN116=0,IF(AN115=2,(H116-H115-AE115)/O116,(H116-H115)/O116),IF(AN116=1,IF(AN115=2,IF(AE116&lt;9,(H116-H115-AE116-AE115)/断面设计!$J$7,(H116-H115-AE116-AE115)/断面设计!$J$7),(H116-H115-AE116)/O115),(H116-H115)/O116))</f>
        <v>8.1986798128938967E-3</v>
      </c>
      <c r="Y116" s="133">
        <v>0</v>
      </c>
      <c r="Z116" s="134">
        <f t="shared" si="51"/>
        <v>0</v>
      </c>
      <c r="AA116" s="142"/>
      <c r="AB116" s="133">
        <f t="shared" si="33"/>
        <v>1.40797130701961</v>
      </c>
      <c r="AC116" s="110">
        <f t="shared" si="34"/>
        <v>9.0608906692783795E-3</v>
      </c>
      <c r="AD116" s="110">
        <f t="shared" ca="1" si="47"/>
        <v>2383.3722944641218</v>
      </c>
      <c r="AE116" s="82">
        <f t="shared" si="48"/>
        <v>0</v>
      </c>
      <c r="AF116" s="110" t="str">
        <f t="shared" si="35"/>
        <v xml:space="preserve"> </v>
      </c>
      <c r="AG116" s="110" t="str">
        <f>IF(AE116=0," ",AF116-断面设计!$C$12)</f>
        <v xml:space="preserve"> </v>
      </c>
      <c r="AH116" s="110">
        <f t="shared" ca="1" si="36"/>
        <v>2383.3739986427531</v>
      </c>
      <c r="AI116" s="110">
        <f t="shared" ca="1" si="37"/>
        <v>2381.9660273357335</v>
      </c>
      <c r="AJ116" s="110">
        <f t="shared" ca="1" si="38"/>
        <v>2383.3714524963466</v>
      </c>
      <c r="AK116" s="110">
        <f t="shared" ca="1" si="39"/>
        <v>2381.963481189327</v>
      </c>
      <c r="AL116" s="110">
        <f t="shared" ca="1" si="40"/>
        <v>2383.3727255695499</v>
      </c>
      <c r="AM116" s="110">
        <f t="shared" ca="1" si="41"/>
        <v>2381.9647542625303</v>
      </c>
      <c r="AN116" s="127"/>
      <c r="AO116" s="80">
        <v>0</v>
      </c>
      <c r="AU116" s="64" t="str">
        <f t="shared" ca="1" si="49"/>
        <v>11069.5856189393,2381.96475426253</v>
      </c>
      <c r="AV116" s="64" t="str">
        <f t="shared" ca="1" si="55"/>
        <v>11069.5856189393,2383.37272556955</v>
      </c>
      <c r="AW116" s="169" t="str">
        <f t="shared" si="56"/>
        <v xml:space="preserve">pl 11069.5856189393,0 11069.5856189393,76 </v>
      </c>
      <c r="AX116" s="161" t="str">
        <f t="shared" ca="1" si="52"/>
        <v>-text 11069.5856189393,48 3.5 90 2381.965</v>
      </c>
      <c r="AY116" s="161" t="str">
        <f t="shared" ca="1" si="53"/>
        <v>-text 11069.5856189393,62.5 3.5 90 2383.373</v>
      </c>
      <c r="AZ116" s="42" t="str">
        <f t="shared" si="54"/>
        <v>-text 11069.5856189393,23.5 3.5 90 马分11+069.59</v>
      </c>
    </row>
    <row r="117" spans="1:206" s="42" customFormat="1" x14ac:dyDescent="0.25">
      <c r="A117" s="80">
        <v>6</v>
      </c>
      <c r="B117" s="76" t="str">
        <f>线路!B114</f>
        <v>IP82</v>
      </c>
      <c r="C117" s="81">
        <f>线路!E114</f>
        <v>447735.00780000002</v>
      </c>
      <c r="D117" s="81">
        <f>线路!F114</f>
        <v>3039549.0263999999</v>
      </c>
      <c r="E117" s="85">
        <f>线路!G114</f>
        <v>12</v>
      </c>
      <c r="F117" s="85">
        <f>线路!H114</f>
        <v>49.746000000000002</v>
      </c>
      <c r="G117" s="86">
        <f>线路!L114</f>
        <v>11097.031079601376</v>
      </c>
      <c r="H117" s="86">
        <f>线路!M114</f>
        <v>11102.24046853956</v>
      </c>
      <c r="I117" s="86">
        <f>线路!N114</f>
        <v>11107.449857477741</v>
      </c>
      <c r="J117" s="83">
        <f t="shared" si="32"/>
        <v>10.418777876364402</v>
      </c>
      <c r="K117" s="83">
        <f t="shared" si="42"/>
        <v>32.65484960021422</v>
      </c>
      <c r="L117" s="83">
        <f>IF(A117=1,断面设计!$D$7,IF(A117=2,断面设计!$D$8,IF(A117=3,断面设计!$D$9,IF(A117=4,断面设计!$D$10,IF(A117=5,断面设计!$D$11,IF(A117=6,断面设计!$D$12,IF(A117=7,断面设计!$D$13,IF(A117=8,断面设计!$D$14,IF(A117=9,断面设计!$D$15,IF(A117=10,断面设计!$D$16))))))))))</f>
        <v>1.2</v>
      </c>
      <c r="M117" s="83">
        <f t="shared" si="43"/>
        <v>1.2</v>
      </c>
      <c r="N117" s="110">
        <f t="shared" si="50"/>
        <v>1.4999999999999999E-2</v>
      </c>
      <c r="O117" s="83">
        <f>IF(A117=1,断面设计!$J$7,IF(A117=2,断面设计!$J$8,IF(A117=3,断面设计!$J$9,IF(A117=4,断面设计!$J$10,IF(A117=5,断面设计!$J$11,IF(A117=6,断面设计!$J$12,IF(A117=7,断面设计!$J$13,IF(A117=8,断面设计!$J$14,IF(A117=9,断面设计!$J$15,IF(A117=10,断面设计!$J$16))))))))))</f>
        <v>5000</v>
      </c>
      <c r="P117" s="111">
        <f>IF(A117=1,断面设计!$K$7,IF(A117=2,断面设计!$K$8,IF(A117=3,断面设计!$K$9,IF(A117=4,断面设计!$K$10,IF(A117=5,断面设计!$K$11,IF(A117=6,断面设计!$K$12,IF(A117=7,断面设计!$K$13,IF(A117=8,断面设计!$K$14,IF(A117=9,断面设计!$K$15,IF(A117=10,断面设计!$K$16))))))))))</f>
        <v>3.1003625801059727</v>
      </c>
      <c r="Q117" s="110">
        <f>IF(A117=1,断面设计!$C$7,IF(A117=2,断面设计!$C$8,IF(A117=3,断面设计!$C$9,IF(A117=4,断面设计!$C$10,IF(A117=5,断面设计!$C$11,IF(A117=6,断面设计!$C$12,IF(A117=7,断面设计!$C$13,IF(A117=8,断面设计!$C$14,IF(A117=9,断面设计!$C$15,IF(A117=10,断面设计!$C$16))))))))))</f>
        <v>1.40797130701961</v>
      </c>
      <c r="R117" s="83">
        <f>IF(A117=1,断面设计!$F$7,IF(A117=2,断面设计!$F$8,IF(A117=3,断面设计!$F$9,IF(A117=4,断面设计!$F$10,IF(A117=5,断面设计!$F$11,IF(A117=6,断面设计!$F$12,IF(A117=7,断面设计!$F$13,IF(A117=8,断面设计!$F$14,IF(A117=9,断面设计!$F$15,IF(A117=10,断面设计!$F$16))))))))))</f>
        <v>4.0684254100921429</v>
      </c>
      <c r="S117" s="83">
        <f>IF(A117=1,断面设计!$G$7,IF(A117=2,断面设计!$G$8,IF(A117=3,断面设计!$G$9,IF(A117=4,断面设计!$G$10,IF(A117=5,断面设计!$G$11,IF(A117=6,断面设计!$G$12,IF(A117=7,断面设计!$G$13,IF(A117=8,断面设计!$G$14,IF(A117=9,断面设计!$G$15,IF(A117=10,断面设计!$G$16))))))))))</f>
        <v>5.5986429777343112</v>
      </c>
      <c r="T117" s="83">
        <f t="shared" si="44"/>
        <v>0.72668063069429278</v>
      </c>
      <c r="U117" s="83">
        <f t="shared" si="45"/>
        <v>0.76205466921310838</v>
      </c>
      <c r="V117" s="123">
        <f t="shared" si="46"/>
        <v>1.0669272222505884E-3</v>
      </c>
      <c r="W117" s="127"/>
      <c r="X117" s="110">
        <f>IF(AN117=0,IF(AN116=2,(H117-H116-AE116)/O117,(H117-H116)/O117),IF(AN117=1,IF(AN116=2,IF(AE117&lt;9,(H117-H116-AE117-AE116)/断面设计!$J$7,(H117-H116-AE117-AE116)/断面设计!$J$7),(H117-H116-AE117)/O116),(H117-H116)/O117))</f>
        <v>6.5309699200428442E-3</v>
      </c>
      <c r="Y117" s="133">
        <v>0</v>
      </c>
      <c r="Z117" s="134">
        <f t="shared" si="51"/>
        <v>0</v>
      </c>
      <c r="AA117" s="142"/>
      <c r="AB117" s="133">
        <f t="shared" si="33"/>
        <v>1.40797130701961</v>
      </c>
      <c r="AC117" s="110">
        <f t="shared" si="34"/>
        <v>7.5978971422934324E-3</v>
      </c>
      <c r="AD117" s="110">
        <f t="shared" ca="1" si="47"/>
        <v>2383.3646965669795</v>
      </c>
      <c r="AE117" s="82">
        <f t="shared" si="48"/>
        <v>0</v>
      </c>
      <c r="AF117" s="110" t="str">
        <f t="shared" si="35"/>
        <v xml:space="preserve"> </v>
      </c>
      <c r="AG117" s="110" t="str">
        <f>IF(AE117=0," ",AF117-断面设计!$C$7)</f>
        <v xml:space="preserve"> </v>
      </c>
      <c r="AH117" s="110">
        <f t="shared" ca="1" si="36"/>
        <v>2383.3668053719894</v>
      </c>
      <c r="AI117" s="110">
        <f t="shared" ca="1" si="37"/>
        <v>2381.9588340649698</v>
      </c>
      <c r="AJ117" s="110">
        <f t="shared" ca="1" si="38"/>
        <v>2383.3636546891921</v>
      </c>
      <c r="AK117" s="110">
        <f t="shared" ca="1" si="39"/>
        <v>2381.9556833821725</v>
      </c>
      <c r="AL117" s="110">
        <f t="shared" ca="1" si="40"/>
        <v>2383.3652300305907</v>
      </c>
      <c r="AM117" s="110">
        <f t="shared" ca="1" si="41"/>
        <v>2381.9572587235712</v>
      </c>
      <c r="AN117" s="127"/>
      <c r="AO117" s="80">
        <v>0</v>
      </c>
      <c r="AU117" s="64" t="str">
        <f t="shared" ca="1" si="49"/>
        <v>11102.2404685396,2381.95725872357</v>
      </c>
      <c r="AV117" s="64" t="str">
        <f t="shared" ca="1" si="55"/>
        <v>11102.2404685396,2383.36523003059</v>
      </c>
      <c r="AW117" s="169" t="str">
        <f t="shared" si="56"/>
        <v xml:space="preserve">pl 11102.2404685396,0 11102.2404685396,76 </v>
      </c>
      <c r="AX117" s="161" t="str">
        <f t="shared" ca="1" si="52"/>
        <v>-text 11102.2404685396,48 3.5 90 2381.957</v>
      </c>
      <c r="AY117" s="161" t="str">
        <f t="shared" ca="1" si="53"/>
        <v>-text 11102.2404685396,62.5 3.5 90 2383.365</v>
      </c>
      <c r="AZ117" s="42" t="str">
        <f t="shared" si="54"/>
        <v>-text 11102.2404685396,23.5 3.5 90 马分11+102.24</v>
      </c>
    </row>
    <row r="118" spans="1:206" s="42" customFormat="1" x14ac:dyDescent="0.25">
      <c r="A118" s="80">
        <v>6</v>
      </c>
      <c r="B118" s="76" t="str">
        <f>线路!B115</f>
        <v>IP83</v>
      </c>
      <c r="C118" s="81">
        <f>线路!E115</f>
        <v>447732.17320000002</v>
      </c>
      <c r="D118" s="81">
        <f>线路!F115</f>
        <v>3039543.4901000001</v>
      </c>
      <c r="E118" s="85">
        <f>线路!G115</f>
        <v>0</v>
      </c>
      <c r="F118" s="85">
        <f>线路!H115</f>
        <v>1E-3</v>
      </c>
      <c r="G118" s="86">
        <f>线路!L115</f>
        <v>11108.106287630348</v>
      </c>
      <c r="H118" s="86">
        <f>线路!M115</f>
        <v>11108.106287630348</v>
      </c>
      <c r="I118" s="86">
        <f>线路!N115</f>
        <v>11108.106287630348</v>
      </c>
      <c r="J118" s="83">
        <f t="shared" si="32"/>
        <v>0</v>
      </c>
      <c r="K118" s="83">
        <f t="shared" si="42"/>
        <v>5.8658190907881362</v>
      </c>
      <c r="L118" s="83">
        <f>IF(A118=1,断面设计!$D$7,IF(A118=2,断面设计!$D$8,IF(A118=3,断面设计!$D$9,IF(A118=4,断面设计!$D$10,IF(A118=5,断面设计!$D$11,IF(A118=6,断面设计!$D$12,IF(A118=7,断面设计!$D$13,IF(A118=8,断面设计!$D$14,IF(A118=9,断面设计!$D$15,IF(A118=10,断面设计!$D$16))))))))))</f>
        <v>1.2</v>
      </c>
      <c r="M118" s="83">
        <f t="shared" si="43"/>
        <v>1.2</v>
      </c>
      <c r="N118" s="110">
        <f t="shared" si="50"/>
        <v>1.4999999999999999E-2</v>
      </c>
      <c r="O118" s="83">
        <f>IF(A118=1,断面设计!$J$7,IF(A118=2,断面设计!$J$8,IF(A118=3,断面设计!$J$9,IF(A118=4,断面设计!$J$10,IF(A118=5,断面设计!$J$11,IF(A118=6,断面设计!$J$12,IF(A118=7,断面设计!$J$13,IF(A118=8,断面设计!$J$14,IF(A118=9,断面设计!$J$15,IF(A118=10,断面设计!$J$16))))))))))</f>
        <v>5000</v>
      </c>
      <c r="P118" s="111">
        <f>IF(A118=1,断面设计!$K$7,IF(A118=2,断面设计!$K$8,IF(A118=3,断面设计!$K$9,IF(A118=4,断面设计!$K$10,IF(A118=5,断面设计!$K$11,IF(A118=6,断面设计!$K$12,IF(A118=7,断面设计!$K$13,IF(A118=8,断面设计!$K$14,IF(A118=9,断面设计!$K$15,IF(A118=10,断面设计!$K$16))))))))))</f>
        <v>3.1003625801059727</v>
      </c>
      <c r="Q118" s="110">
        <f>IF(A118=1,断面设计!$C$7,IF(A118=2,断面设计!$C$8,IF(A118=3,断面设计!$C$9,IF(A118=4,断面设计!$C$10,IF(A118=5,断面设计!$C$11,IF(A118=6,断面设计!$C$12,IF(A118=7,断面设计!$C$13,IF(A118=8,断面设计!$C$14,IF(A118=9,断面设计!$C$15,IF(A118=10,断面设计!$C$16))))))))))</f>
        <v>1.40797130701961</v>
      </c>
      <c r="R118" s="83">
        <f>IF(A118=1,断面设计!$F$7,IF(A118=2,断面设计!$F$8,IF(A118=3,断面设计!$F$9,IF(A118=4,断面设计!$F$10,IF(A118=5,断面设计!$F$11,IF(A118=6,断面设计!$F$12,IF(A118=7,断面设计!$F$13,IF(A118=8,断面设计!$F$14,IF(A118=9,断面设计!$F$15,IF(A118=10,断面设计!$F$16))))))))))</f>
        <v>4.0684254100921429</v>
      </c>
      <c r="S118" s="83">
        <f>IF(A118=1,断面设计!$G$7,IF(A118=2,断面设计!$G$8,IF(A118=3,断面设计!$G$9,IF(A118=4,断面设计!$G$10,IF(A118=5,断面设计!$G$11,IF(A118=6,断面设计!$G$12,IF(A118=7,断面设计!$G$13,IF(A118=8,断面设计!$G$14,IF(A118=9,断面设计!$G$15,IF(A118=10,断面设计!$G$16))))))))))</f>
        <v>5.5986429777343112</v>
      </c>
      <c r="T118" s="83">
        <f t="shared" si="44"/>
        <v>0.72668063069429278</v>
      </c>
      <c r="U118" s="83">
        <f t="shared" si="45"/>
        <v>0.76205466921310838</v>
      </c>
      <c r="V118" s="123"/>
      <c r="W118" s="127"/>
      <c r="X118" s="110">
        <f>IF(AN118=0,IF(AN117=2,(H118-H117-AE117)/O118,(H118-H117)/O118),IF(AN118=1,IF(AN117=2,IF(AE118&lt;9,(H118-H117-AE118-AE117)/断面设计!$J$7,(H118-H117-AE118-AE117)/断面设计!$J$7),(H118-H117-AE118)/O117),(H118-H117)/O118))</f>
        <v>1.1731638181576272E-3</v>
      </c>
      <c r="Y118" s="133">
        <v>0</v>
      </c>
      <c r="Z118" s="134">
        <f t="shared" si="51"/>
        <v>0</v>
      </c>
      <c r="AA118" s="142"/>
      <c r="AB118" s="133">
        <f t="shared" si="33"/>
        <v>1.40797130701961</v>
      </c>
      <c r="AC118" s="110">
        <f t="shared" si="34"/>
        <v>1.1731638181576272E-3</v>
      </c>
      <c r="AD118" s="110">
        <f t="shared" ca="1" si="47"/>
        <v>2383.3635234031613</v>
      </c>
      <c r="AE118" s="82">
        <f t="shared" si="48"/>
        <v>0</v>
      </c>
      <c r="AF118" s="110" t="str">
        <f t="shared" si="35"/>
        <v xml:space="preserve"> </v>
      </c>
      <c r="AG118" s="110" t="str">
        <f>IF(AE118=0," ",AF118-断面设计!$C$7)</f>
        <v xml:space="preserve"> </v>
      </c>
      <c r="AH118" s="110" t="str">
        <f t="shared" si="36"/>
        <v xml:space="preserve"> </v>
      </c>
      <c r="AI118" s="110" t="str">
        <f t="shared" si="37"/>
        <v xml:space="preserve"> </v>
      </c>
      <c r="AJ118" s="110" t="str">
        <f t="shared" si="38"/>
        <v xml:space="preserve"> </v>
      </c>
      <c r="AK118" s="110" t="str">
        <f t="shared" si="39"/>
        <v xml:space="preserve"> </v>
      </c>
      <c r="AL118" s="110">
        <f t="shared" ca="1" si="40"/>
        <v>2383.3635234031613</v>
      </c>
      <c r="AM118" s="110">
        <f t="shared" ca="1" si="41"/>
        <v>2381.9555520961417</v>
      </c>
      <c r="AN118" s="127"/>
      <c r="AO118" s="80">
        <v>0</v>
      </c>
      <c r="AU118" s="64" t="str">
        <f t="shared" ca="1" si="49"/>
        <v>11108.1062876303,2381.95555209614</v>
      </c>
      <c r="AV118" s="64" t="str">
        <f t="shared" ca="1" si="55"/>
        <v>11108.1062876303,2383.36352340316</v>
      </c>
      <c r="AW118" s="169" t="str">
        <f t="shared" si="56"/>
        <v xml:space="preserve">pl 11108.1062876303,0 11108.1062876303,76 </v>
      </c>
      <c r="AX118" s="161" t="str">
        <f t="shared" ca="1" si="52"/>
        <v>-text 11108.1062876303,48 3.5 90 2381.956</v>
      </c>
      <c r="AY118" s="161" t="str">
        <f t="shared" ca="1" si="53"/>
        <v>-text 11108.1062876303,62.5 3.5 90 2383.364</v>
      </c>
      <c r="AZ118" s="42" t="str">
        <f t="shared" si="54"/>
        <v>-text 11108.1062876303,23.5 3.5 90 马分11+108.11</v>
      </c>
    </row>
    <row r="119" spans="1:206" s="56" customFormat="1" x14ac:dyDescent="0.25">
      <c r="A119" s="97">
        <v>6</v>
      </c>
      <c r="B119" s="98" t="str">
        <f>线路!B116</f>
        <v>4#渡槽进</v>
      </c>
      <c r="C119" s="99">
        <f>线路!E116</f>
        <v>447729.43939999997</v>
      </c>
      <c r="D119" s="99">
        <f>线路!F116</f>
        <v>3039538.1505</v>
      </c>
      <c r="E119" s="100">
        <f>线路!G116</f>
        <v>0</v>
      </c>
      <c r="F119" s="100">
        <f>线路!H116</f>
        <v>0</v>
      </c>
      <c r="G119" s="101">
        <f>线路!L116</f>
        <v>11114.105036716694</v>
      </c>
      <c r="H119" s="101">
        <f>线路!M116</f>
        <v>11114.105036716694</v>
      </c>
      <c r="I119" s="101">
        <f>线路!N116</f>
        <v>11114.105036716694</v>
      </c>
      <c r="J119" s="118">
        <f t="shared" si="32"/>
        <v>0</v>
      </c>
      <c r="K119" s="118">
        <f t="shared" si="42"/>
        <v>5.9987490863459243</v>
      </c>
      <c r="L119" s="118">
        <f>IF(A119=1,断面设计!$D$7,IF(A119=2,断面设计!$D$8,IF(A119=3,断面设计!$D$9,IF(A119=4,断面设计!$D$10,IF(A119=5,断面设计!$D$11,IF(A119=6,断面设计!$D$12,IF(A119=7,断面设计!$D$13,IF(A119=8,断面设计!$D$14,IF(A119=9,断面设计!$D$15,IF(A119=10,断面设计!$D$16))))))))))</f>
        <v>1.2</v>
      </c>
      <c r="M119" s="118">
        <f t="shared" si="43"/>
        <v>0</v>
      </c>
      <c r="N119" s="119">
        <f t="shared" si="50"/>
        <v>1.4E-2</v>
      </c>
      <c r="O119" s="118">
        <f>IF(A119=2,断面设计!$H$22,IF(A119=3,断面设计!$H$23,IF(A119=6,断面设计!$H$24)))</f>
        <v>2000</v>
      </c>
      <c r="P119" s="120">
        <f>IF(A119=1,断面设计!$K$7,IF(A119=2,断面设计!$K$8,IF(A119=3,断面设计!$K$9,IF(A119=4,断面设计!$K$10,IF(A119=5,断面设计!$K$11,IF(A119=6,断面设计!$K$12,IF(A119=7,断面设计!$K$13,IF(A119=8,断面设计!$K$14,IF(A119=9,断面设计!$K$15,IF(A119=10,断面设计!$K$16))))))))))</f>
        <v>3.1003625801059727</v>
      </c>
      <c r="Q119" s="119">
        <f>IF(A119=2,断面设计!$C$22,IF(A119=3,断面设计!$C$23,IF(A119=6,断面设计!$C$24)))</f>
        <v>1.4272096431532699</v>
      </c>
      <c r="R119" s="118">
        <f>IF(A119=2,断面设计!$E$22,IF(A119=3,断面设计!$E$23,IF(A119=6,断面设计!$E$24)))</f>
        <v>2.6205247703590189</v>
      </c>
      <c r="S119" s="118">
        <f>IF(A119=2,断面设计!$R$22,IF(A119=3,断面设计!$R$23,IF(A119=6,断面设计!$R$24)))</f>
        <v>4.1101712052553125</v>
      </c>
      <c r="T119" s="118">
        <f t="shared" si="44"/>
        <v>0.63757070922213299</v>
      </c>
      <c r="U119" s="118">
        <f t="shared" si="45"/>
        <v>1.1831075268489886</v>
      </c>
      <c r="V119" s="126"/>
      <c r="W119" s="119">
        <f>1.15*(U119^2/2-U118^2/2)/9.81</f>
        <v>4.8005530907228068E-2</v>
      </c>
      <c r="X119" s="119">
        <f>IF(AN119=0,IF(AN118=2,(H119-H118-AE118)/O119,(H119-H118)/O119),IF(AN119=1,IF(AN118=2,IF(AE119&lt;9,(H119-H118-AE119-AE118)/断面设计!$J$7,(H119-H118-AE119-AE118)/断面设计!$J$7),(H119-H118-AE119)/O118),(H119-H118)/O119))</f>
        <v>-2.5018273081514055E-7</v>
      </c>
      <c r="Y119" s="144">
        <v>0</v>
      </c>
      <c r="Z119" s="145">
        <f t="shared" si="51"/>
        <v>0</v>
      </c>
      <c r="AA119" s="146"/>
      <c r="AB119" s="144">
        <f t="shared" si="33"/>
        <v>1.4272096431532699</v>
      </c>
      <c r="AC119" s="119">
        <f t="shared" si="34"/>
        <v>4.8005280724497251E-2</v>
      </c>
      <c r="AD119" s="119">
        <f t="shared" ca="1" si="47"/>
        <v>2383.315518122437</v>
      </c>
      <c r="AE119" s="147">
        <v>6</v>
      </c>
      <c r="AF119" s="119">
        <f t="shared" ca="1" si="35"/>
        <v>2383.3635236533441</v>
      </c>
      <c r="AG119" s="119">
        <f ca="1">IF(AE119=0," ",AF119-断面设计!$C$7)</f>
        <v>2381.7635778169442</v>
      </c>
      <c r="AH119" s="119" t="str">
        <f t="shared" si="36"/>
        <v xml:space="preserve"> </v>
      </c>
      <c r="AI119" s="119" t="str">
        <f t="shared" si="37"/>
        <v xml:space="preserve"> </v>
      </c>
      <c r="AJ119" s="119" t="str">
        <f t="shared" si="38"/>
        <v xml:space="preserve"> </v>
      </c>
      <c r="AK119" s="119" t="str">
        <f t="shared" si="39"/>
        <v xml:space="preserve"> </v>
      </c>
      <c r="AL119" s="119">
        <f t="shared" ca="1" si="40"/>
        <v>2383.315518122437</v>
      </c>
      <c r="AM119" s="119">
        <f t="shared" ca="1" si="41"/>
        <v>2381.8883084792838</v>
      </c>
      <c r="AN119" s="152">
        <v>1</v>
      </c>
      <c r="AO119" s="97">
        <v>2</v>
      </c>
      <c r="AP119" s="42"/>
      <c r="AQ119" s="42"/>
      <c r="AR119" s="42"/>
      <c r="AS119" s="42"/>
      <c r="AT119" s="42"/>
      <c r="AU119" s="64" t="str">
        <f t="shared" ca="1" si="49"/>
        <v>11114.1050367167,2381.88830847928</v>
      </c>
      <c r="AV119" s="64" t="str">
        <f t="shared" ca="1" si="55"/>
        <v>11114.1050367167,2383.31551812244</v>
      </c>
      <c r="AW119" s="169" t="str">
        <f t="shared" si="56"/>
        <v xml:space="preserve">pl 11114.1050367167,0 11114.1050367167,76 </v>
      </c>
      <c r="AX119" s="161" t="str">
        <f t="shared" ca="1" si="52"/>
        <v>-text 11114.1050367167,48 3.5 90 2381.888</v>
      </c>
      <c r="AY119" s="161" t="str">
        <f t="shared" ca="1" si="53"/>
        <v>-text 11114.1050367167,62.5 3.5 90 2383.316</v>
      </c>
      <c r="AZ119" s="42" t="str">
        <f t="shared" si="54"/>
        <v>-text 11114.1050367167,23.5 3.5 90 马分11+114.11</v>
      </c>
      <c r="BA119" s="42"/>
      <c r="BB119" s="42"/>
      <c r="BC119" s="42"/>
      <c r="BD119" s="42"/>
      <c r="BE119" s="42"/>
      <c r="BF119" s="42"/>
      <c r="BG119" s="42"/>
      <c r="BH119" s="42"/>
      <c r="BI119" s="42"/>
      <c r="BJ119" s="42"/>
      <c r="BK119" s="42"/>
      <c r="BL119" s="42"/>
      <c r="BM119" s="42"/>
      <c r="BN119" s="42"/>
      <c r="BO119" s="42"/>
      <c r="BP119" s="42"/>
      <c r="BQ119" s="42"/>
      <c r="BR119" s="42"/>
      <c r="BS119" s="42"/>
      <c r="BT119" s="42"/>
      <c r="BU119" s="42"/>
      <c r="BV119" s="42"/>
      <c r="BW119" s="42"/>
      <c r="BX119" s="42"/>
      <c r="BY119" s="42"/>
      <c r="BZ119" s="42"/>
      <c r="CA119" s="42"/>
      <c r="CB119" s="42"/>
      <c r="CC119" s="42"/>
      <c r="CD119" s="42"/>
      <c r="CE119" s="42"/>
      <c r="CF119" s="42"/>
      <c r="CG119" s="42"/>
      <c r="CH119" s="42"/>
      <c r="CI119" s="42"/>
      <c r="CJ119" s="42"/>
      <c r="CK119" s="42"/>
      <c r="CL119" s="42"/>
      <c r="CM119" s="42"/>
      <c r="CN119" s="42"/>
      <c r="CO119" s="42"/>
      <c r="CP119" s="42"/>
      <c r="CQ119" s="42"/>
      <c r="CR119" s="42"/>
      <c r="CS119" s="42"/>
      <c r="CT119" s="42"/>
      <c r="CU119" s="42"/>
      <c r="CV119" s="42"/>
      <c r="CW119" s="42"/>
      <c r="CX119" s="42"/>
      <c r="CY119" s="42"/>
      <c r="CZ119" s="42"/>
      <c r="DA119" s="42"/>
      <c r="DB119" s="42"/>
      <c r="DC119" s="42"/>
      <c r="DD119" s="42"/>
      <c r="DE119" s="42"/>
      <c r="DF119" s="42"/>
      <c r="DG119" s="42"/>
      <c r="DH119" s="42"/>
      <c r="DI119" s="42"/>
      <c r="DJ119" s="42"/>
      <c r="DK119" s="42"/>
      <c r="DL119" s="42"/>
      <c r="DM119" s="42"/>
      <c r="DN119" s="42"/>
      <c r="DO119" s="42"/>
      <c r="DP119" s="42"/>
      <c r="DQ119" s="42"/>
      <c r="DR119" s="42"/>
      <c r="DS119" s="42"/>
      <c r="DT119" s="42"/>
      <c r="DU119" s="42"/>
      <c r="DV119" s="42"/>
      <c r="DW119" s="42"/>
      <c r="DX119" s="42"/>
      <c r="DY119" s="42"/>
      <c r="DZ119" s="42"/>
      <c r="EA119" s="42"/>
      <c r="EB119" s="42"/>
      <c r="EC119" s="42"/>
      <c r="ED119" s="42"/>
      <c r="EE119" s="42"/>
      <c r="EF119" s="42"/>
      <c r="EG119" s="42"/>
      <c r="EH119" s="42"/>
      <c r="EI119" s="42"/>
      <c r="EJ119" s="42"/>
      <c r="EK119" s="42"/>
      <c r="EL119" s="42"/>
      <c r="EM119" s="42"/>
      <c r="EN119" s="42"/>
      <c r="EO119" s="42"/>
      <c r="EP119" s="42"/>
      <c r="EQ119" s="42"/>
      <c r="ER119" s="42"/>
      <c r="ES119" s="42"/>
      <c r="ET119" s="42"/>
      <c r="EU119" s="42"/>
      <c r="EV119" s="42"/>
      <c r="EW119" s="42"/>
      <c r="EX119" s="42"/>
      <c r="EY119" s="42"/>
      <c r="EZ119" s="42"/>
      <c r="FA119" s="42"/>
      <c r="FB119" s="42"/>
      <c r="FC119" s="42"/>
      <c r="FD119" s="42"/>
      <c r="FE119" s="42"/>
      <c r="FF119" s="42"/>
      <c r="FG119" s="42"/>
      <c r="FH119" s="42"/>
      <c r="FI119" s="42"/>
      <c r="FJ119" s="42"/>
      <c r="FK119" s="42"/>
      <c r="FL119" s="42"/>
      <c r="FM119" s="42"/>
      <c r="FN119" s="42"/>
      <c r="FO119" s="42"/>
      <c r="FP119" s="42"/>
      <c r="FQ119" s="42"/>
      <c r="FR119" s="42"/>
      <c r="FS119" s="42"/>
      <c r="FT119" s="42"/>
      <c r="FU119" s="42"/>
      <c r="FV119" s="42"/>
      <c r="FW119" s="42"/>
      <c r="FX119" s="42"/>
      <c r="FY119" s="42"/>
      <c r="FZ119" s="42"/>
      <c r="GA119" s="42"/>
      <c r="GB119" s="42"/>
      <c r="GC119" s="42"/>
      <c r="GD119" s="42"/>
      <c r="GE119" s="42"/>
      <c r="GF119" s="42"/>
      <c r="GG119" s="42"/>
      <c r="GH119" s="42"/>
      <c r="GI119" s="42"/>
      <c r="GJ119" s="42"/>
      <c r="GK119" s="42"/>
      <c r="GL119" s="42"/>
      <c r="GM119" s="42"/>
      <c r="GN119" s="42"/>
      <c r="GO119" s="42"/>
      <c r="GP119" s="42"/>
      <c r="GQ119" s="42"/>
      <c r="GR119" s="42"/>
      <c r="GS119" s="42"/>
      <c r="GT119" s="42"/>
      <c r="GU119" s="42"/>
      <c r="GV119" s="42"/>
      <c r="GW119" s="42"/>
      <c r="GX119" s="42"/>
    </row>
    <row r="120" spans="1:206" s="56" customFormat="1" x14ac:dyDescent="0.25">
      <c r="A120" s="97">
        <v>6</v>
      </c>
      <c r="B120" s="98" t="str">
        <f>线路!B117</f>
        <v>4#渡槽出</v>
      </c>
      <c r="C120" s="99">
        <f>线路!E117</f>
        <v>447677.48560000001</v>
      </c>
      <c r="D120" s="99">
        <f>线路!F117</f>
        <v>3039436.6767000002</v>
      </c>
      <c r="E120" s="100">
        <f>线路!G117</f>
        <v>0</v>
      </c>
      <c r="F120" s="100">
        <f>线路!H117</f>
        <v>0</v>
      </c>
      <c r="G120" s="101">
        <f>线路!L117</f>
        <v>11228.105604350525</v>
      </c>
      <c r="H120" s="101">
        <f>线路!M117</f>
        <v>11228.105604350525</v>
      </c>
      <c r="I120" s="101">
        <f>线路!N117</f>
        <v>11228.105604350525</v>
      </c>
      <c r="J120" s="118">
        <f t="shared" si="32"/>
        <v>0</v>
      </c>
      <c r="K120" s="118">
        <f t="shared" si="42"/>
        <v>114.00056763383145</v>
      </c>
      <c r="L120" s="118">
        <f>IF(A120=1,断面设计!$D$7,IF(A120=2,断面设计!$D$8,IF(A120=3,断面设计!$D$9,IF(A120=4,断面设计!$D$10,IF(A120=5,断面设计!$D$11,IF(A120=6,断面设计!$D$12,IF(A120=7,断面设计!$D$13,IF(A120=8,断面设计!$D$14,IF(A120=9,断面设计!$D$15,IF(A120=10,断面设计!$D$16))))))))))</f>
        <v>1.2</v>
      </c>
      <c r="M120" s="118">
        <f t="shared" si="43"/>
        <v>0</v>
      </c>
      <c r="N120" s="119">
        <f t="shared" si="50"/>
        <v>1.4E-2</v>
      </c>
      <c r="O120" s="118">
        <f>IF(A120=2,断面设计!$H$22,IF(A120=3,断面设计!$H$23,IF(A120=6,断面设计!$H$24)))</f>
        <v>2000</v>
      </c>
      <c r="P120" s="120">
        <f>IF(A120=1,断面设计!$K$7,IF(A120=2,断面设计!$K$8,IF(A120=3,断面设计!$K$9,IF(A120=4,断面设计!$K$10,IF(A120=5,断面设计!$K$11,IF(A120=6,断面设计!$K$12,IF(A120=7,断面设计!$K$13,IF(A120=8,断面设计!$K$14,IF(A120=9,断面设计!$K$15,IF(A120=10,断面设计!$K$16))))))))))</f>
        <v>3.1003625801059727</v>
      </c>
      <c r="Q120" s="119">
        <f>IF(A120=2,断面设计!$C$22,IF(A120=3,断面设计!$C$23,IF(A120=6,断面设计!$C$24)))</f>
        <v>1.4272096431532699</v>
      </c>
      <c r="R120" s="118">
        <f>IF(A120=2,断面设计!$E$22,IF(A120=3,断面设计!$E$23,IF(A120=6,断面设计!$E$24)))</f>
        <v>2.6205247703590189</v>
      </c>
      <c r="S120" s="118">
        <f>IF(A120=2,断面设计!$R$22,IF(A120=3,断面设计!$R$23,IF(A120=6,断面设计!$R$24)))</f>
        <v>4.1101712052553125</v>
      </c>
      <c r="T120" s="118">
        <f t="shared" si="44"/>
        <v>0.63757070922213299</v>
      </c>
      <c r="U120" s="118">
        <f t="shared" si="45"/>
        <v>1.1831075268489886</v>
      </c>
      <c r="V120" s="126"/>
      <c r="W120" s="119">
        <f>-0.6*(U120^2/2-U121^2/2)/9.81</f>
        <v>-4.8909756200845806E-3</v>
      </c>
      <c r="X120" s="119">
        <f>IF(AN120=0,IF(AN119=2,(H120-H119-AE119)/O120,(H120-H119)/O120),IF(AN120=1,IF(AN119=2,IF(AE120&lt;9,(H120-H119-AE120-AE119)/断面设计!$J$7,(H120-H119-AE120-AE119)/断面设计!$J$7),(H120-H119-AE120)/O119),(H120-H119)/O120))</f>
        <v>5.7000283816915728E-2</v>
      </c>
      <c r="Y120" s="144">
        <v>0</v>
      </c>
      <c r="Z120" s="145">
        <f t="shared" si="51"/>
        <v>0</v>
      </c>
      <c r="AA120" s="146"/>
      <c r="AB120" s="144">
        <f t="shared" si="33"/>
        <v>1.4272096431532699</v>
      </c>
      <c r="AC120" s="119">
        <f t="shared" si="34"/>
        <v>5.2109308196831149E-2</v>
      </c>
      <c r="AD120" s="119">
        <f t="shared" ca="1" si="47"/>
        <v>2383.2634088142399</v>
      </c>
      <c r="AE120" s="147">
        <v>6</v>
      </c>
      <c r="AF120" s="119">
        <f t="shared" ca="1" si="35"/>
        <v>2383.2634088142399</v>
      </c>
      <c r="AG120" s="119">
        <f ca="1">IF(AE120=0," ",AF120-断面设计!$C$12)</f>
        <v>2381.8554375072204</v>
      </c>
      <c r="AH120" s="119" t="str">
        <f t="shared" si="36"/>
        <v xml:space="preserve"> </v>
      </c>
      <c r="AI120" s="119" t="str">
        <f t="shared" si="37"/>
        <v xml:space="preserve"> </v>
      </c>
      <c r="AJ120" s="119" t="str">
        <f t="shared" si="38"/>
        <v xml:space="preserve"> </v>
      </c>
      <c r="AK120" s="119" t="str">
        <f t="shared" si="39"/>
        <v xml:space="preserve"> </v>
      </c>
      <c r="AL120" s="119">
        <f t="shared" ca="1" si="40"/>
        <v>2383.2585178386198</v>
      </c>
      <c r="AM120" s="119">
        <f t="shared" ca="1" si="41"/>
        <v>2381.8313081954666</v>
      </c>
      <c r="AN120" s="152">
        <v>2</v>
      </c>
      <c r="AO120" s="97">
        <v>2</v>
      </c>
      <c r="AP120" s="42"/>
      <c r="AQ120" s="42"/>
      <c r="AR120" s="42"/>
      <c r="AS120" s="42"/>
      <c r="AT120" s="42"/>
      <c r="AU120" s="64" t="str">
        <f t="shared" ca="1" si="49"/>
        <v>11228.1056043505,2381.83130819547</v>
      </c>
      <c r="AV120" s="64" t="str">
        <f t="shared" ca="1" si="55"/>
        <v>11228.1056043505,2383.25851783862</v>
      </c>
      <c r="AW120" s="169" t="str">
        <f t="shared" si="56"/>
        <v xml:space="preserve">pl 11228.1056043505,0 11228.1056043505,76 </v>
      </c>
      <c r="AX120" s="161" t="str">
        <f t="shared" ca="1" si="52"/>
        <v>-text 11228.1056043505,48 3.5 90 2381.831</v>
      </c>
      <c r="AY120" s="161" t="str">
        <f t="shared" ca="1" si="53"/>
        <v>-text 11228.1056043505,62.5 3.5 90 2383.259</v>
      </c>
      <c r="AZ120" s="42" t="str">
        <f t="shared" si="54"/>
        <v>-text 11228.1056043505,23.5 3.5 90 马分11+228.11</v>
      </c>
      <c r="BA120" s="42"/>
      <c r="BB120" s="42"/>
      <c r="BC120" s="42"/>
      <c r="BD120" s="42"/>
      <c r="BE120" s="42"/>
      <c r="BF120" s="42"/>
      <c r="BG120" s="42"/>
      <c r="BH120" s="42"/>
      <c r="BI120" s="42"/>
      <c r="BJ120" s="42"/>
      <c r="BK120" s="42"/>
      <c r="BL120" s="42"/>
      <c r="BM120" s="42"/>
      <c r="BN120" s="42"/>
      <c r="BO120" s="42"/>
      <c r="BP120" s="42"/>
      <c r="BQ120" s="42"/>
      <c r="BR120" s="42"/>
      <c r="BS120" s="42"/>
      <c r="BT120" s="42"/>
      <c r="BU120" s="42"/>
      <c r="BV120" s="42"/>
      <c r="BW120" s="42"/>
      <c r="BX120" s="42"/>
      <c r="BY120" s="42"/>
      <c r="BZ120" s="42"/>
      <c r="CA120" s="42"/>
      <c r="CB120" s="42"/>
      <c r="CC120" s="42"/>
      <c r="CD120" s="42"/>
      <c r="CE120" s="42"/>
      <c r="CF120" s="42"/>
      <c r="CG120" s="42"/>
      <c r="CH120" s="42"/>
      <c r="CI120" s="42"/>
      <c r="CJ120" s="42"/>
      <c r="CK120" s="42"/>
      <c r="CL120" s="42"/>
      <c r="CM120" s="42"/>
      <c r="CN120" s="42"/>
      <c r="CO120" s="42"/>
      <c r="CP120" s="42"/>
      <c r="CQ120" s="42"/>
      <c r="CR120" s="42"/>
      <c r="CS120" s="42"/>
      <c r="CT120" s="42"/>
      <c r="CU120" s="42"/>
      <c r="CV120" s="42"/>
      <c r="CW120" s="42"/>
      <c r="CX120" s="42"/>
      <c r="CY120" s="42"/>
      <c r="CZ120" s="42"/>
      <c r="DA120" s="42"/>
      <c r="DB120" s="42"/>
      <c r="DC120" s="42"/>
      <c r="DD120" s="42"/>
      <c r="DE120" s="42"/>
      <c r="DF120" s="42"/>
      <c r="DG120" s="42"/>
      <c r="DH120" s="42"/>
      <c r="DI120" s="42"/>
      <c r="DJ120" s="42"/>
      <c r="DK120" s="42"/>
      <c r="DL120" s="42"/>
      <c r="DM120" s="42"/>
      <c r="DN120" s="42"/>
      <c r="DO120" s="42"/>
      <c r="DP120" s="42"/>
      <c r="DQ120" s="42"/>
      <c r="DR120" s="42"/>
      <c r="DS120" s="42"/>
      <c r="DT120" s="42"/>
      <c r="DU120" s="42"/>
      <c r="DV120" s="42"/>
      <c r="DW120" s="42"/>
      <c r="DX120" s="42"/>
      <c r="DY120" s="42"/>
      <c r="DZ120" s="42"/>
      <c r="EA120" s="42"/>
      <c r="EB120" s="42"/>
      <c r="EC120" s="42"/>
      <c r="ED120" s="42"/>
      <c r="EE120" s="42"/>
      <c r="EF120" s="42"/>
      <c r="EG120" s="42"/>
      <c r="EH120" s="42"/>
      <c r="EI120" s="42"/>
      <c r="EJ120" s="42"/>
      <c r="EK120" s="42"/>
      <c r="EL120" s="42"/>
      <c r="EM120" s="42"/>
      <c r="EN120" s="42"/>
      <c r="EO120" s="42"/>
      <c r="EP120" s="42"/>
      <c r="EQ120" s="42"/>
      <c r="ER120" s="42"/>
      <c r="ES120" s="42"/>
      <c r="ET120" s="42"/>
      <c r="EU120" s="42"/>
      <c r="EV120" s="42"/>
      <c r="EW120" s="42"/>
      <c r="EX120" s="42"/>
      <c r="EY120" s="42"/>
      <c r="EZ120" s="42"/>
      <c r="FA120" s="42"/>
      <c r="FB120" s="42"/>
      <c r="FC120" s="42"/>
      <c r="FD120" s="42"/>
      <c r="FE120" s="42"/>
      <c r="FF120" s="42"/>
      <c r="FG120" s="42"/>
      <c r="FH120" s="42"/>
      <c r="FI120" s="42"/>
      <c r="FJ120" s="42"/>
      <c r="FK120" s="42"/>
      <c r="FL120" s="42"/>
      <c r="FM120" s="42"/>
      <c r="FN120" s="42"/>
      <c r="FO120" s="42"/>
      <c r="FP120" s="42"/>
      <c r="FQ120" s="42"/>
      <c r="FR120" s="42"/>
      <c r="FS120" s="42"/>
      <c r="FT120" s="42"/>
      <c r="FU120" s="42"/>
      <c r="FV120" s="42"/>
      <c r="FW120" s="42"/>
      <c r="FX120" s="42"/>
      <c r="FY120" s="42"/>
      <c r="FZ120" s="42"/>
      <c r="GA120" s="42"/>
      <c r="GB120" s="42"/>
      <c r="GC120" s="42"/>
      <c r="GD120" s="42"/>
      <c r="GE120" s="42"/>
      <c r="GF120" s="42"/>
      <c r="GG120" s="42"/>
      <c r="GH120" s="42"/>
      <c r="GI120" s="42"/>
      <c r="GJ120" s="42"/>
      <c r="GK120" s="42"/>
      <c r="GL120" s="42"/>
      <c r="GM120" s="42"/>
      <c r="GN120" s="42"/>
      <c r="GO120" s="42"/>
      <c r="GP120" s="42"/>
      <c r="GQ120" s="42"/>
      <c r="GR120" s="42"/>
      <c r="GS120" s="42"/>
      <c r="GT120" s="42"/>
      <c r="GU120" s="42"/>
      <c r="GV120" s="42"/>
      <c r="GW120" s="42"/>
      <c r="GX120" s="42"/>
    </row>
    <row r="121" spans="1:206" s="58" customFormat="1" x14ac:dyDescent="0.25">
      <c r="A121" s="170">
        <v>6</v>
      </c>
      <c r="B121" s="171" t="str">
        <f>线路!B118</f>
        <v>2#隧洞进</v>
      </c>
      <c r="C121" s="172">
        <f>线路!E118</f>
        <v>447672.32650000002</v>
      </c>
      <c r="D121" s="172">
        <f>线路!F118</f>
        <v>3039426.6000999999</v>
      </c>
      <c r="E121" s="173">
        <f>线路!G118</f>
        <v>0</v>
      </c>
      <c r="F121" s="173">
        <f>线路!H118</f>
        <v>0</v>
      </c>
      <c r="G121" s="174">
        <f>线路!L118</f>
        <v>11239.42612467316</v>
      </c>
      <c r="H121" s="174">
        <f>线路!M118</f>
        <v>11239.42612467316</v>
      </c>
      <c r="I121" s="174">
        <f>线路!N118</f>
        <v>11239.42612467316</v>
      </c>
      <c r="J121" s="175">
        <f t="shared" si="32"/>
        <v>0</v>
      </c>
      <c r="K121" s="175">
        <f t="shared" si="42"/>
        <v>11.320520322635275</v>
      </c>
      <c r="L121" s="175">
        <f>IF(A121=1,断面设计!$D$7,IF(A121=2,断面设计!$D$8,IF(A121=3,断面设计!$D$9,IF(A121=4,断面设计!$D$10,IF(A121=5,断面设计!$D$11,IF(A121=6,断面设计!$D$12,IF(A121=7,断面设计!$D$13,IF(A121=8,断面设计!$D$14,IF(A121=9,断面设计!$D$15,IF(A121=10,断面设计!$D$16))))))))))</f>
        <v>1.2</v>
      </c>
      <c r="M121" s="175">
        <f t="shared" si="43"/>
        <v>0</v>
      </c>
      <c r="N121" s="176">
        <f t="shared" si="50"/>
        <v>1.4E-2</v>
      </c>
      <c r="O121" s="175">
        <f>IF(A121=5,断面设计!$O$37,IF(A121=6,断面设计!$O$38,IF(A121=7,断面设计!$O$39,IF(A121=9,断面设计!$O$40,IF(A121=10,断面设计!$O$41)))))</f>
        <v>2000</v>
      </c>
      <c r="P121" s="177">
        <f>IF(A121=1,断面设计!$K$7,IF(A121=2,断面设计!$K$8,IF(A121=3,断面设计!$K$9,IF(A121=4,断面设计!$K$10,IF(A121=5,断面设计!$K$11,IF(A121=6,断面设计!$K$12,IF(A121=7,断面设计!$K$13,IF(A121=8,断面设计!$K$14,IF(A121=9,断面设计!$K$15,IF(A121=10,断面设计!$K$16))))))))))</f>
        <v>3.1003625801059727</v>
      </c>
      <c r="Q121" s="176">
        <f>IF(A121=5,断面设计!$C$37,IF(A121=6,断面设计!$C$38,IF(A121=7,断面设计!$C$39,IF(A121=9,断面设计!$C$40,IF(A121=10,断面设计!$C$41)))))</f>
        <v>1.3922113918338499</v>
      </c>
      <c r="R121" s="175">
        <f>IF(A121=5,断面设计!$K$37,IF(A121=6,断面设计!$K$38,IF(A121=7,断面设计!$K$39,IF(A121=9,断面设计!$K$40,IF(A121=10,断面设计!$K$41)))))</f>
        <v>2.7844227836676998</v>
      </c>
      <c r="S121" s="175">
        <f>IF(A121=5,断面设计!$L$37,IF(A121=6,断面设计!$L$38,IF(A121=7,断面设计!$L$39,IF(A121=9,断面设计!$L$40,IF(A121=10,断面设计!$L$41)))))</f>
        <v>4.7844227836676998</v>
      </c>
      <c r="T121" s="175">
        <f t="shared" si="44"/>
        <v>0.58197674193274029</v>
      </c>
      <c r="U121" s="175">
        <f t="shared" si="45"/>
        <v>1.1134668909805825</v>
      </c>
      <c r="V121" s="179"/>
      <c r="W121" s="176">
        <f>1.15*(U121^2/2-U120^2/2)/9.81</f>
        <v>-9.374369938495445E-3</v>
      </c>
      <c r="X121" s="176">
        <f>IF(AN121=0,IF(AN120=2,(H121-H120-AE120)/O121,(H121-H120)/O121),IF(AN121=1,IF(AN120=2,IF(AE121&lt;9,(H121-H120-AE121-AE120)/断面设计!$J$7,(H121-H120-AE121-AE120)/断面设计!$J$7),(H121-H120-AE121)/O120),(H121-H120)/O121))</f>
        <v>1.6410406452705502E-4</v>
      </c>
      <c r="Y121" s="181">
        <v>0</v>
      </c>
      <c r="Z121" s="182">
        <f t="shared" si="51"/>
        <v>0</v>
      </c>
      <c r="AA121" s="183"/>
      <c r="AB121" s="181">
        <f t="shared" si="33"/>
        <v>1.3922113918338499</v>
      </c>
      <c r="AC121" s="176">
        <f t="shared" si="34"/>
        <v>-9.2102658739683894E-3</v>
      </c>
      <c r="AD121" s="176">
        <f t="shared" ca="1" si="47"/>
        <v>2383.2726190801141</v>
      </c>
      <c r="AE121" s="185">
        <v>4.5</v>
      </c>
      <c r="AF121" s="176">
        <f t="shared" ca="1" si="35"/>
        <v>2383.2632447101755</v>
      </c>
      <c r="AG121" s="176">
        <f ca="1">IF(AE121=0," ",AF121-断面设计!$C$7)</f>
        <v>2381.6632988737756</v>
      </c>
      <c r="AH121" s="176" t="str">
        <f t="shared" si="36"/>
        <v xml:space="preserve"> </v>
      </c>
      <c r="AI121" s="176" t="str">
        <f t="shared" si="37"/>
        <v xml:space="preserve"> </v>
      </c>
      <c r="AJ121" s="176" t="str">
        <f t="shared" si="38"/>
        <v xml:space="preserve"> </v>
      </c>
      <c r="AK121" s="176" t="str">
        <f t="shared" si="39"/>
        <v xml:space="preserve"> </v>
      </c>
      <c r="AL121" s="176">
        <f t="shared" ca="1" si="40"/>
        <v>2383.2726190801141</v>
      </c>
      <c r="AM121" s="176">
        <f t="shared" ca="1" si="41"/>
        <v>2381.8804076882802</v>
      </c>
      <c r="AN121" s="180">
        <v>1</v>
      </c>
      <c r="AO121" s="170">
        <v>1</v>
      </c>
      <c r="AP121" s="42"/>
      <c r="AQ121" s="42"/>
      <c r="AR121" s="42"/>
      <c r="AS121" s="42"/>
      <c r="AT121" s="42"/>
      <c r="AU121" s="64" t="str">
        <f t="shared" ca="1" si="49"/>
        <v>11239.4261246732,2381.88040768828</v>
      </c>
      <c r="AV121" s="64" t="str">
        <f t="shared" ca="1" si="55"/>
        <v>11239.4261246732,2383.27261908011</v>
      </c>
      <c r="AW121" s="169" t="str">
        <f t="shared" si="56"/>
        <v xml:space="preserve">pl 11239.4261246732,0 11239.4261246732,76 </v>
      </c>
      <c r="AX121" s="161" t="str">
        <f t="shared" ca="1" si="52"/>
        <v>-text 11239.4261246732,48 3.5 90 2381.880</v>
      </c>
      <c r="AY121" s="161" t="str">
        <f t="shared" ca="1" si="53"/>
        <v>-text 11239.4261246732,62.5 3.5 90 2383.273</v>
      </c>
      <c r="AZ121" s="42" t="str">
        <f t="shared" si="54"/>
        <v>-text 11239.4261246732,23.5 3.5 90 马分11+239.43</v>
      </c>
      <c r="BA121" s="42"/>
      <c r="BB121" s="42"/>
      <c r="BC121" s="42"/>
      <c r="BD121" s="42"/>
      <c r="BE121" s="42"/>
      <c r="BF121" s="42"/>
      <c r="BG121" s="42"/>
      <c r="BH121" s="42"/>
      <c r="BI121" s="42"/>
      <c r="BJ121" s="42"/>
      <c r="BK121" s="42"/>
      <c r="BL121" s="42"/>
      <c r="BM121" s="42"/>
      <c r="BN121" s="42"/>
      <c r="BO121" s="42"/>
      <c r="BP121" s="42"/>
      <c r="BQ121" s="42"/>
      <c r="BR121" s="42"/>
      <c r="BS121" s="42"/>
      <c r="BT121" s="42"/>
      <c r="BU121" s="42"/>
      <c r="BV121" s="42"/>
      <c r="BW121" s="42"/>
      <c r="BX121" s="42"/>
      <c r="BY121" s="42"/>
      <c r="BZ121" s="42"/>
      <c r="CA121" s="42"/>
      <c r="CB121" s="42"/>
      <c r="CC121" s="42"/>
      <c r="CD121" s="42"/>
      <c r="CE121" s="42"/>
      <c r="CF121" s="42"/>
      <c r="CG121" s="42"/>
      <c r="CH121" s="42"/>
      <c r="CI121" s="42"/>
      <c r="CJ121" s="42"/>
      <c r="CK121" s="42"/>
      <c r="CL121" s="42"/>
      <c r="CM121" s="42"/>
      <c r="CN121" s="42"/>
      <c r="CO121" s="42"/>
      <c r="CP121" s="42"/>
      <c r="CQ121" s="42"/>
      <c r="CR121" s="42"/>
      <c r="CS121" s="42"/>
      <c r="CT121" s="42"/>
      <c r="CU121" s="42"/>
      <c r="CV121" s="42"/>
      <c r="CW121" s="42"/>
      <c r="CX121" s="42"/>
      <c r="CY121" s="42"/>
      <c r="CZ121" s="42"/>
      <c r="DA121" s="42"/>
      <c r="DB121" s="42"/>
      <c r="DC121" s="42"/>
      <c r="DD121" s="42"/>
      <c r="DE121" s="42"/>
      <c r="DF121" s="42"/>
      <c r="DG121" s="42"/>
      <c r="DH121" s="42"/>
      <c r="DI121" s="42"/>
      <c r="DJ121" s="42"/>
      <c r="DK121" s="42"/>
      <c r="DL121" s="42"/>
      <c r="DM121" s="42"/>
      <c r="DN121" s="42"/>
      <c r="DO121" s="42"/>
      <c r="DP121" s="42"/>
      <c r="DQ121" s="42"/>
      <c r="DR121" s="42"/>
      <c r="DS121" s="42"/>
      <c r="DT121" s="42"/>
      <c r="DU121" s="42"/>
      <c r="DV121" s="42"/>
      <c r="DW121" s="42"/>
      <c r="DX121" s="42"/>
      <c r="DY121" s="42"/>
      <c r="DZ121" s="42"/>
      <c r="EA121" s="42"/>
      <c r="EB121" s="42"/>
      <c r="EC121" s="42"/>
      <c r="ED121" s="42"/>
      <c r="EE121" s="42"/>
      <c r="EF121" s="42"/>
      <c r="EG121" s="42"/>
      <c r="EH121" s="42"/>
      <c r="EI121" s="42"/>
      <c r="EJ121" s="42"/>
      <c r="EK121" s="42"/>
      <c r="EL121" s="42"/>
      <c r="EM121" s="42"/>
      <c r="EN121" s="42"/>
      <c r="EO121" s="42"/>
      <c r="EP121" s="42"/>
      <c r="EQ121" s="42"/>
      <c r="ER121" s="42"/>
      <c r="ES121" s="42"/>
      <c r="ET121" s="42"/>
      <c r="EU121" s="42"/>
      <c r="EV121" s="42"/>
      <c r="EW121" s="42"/>
      <c r="EX121" s="42"/>
      <c r="EY121" s="42"/>
      <c r="EZ121" s="42"/>
      <c r="FA121" s="42"/>
      <c r="FB121" s="42"/>
      <c r="FC121" s="42"/>
      <c r="FD121" s="42"/>
      <c r="FE121" s="42"/>
      <c r="FF121" s="42"/>
      <c r="FG121" s="42"/>
      <c r="FH121" s="42"/>
      <c r="FI121" s="42"/>
      <c r="FJ121" s="42"/>
      <c r="FK121" s="42"/>
      <c r="FL121" s="42"/>
      <c r="FM121" s="42"/>
      <c r="FN121" s="42"/>
      <c r="FO121" s="42"/>
      <c r="FP121" s="42"/>
      <c r="FQ121" s="42"/>
      <c r="FR121" s="42"/>
      <c r="FS121" s="42"/>
      <c r="FT121" s="42"/>
      <c r="FU121" s="42"/>
      <c r="FV121" s="42"/>
      <c r="FW121" s="42"/>
      <c r="FX121" s="42"/>
      <c r="FY121" s="42"/>
      <c r="FZ121" s="42"/>
      <c r="GA121" s="42"/>
      <c r="GB121" s="42"/>
      <c r="GC121" s="42"/>
      <c r="GD121" s="42"/>
      <c r="GE121" s="42"/>
      <c r="GF121" s="42"/>
      <c r="GG121" s="42"/>
      <c r="GH121" s="42"/>
      <c r="GI121" s="42"/>
      <c r="GJ121" s="42"/>
      <c r="GK121" s="42"/>
      <c r="GL121" s="42"/>
      <c r="GM121" s="42"/>
      <c r="GN121" s="42"/>
      <c r="GO121" s="42"/>
      <c r="GP121" s="42"/>
      <c r="GQ121" s="42"/>
      <c r="GR121" s="42"/>
      <c r="GS121" s="42"/>
      <c r="GT121" s="42"/>
      <c r="GU121" s="42"/>
      <c r="GV121" s="42"/>
      <c r="GW121" s="42"/>
      <c r="GX121" s="42"/>
    </row>
    <row r="122" spans="1:206" s="58" customFormat="1" x14ac:dyDescent="0.25">
      <c r="A122" s="170">
        <v>6</v>
      </c>
      <c r="B122" s="171" t="str">
        <f>线路!B119</f>
        <v>2#隧洞出</v>
      </c>
      <c r="C122" s="172">
        <f>线路!E119</f>
        <v>447628.82939999999</v>
      </c>
      <c r="D122" s="172">
        <f>线路!F119</f>
        <v>3039341.6436000001</v>
      </c>
      <c r="E122" s="173">
        <f>线路!G119</f>
        <v>0</v>
      </c>
      <c r="F122" s="173">
        <f>线路!H119</f>
        <v>0</v>
      </c>
      <c r="G122" s="174">
        <f>线路!L119</f>
        <v>11334.870373324604</v>
      </c>
      <c r="H122" s="174">
        <f>线路!M119</f>
        <v>11334.870373324604</v>
      </c>
      <c r="I122" s="174">
        <f>线路!N119</f>
        <v>11334.870373324604</v>
      </c>
      <c r="J122" s="175">
        <f t="shared" si="32"/>
        <v>0</v>
      </c>
      <c r="K122" s="175">
        <f t="shared" si="42"/>
        <v>95.444248651443559</v>
      </c>
      <c r="L122" s="175">
        <f>IF(A122=1,断面设计!$D$7,IF(A122=2,断面设计!$D$8,IF(A122=3,断面设计!$D$9,IF(A122=4,断面设计!$D$10,IF(A122=5,断面设计!$D$11,IF(A122=6,断面设计!$D$12,IF(A122=7,断面设计!$D$13,IF(A122=8,断面设计!$D$14,IF(A122=9,断面设计!$D$15,IF(A122=10,断面设计!$D$16))))))))))</f>
        <v>1.2</v>
      </c>
      <c r="M122" s="175">
        <f t="shared" si="43"/>
        <v>0</v>
      </c>
      <c r="N122" s="176">
        <f t="shared" si="50"/>
        <v>1.4E-2</v>
      </c>
      <c r="O122" s="175">
        <f>IF(A122=5,断面设计!$O$37,IF(A122=6,断面设计!$O$38,IF(A122=7,断面设计!$O$39,IF(A122=9,断面设计!$O$40,IF(A122=10,断面设计!$O$41)))))</f>
        <v>2000</v>
      </c>
      <c r="P122" s="177">
        <f>IF(A122=1,断面设计!$K$7,IF(A122=2,断面设计!$K$8,IF(A122=3,断面设计!$K$9,IF(A122=4,断面设计!$K$10,IF(A122=5,断面设计!$K$11,IF(A122=6,断面设计!$K$12,IF(A122=7,断面设计!$K$13,IF(A122=8,断面设计!$K$14,IF(A122=9,断面设计!$K$15,IF(A122=10,断面设计!$K$16))))))))))</f>
        <v>3.1003625801059727</v>
      </c>
      <c r="Q122" s="176">
        <f>IF(A122=5,断面设计!$C$37,IF(A122=6,断面设计!$C$38,IF(A122=7,断面设计!$C$39,IF(A122=9,断面设计!$C$40,IF(A122=10,断面设计!$C$41)))))</f>
        <v>1.3922113918338499</v>
      </c>
      <c r="R122" s="175">
        <f>IF(A122=5,断面设计!$K$37,IF(A122=6,断面设计!$K$38,IF(A122=7,断面设计!$K$39,IF(A122=9,断面设计!$K$40,IF(A122=10,断面设计!$K$41)))))</f>
        <v>2.7844227836676998</v>
      </c>
      <c r="S122" s="175">
        <f>IF(A122=5,断面设计!$L$37,IF(A122=6,断面设计!$L$38,IF(A122=7,断面设计!$L$39,IF(A122=9,断面设计!$L$40,IF(A122=10,断面设计!$L$41)))))</f>
        <v>4.7844227836676998</v>
      </c>
      <c r="T122" s="175">
        <f t="shared" si="44"/>
        <v>0.58197674193274029</v>
      </c>
      <c r="U122" s="175">
        <f t="shared" si="45"/>
        <v>1.1134668909805825</v>
      </c>
      <c r="V122" s="179"/>
      <c r="W122" s="176">
        <f>-0.6*(U122^2/2-U123^2/2)/9.81</f>
        <v>4.8909756200845806E-3</v>
      </c>
      <c r="X122" s="176">
        <f>IF(AN122=0,IF(AN121=2,(H122-H121-AE121)/O122,(H122-H121)/O122),IF(AN122=1,IF(AN121=2,IF(AE122&lt;9,(H122-H121-AE122-AE121)/断面设计!$J$7,(H122-H121-AE122-AE121)/断面设计!$J$7),(H122-H121-AE122)/O121),(H122-H121)/O122))</f>
        <v>4.7722124325721781E-2</v>
      </c>
      <c r="Y122" s="181">
        <v>0</v>
      </c>
      <c r="Z122" s="182">
        <f t="shared" si="51"/>
        <v>0</v>
      </c>
      <c r="AA122" s="183"/>
      <c r="AB122" s="181">
        <f t="shared" si="33"/>
        <v>1.3922113918338499</v>
      </c>
      <c r="AC122" s="176">
        <f t="shared" si="34"/>
        <v>5.261309994580636E-2</v>
      </c>
      <c r="AD122" s="176">
        <f t="shared" ca="1" si="47"/>
        <v>2383.220005980168</v>
      </c>
      <c r="AE122" s="184">
        <v>5</v>
      </c>
      <c r="AF122" s="176">
        <f t="shared" ca="1" si="35"/>
        <v>2383.220005980168</v>
      </c>
      <c r="AG122" s="176">
        <f ca="1">IF(AE122=0," ",AF122-断面设计!$C$12)</f>
        <v>2381.8120346731484</v>
      </c>
      <c r="AH122" s="176" t="str">
        <f t="shared" si="36"/>
        <v xml:space="preserve"> </v>
      </c>
      <c r="AI122" s="176" t="str">
        <f t="shared" si="37"/>
        <v xml:space="preserve"> </v>
      </c>
      <c r="AJ122" s="176" t="str">
        <f t="shared" si="38"/>
        <v xml:space="preserve"> </v>
      </c>
      <c r="AK122" s="176" t="str">
        <f t="shared" si="39"/>
        <v xml:space="preserve"> </v>
      </c>
      <c r="AL122" s="176">
        <f t="shared" ca="1" si="40"/>
        <v>2383.2248969557882</v>
      </c>
      <c r="AM122" s="176">
        <f t="shared" ca="1" si="41"/>
        <v>2381.8326855639543</v>
      </c>
      <c r="AN122" s="180">
        <v>2</v>
      </c>
      <c r="AO122" s="170">
        <v>1</v>
      </c>
      <c r="AP122" s="42"/>
      <c r="AQ122" s="42"/>
      <c r="AR122" s="42"/>
      <c r="AS122" s="42"/>
      <c r="AT122" s="42"/>
      <c r="AU122" s="64" t="str">
        <f t="shared" ca="1" si="49"/>
        <v>11334.8703733246,2381.83268556395</v>
      </c>
      <c r="AV122" s="64" t="str">
        <f t="shared" ca="1" si="55"/>
        <v>11334.8703733246,2383.22489695579</v>
      </c>
      <c r="AW122" s="169" t="str">
        <f t="shared" si="56"/>
        <v xml:space="preserve">pl 11334.8703733246,0 11334.8703733246,76 </v>
      </c>
      <c r="AX122" s="161" t="str">
        <f t="shared" ca="1" si="52"/>
        <v>-text 11334.8703733246,48 3.5 90 2381.833</v>
      </c>
      <c r="AY122" s="161" t="str">
        <f t="shared" ca="1" si="53"/>
        <v>-text 11334.8703733246,62.5 3.5 90 2383.225</v>
      </c>
      <c r="AZ122" s="42" t="str">
        <f t="shared" si="54"/>
        <v>-text 11334.8703733246,23.5 3.5 90 马分11+334.87</v>
      </c>
      <c r="BA122" s="42"/>
      <c r="BB122" s="42"/>
      <c r="BC122" s="42"/>
      <c r="BD122" s="42"/>
      <c r="BE122" s="42"/>
      <c r="BF122" s="42"/>
      <c r="BG122" s="42"/>
      <c r="BH122" s="42"/>
      <c r="BI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2"/>
      <c r="CH122" s="42"/>
      <c r="CI122" s="42"/>
      <c r="CJ122" s="42"/>
      <c r="CK122" s="42"/>
      <c r="CL122" s="42"/>
      <c r="CM122" s="42"/>
      <c r="CN122" s="42"/>
      <c r="CO122" s="42"/>
      <c r="CP122" s="42"/>
      <c r="CQ122" s="42"/>
      <c r="CR122" s="42"/>
      <c r="CS122" s="42"/>
      <c r="CT122" s="42"/>
      <c r="CU122" s="42"/>
      <c r="CV122" s="42"/>
      <c r="CW122" s="42"/>
      <c r="CX122" s="42"/>
      <c r="CY122" s="42"/>
      <c r="CZ122" s="42"/>
      <c r="DA122" s="42"/>
      <c r="DB122" s="42"/>
      <c r="DC122" s="42"/>
      <c r="DD122" s="42"/>
      <c r="DE122" s="42"/>
      <c r="DF122" s="42"/>
      <c r="DG122" s="42"/>
      <c r="DH122" s="42"/>
      <c r="DI122" s="42"/>
      <c r="DJ122" s="42"/>
      <c r="DK122" s="42"/>
      <c r="DL122" s="42"/>
      <c r="DM122" s="42"/>
      <c r="DN122" s="42"/>
      <c r="DO122" s="42"/>
      <c r="DP122" s="42"/>
      <c r="DQ122" s="42"/>
      <c r="DR122" s="42"/>
      <c r="DS122" s="42"/>
      <c r="DT122" s="42"/>
      <c r="DU122" s="42"/>
      <c r="DV122" s="42"/>
      <c r="DW122" s="42"/>
      <c r="DX122" s="42"/>
      <c r="DY122" s="42"/>
      <c r="DZ122" s="42"/>
      <c r="EA122" s="42"/>
      <c r="EB122" s="42"/>
      <c r="EC122" s="42"/>
      <c r="ED122" s="42"/>
      <c r="EE122" s="42"/>
      <c r="EF122" s="42"/>
      <c r="EG122" s="42"/>
      <c r="EH122" s="42"/>
      <c r="EI122" s="42"/>
      <c r="EJ122" s="42"/>
      <c r="EK122" s="42"/>
      <c r="EL122" s="42"/>
      <c r="EM122" s="42"/>
      <c r="EN122" s="42"/>
      <c r="EO122" s="42"/>
      <c r="EP122" s="42"/>
      <c r="EQ122" s="42"/>
      <c r="ER122" s="42"/>
      <c r="ES122" s="42"/>
      <c r="ET122" s="42"/>
      <c r="EU122" s="42"/>
      <c r="EV122" s="42"/>
      <c r="EW122" s="42"/>
      <c r="EX122" s="42"/>
      <c r="EY122" s="42"/>
      <c r="EZ122" s="42"/>
      <c r="FA122" s="42"/>
      <c r="FB122" s="42"/>
      <c r="FC122" s="42"/>
      <c r="FD122" s="42"/>
      <c r="FE122" s="42"/>
      <c r="FF122" s="42"/>
      <c r="FG122" s="42"/>
      <c r="FH122" s="42"/>
      <c r="FI122" s="42"/>
      <c r="FJ122" s="42"/>
      <c r="FK122" s="42"/>
      <c r="FL122" s="42"/>
      <c r="FM122" s="42"/>
      <c r="FN122" s="42"/>
      <c r="FO122" s="42"/>
      <c r="FP122" s="42"/>
      <c r="FQ122" s="42"/>
      <c r="FR122" s="42"/>
      <c r="FS122" s="42"/>
      <c r="FT122" s="42"/>
      <c r="FU122" s="42"/>
      <c r="FV122" s="42"/>
      <c r="FW122" s="42"/>
      <c r="FX122" s="42"/>
      <c r="FY122" s="42"/>
      <c r="FZ122" s="42"/>
      <c r="GA122" s="42"/>
      <c r="GB122" s="42"/>
      <c r="GC122" s="42"/>
      <c r="GD122" s="42"/>
      <c r="GE122" s="42"/>
      <c r="GF122" s="42"/>
      <c r="GG122" s="42"/>
      <c r="GH122" s="42"/>
      <c r="GI122" s="42"/>
      <c r="GJ122" s="42"/>
      <c r="GK122" s="42"/>
      <c r="GL122" s="42"/>
      <c r="GM122" s="42"/>
      <c r="GN122" s="42"/>
      <c r="GO122" s="42"/>
      <c r="GP122" s="42"/>
      <c r="GQ122" s="42"/>
      <c r="GR122" s="42"/>
      <c r="GS122" s="42"/>
      <c r="GT122" s="42"/>
      <c r="GU122" s="42"/>
      <c r="GV122" s="42"/>
      <c r="GW122" s="42"/>
      <c r="GX122" s="42"/>
    </row>
    <row r="123" spans="1:206" s="56" customFormat="1" x14ac:dyDescent="0.25">
      <c r="A123" s="97">
        <v>6</v>
      </c>
      <c r="B123" s="98" t="str">
        <f>线路!B120</f>
        <v>5#渡槽进</v>
      </c>
      <c r="C123" s="99">
        <f>线路!E120</f>
        <v>447622.14799999999</v>
      </c>
      <c r="D123" s="99">
        <f>线路!F120</f>
        <v>3039328.5937000001</v>
      </c>
      <c r="E123" s="100">
        <f>线路!G120</f>
        <v>0</v>
      </c>
      <c r="F123" s="100">
        <f>线路!H120</f>
        <v>0</v>
      </c>
      <c r="G123" s="101">
        <f>线路!L120</f>
        <v>11349.531239464419</v>
      </c>
      <c r="H123" s="101">
        <f>线路!M120</f>
        <v>11349.531239464419</v>
      </c>
      <c r="I123" s="101">
        <f>线路!N120</f>
        <v>11349.531239464419</v>
      </c>
      <c r="J123" s="118">
        <f t="shared" si="32"/>
        <v>0</v>
      </c>
      <c r="K123" s="118">
        <f t="shared" si="42"/>
        <v>14.660866139814971</v>
      </c>
      <c r="L123" s="118">
        <f>IF(A123=1,断面设计!$D$7,IF(A123=2,断面设计!$D$8,IF(A123=3,断面设计!$D$9,IF(A123=4,断面设计!$D$10,IF(A123=5,断面设计!$D$11,IF(A123=6,断面设计!$D$12,IF(A123=7,断面设计!$D$13,IF(A123=8,断面设计!$D$14,IF(A123=9,断面设计!$D$15,IF(A123=10,断面设计!$D$16))))))))))</f>
        <v>1.2</v>
      </c>
      <c r="M123" s="118">
        <f t="shared" si="43"/>
        <v>0</v>
      </c>
      <c r="N123" s="119">
        <f t="shared" si="50"/>
        <v>1.4E-2</v>
      </c>
      <c r="O123" s="118">
        <f>IF(A123=2,断面设计!$H$22,IF(A123=3,断面设计!$H$23,IF(A123=6,断面设计!$H$24)))</f>
        <v>2000</v>
      </c>
      <c r="P123" s="120">
        <f>IF(A123=1,断面设计!$K$7,IF(A123=2,断面设计!$K$8,IF(A123=3,断面设计!$K$9,IF(A123=4,断面设计!$K$10,IF(A123=5,断面设计!$K$11,IF(A123=6,断面设计!$K$12,IF(A123=7,断面设计!$K$13,IF(A123=8,断面设计!$K$14,IF(A123=9,断面设计!$K$15,IF(A123=10,断面设计!$K$16))))))))))</f>
        <v>3.1003625801059727</v>
      </c>
      <c r="Q123" s="119">
        <f>IF(A123=2,断面设计!$C$22,IF(A123=3,断面设计!$C$23,IF(A123=6,断面设计!$C$24)))</f>
        <v>1.4272096431532699</v>
      </c>
      <c r="R123" s="118">
        <f>IF(A123=2,断面设计!$E$22,IF(A123=3,断面设计!$E$23,IF(A123=6,断面设计!$E$24)))</f>
        <v>2.6205247703590189</v>
      </c>
      <c r="S123" s="118">
        <f>IF(A123=2,断面设计!$R$22,IF(A123=3,断面设计!$R$23,IF(A123=6,断面设计!$R$24)))</f>
        <v>4.1101712052553125</v>
      </c>
      <c r="T123" s="118">
        <f t="shared" si="44"/>
        <v>0.63757070922213299</v>
      </c>
      <c r="U123" s="118">
        <f t="shared" si="45"/>
        <v>1.1831075268489886</v>
      </c>
      <c r="V123" s="126"/>
      <c r="W123" s="119">
        <f>1.15*(U123^2/2-U122^2/2)/9.81</f>
        <v>9.374369938495445E-3</v>
      </c>
      <c r="X123" s="119">
        <f>IF(AN123=0,IF(AN122=2,(H123-H122-AE122)/O123,(H123-H122)/O123),IF(AN123=1,IF(AN122=2,IF(AE123&lt;9,(H123-H122-AE123-AE122)/断面设计!$J$7,(H123-H122-AE123-AE122)/断面设计!$J$7),(H123-H122-AE123)/O122),(H123-H122)/O123))</f>
        <v>7.321732279629941E-4</v>
      </c>
      <c r="Y123" s="144">
        <v>0</v>
      </c>
      <c r="Z123" s="145">
        <f t="shared" si="51"/>
        <v>0</v>
      </c>
      <c r="AA123" s="146"/>
      <c r="AB123" s="144">
        <f t="shared" si="33"/>
        <v>1.4272096431532699</v>
      </c>
      <c r="AC123" s="119">
        <f t="shared" si="34"/>
        <v>1.010654316645844E-2</v>
      </c>
      <c r="AD123" s="119">
        <f t="shared" ca="1" si="47"/>
        <v>2383.2098994370017</v>
      </c>
      <c r="AE123" s="147">
        <v>6</v>
      </c>
      <c r="AF123" s="119">
        <f t="shared" ca="1" si="35"/>
        <v>2383.2192738069402</v>
      </c>
      <c r="AG123" s="119">
        <f ca="1">IF(AE123=0," ",AF123-断面设计!$C$7)</f>
        <v>2381.6193279705403</v>
      </c>
      <c r="AH123" s="119" t="str">
        <f t="shared" si="36"/>
        <v xml:space="preserve"> </v>
      </c>
      <c r="AI123" s="119" t="str">
        <f t="shared" si="37"/>
        <v xml:space="preserve"> </v>
      </c>
      <c r="AJ123" s="119" t="str">
        <f t="shared" si="38"/>
        <v xml:space="preserve"> </v>
      </c>
      <c r="AK123" s="119" t="str">
        <f t="shared" si="39"/>
        <v xml:space="preserve"> </v>
      </c>
      <c r="AL123" s="119">
        <f t="shared" ca="1" si="40"/>
        <v>2383.2098994370017</v>
      </c>
      <c r="AM123" s="119">
        <f t="shared" ca="1" si="41"/>
        <v>2381.7826897938485</v>
      </c>
      <c r="AN123" s="152">
        <v>1</v>
      </c>
      <c r="AO123" s="97">
        <v>2</v>
      </c>
      <c r="AP123" s="42"/>
      <c r="AQ123" s="42"/>
      <c r="AR123" s="42"/>
      <c r="AS123" s="42"/>
      <c r="AT123" s="42"/>
      <c r="AU123" s="64" t="str">
        <f t="shared" ca="1" si="49"/>
        <v>11349.5312394644,2381.78268979385</v>
      </c>
      <c r="AV123" s="64" t="str">
        <f t="shared" ca="1" si="55"/>
        <v>11349.5312394644,2383.209899437</v>
      </c>
      <c r="AW123" s="169" t="str">
        <f t="shared" si="56"/>
        <v xml:space="preserve">pl 11349.5312394644,0 11349.5312394644,76 </v>
      </c>
      <c r="AX123" s="161" t="str">
        <f t="shared" ca="1" si="52"/>
        <v>-text 11349.5312394644,48 3.5 90 2381.783</v>
      </c>
      <c r="AY123" s="161" t="str">
        <f t="shared" ca="1" si="53"/>
        <v>-text 11349.5312394644,62.5 3.5 90 2383.210</v>
      </c>
      <c r="AZ123" s="42" t="str">
        <f t="shared" si="54"/>
        <v>-text 11349.5312394644,23.5 3.5 90 马分11+349.53</v>
      </c>
      <c r="BA123" s="42"/>
      <c r="BB123" s="42"/>
      <c r="BC123" s="42"/>
      <c r="BD123" s="42"/>
      <c r="BE123" s="42"/>
      <c r="BF123" s="42"/>
      <c r="BG123" s="42"/>
      <c r="BH123" s="42"/>
      <c r="BI123" s="42"/>
      <c r="BJ123" s="42"/>
      <c r="BK123" s="42"/>
      <c r="BL123" s="42"/>
      <c r="BM123" s="42"/>
      <c r="BN123" s="42"/>
      <c r="BO123" s="42"/>
      <c r="BP123" s="42"/>
      <c r="BQ123" s="42"/>
      <c r="BR123" s="42"/>
      <c r="BS123" s="42"/>
      <c r="BT123" s="42"/>
      <c r="BU123" s="42"/>
      <c r="BV123" s="42"/>
      <c r="BW123" s="42"/>
      <c r="BX123" s="42"/>
      <c r="BY123" s="42"/>
      <c r="BZ123" s="42"/>
      <c r="CA123" s="42"/>
      <c r="CB123" s="42"/>
      <c r="CC123" s="42"/>
      <c r="CD123" s="42"/>
      <c r="CE123" s="42"/>
      <c r="CF123" s="42"/>
      <c r="CG123" s="42"/>
      <c r="CH123" s="42"/>
      <c r="CI123" s="42"/>
      <c r="CJ123" s="42"/>
      <c r="CK123" s="42"/>
      <c r="CL123" s="42"/>
      <c r="CM123" s="42"/>
      <c r="CN123" s="42"/>
      <c r="CO123" s="42"/>
      <c r="CP123" s="42"/>
      <c r="CQ123" s="42"/>
      <c r="CR123" s="42"/>
      <c r="CS123" s="42"/>
      <c r="CT123" s="42"/>
      <c r="CU123" s="42"/>
      <c r="CV123" s="42"/>
      <c r="CW123" s="42"/>
      <c r="CX123" s="42"/>
      <c r="CY123" s="42"/>
      <c r="CZ123" s="42"/>
      <c r="DA123" s="42"/>
      <c r="DB123" s="42"/>
      <c r="DC123" s="42"/>
      <c r="DD123" s="42"/>
      <c r="DE123" s="42"/>
      <c r="DF123" s="42"/>
      <c r="DG123" s="42"/>
      <c r="DH123" s="42"/>
      <c r="DI123" s="42"/>
      <c r="DJ123" s="42"/>
      <c r="DK123" s="42"/>
      <c r="DL123" s="42"/>
      <c r="DM123" s="42"/>
      <c r="DN123" s="42"/>
      <c r="DO123" s="42"/>
      <c r="DP123" s="42"/>
      <c r="DQ123" s="42"/>
      <c r="DR123" s="42"/>
      <c r="DS123" s="42"/>
      <c r="DT123" s="42"/>
      <c r="DU123" s="42"/>
      <c r="DV123" s="42"/>
      <c r="DW123" s="42"/>
      <c r="DX123" s="42"/>
      <c r="DY123" s="42"/>
      <c r="DZ123" s="42"/>
      <c r="EA123" s="42"/>
      <c r="EB123" s="42"/>
      <c r="EC123" s="42"/>
      <c r="ED123" s="42"/>
      <c r="EE123" s="42"/>
      <c r="EF123" s="42"/>
      <c r="EG123" s="42"/>
      <c r="EH123" s="42"/>
      <c r="EI123" s="42"/>
      <c r="EJ123" s="42"/>
      <c r="EK123" s="42"/>
      <c r="EL123" s="42"/>
      <c r="EM123" s="42"/>
      <c r="EN123" s="42"/>
      <c r="EO123" s="42"/>
      <c r="EP123" s="42"/>
      <c r="EQ123" s="42"/>
      <c r="ER123" s="42"/>
      <c r="ES123" s="42"/>
      <c r="ET123" s="42"/>
      <c r="EU123" s="42"/>
      <c r="EV123" s="42"/>
      <c r="EW123" s="42"/>
      <c r="EX123" s="42"/>
      <c r="EY123" s="42"/>
      <c r="EZ123" s="42"/>
      <c r="FA123" s="42"/>
      <c r="FB123" s="42"/>
      <c r="FC123" s="42"/>
      <c r="FD123" s="42"/>
      <c r="FE123" s="42"/>
      <c r="FF123" s="42"/>
      <c r="FG123" s="42"/>
      <c r="FH123" s="42"/>
      <c r="FI123" s="42"/>
      <c r="FJ123" s="42"/>
      <c r="FK123" s="42"/>
      <c r="FL123" s="42"/>
      <c r="FM123" s="42"/>
      <c r="FN123" s="42"/>
      <c r="FO123" s="42"/>
      <c r="FP123" s="42"/>
      <c r="FQ123" s="42"/>
      <c r="FR123" s="42"/>
      <c r="FS123" s="42"/>
      <c r="FT123" s="42"/>
      <c r="FU123" s="42"/>
      <c r="FV123" s="42"/>
      <c r="FW123" s="42"/>
      <c r="FX123" s="42"/>
      <c r="FY123" s="42"/>
      <c r="FZ123" s="42"/>
      <c r="GA123" s="42"/>
      <c r="GB123" s="42"/>
      <c r="GC123" s="42"/>
      <c r="GD123" s="42"/>
      <c r="GE123" s="42"/>
      <c r="GF123" s="42"/>
      <c r="GG123" s="42"/>
      <c r="GH123" s="42"/>
      <c r="GI123" s="42"/>
      <c r="GJ123" s="42"/>
      <c r="GK123" s="42"/>
      <c r="GL123" s="42"/>
      <c r="GM123" s="42"/>
      <c r="GN123" s="42"/>
      <c r="GO123" s="42"/>
      <c r="GP123" s="42"/>
      <c r="GQ123" s="42"/>
      <c r="GR123" s="42"/>
      <c r="GS123" s="42"/>
      <c r="GT123" s="42"/>
      <c r="GU123" s="42"/>
      <c r="GV123" s="42"/>
      <c r="GW123" s="42"/>
      <c r="GX123" s="42"/>
    </row>
    <row r="124" spans="1:206" s="56" customFormat="1" x14ac:dyDescent="0.25">
      <c r="A124" s="97">
        <v>6</v>
      </c>
      <c r="B124" s="98" t="str">
        <f>线路!B121</f>
        <v>5#渡槽出</v>
      </c>
      <c r="C124" s="99">
        <f>线路!E121</f>
        <v>447553.788</v>
      </c>
      <c r="D124" s="99">
        <f>线路!F121</f>
        <v>3039195.0762999998</v>
      </c>
      <c r="E124" s="100">
        <f>线路!G121</f>
        <v>0</v>
      </c>
      <c r="F124" s="100">
        <f>线路!H121</f>
        <v>0</v>
      </c>
      <c r="G124" s="101">
        <f>线路!L121</f>
        <v>11499.531191807157</v>
      </c>
      <c r="H124" s="101">
        <f>线路!M121</f>
        <v>11499.531191807157</v>
      </c>
      <c r="I124" s="101">
        <f>线路!N121</f>
        <v>11499.531191807157</v>
      </c>
      <c r="J124" s="118">
        <f t="shared" si="32"/>
        <v>0</v>
      </c>
      <c r="K124" s="118">
        <f t="shared" si="42"/>
        <v>149.99995234273774</v>
      </c>
      <c r="L124" s="118">
        <f>IF(A124=1,断面设计!$D$7,IF(A124=2,断面设计!$D$8,IF(A124=3,断面设计!$D$9,IF(A124=4,断面设计!$D$10,IF(A124=5,断面设计!$D$11,IF(A124=6,断面设计!$D$12,IF(A124=7,断面设计!$D$13,IF(A124=8,断面设计!$D$14,IF(A124=9,断面设计!$D$15,IF(A124=10,断面设计!$D$16))))))))))</f>
        <v>1.2</v>
      </c>
      <c r="M124" s="118">
        <f t="shared" si="43"/>
        <v>0</v>
      </c>
      <c r="N124" s="119">
        <f t="shared" si="50"/>
        <v>1.4E-2</v>
      </c>
      <c r="O124" s="118">
        <f>IF(A124=2,断面设计!$H$22,IF(A124=3,断面设计!$H$23,IF(A124=6,断面设计!$H$24)))</f>
        <v>2000</v>
      </c>
      <c r="P124" s="120">
        <f>IF(A124=1,断面设计!$K$7,IF(A124=2,断面设计!$K$8,IF(A124=3,断面设计!$K$9,IF(A124=4,断面设计!$K$10,IF(A124=5,断面设计!$K$11,IF(A124=6,断面设计!$K$12,IF(A124=7,断面设计!$K$13,IF(A124=8,断面设计!$K$14,IF(A124=9,断面设计!$K$15,IF(A124=10,断面设计!$K$16))))))))))</f>
        <v>3.1003625801059727</v>
      </c>
      <c r="Q124" s="119">
        <f>IF(A124=2,断面设计!$C$22,IF(A124=3,断面设计!$C$23,IF(A124=6,断面设计!$C$24)))</f>
        <v>1.4272096431532699</v>
      </c>
      <c r="R124" s="118">
        <f>IF(A124=2,断面设计!$E$22,IF(A124=3,断面设计!$E$23,IF(A124=6,断面设计!$E$24)))</f>
        <v>2.6205247703590189</v>
      </c>
      <c r="S124" s="118">
        <f>IF(A124=2,断面设计!$R$22,IF(A124=3,断面设计!$R$23,IF(A124=6,断面设计!$R$24)))</f>
        <v>4.1101712052553125</v>
      </c>
      <c r="T124" s="118">
        <f t="shared" si="44"/>
        <v>0.63757070922213299</v>
      </c>
      <c r="U124" s="118">
        <f t="shared" si="45"/>
        <v>1.1831075268489886</v>
      </c>
      <c r="V124" s="126"/>
      <c r="W124" s="119">
        <f>-0.6*(U124^2/2-U125^2/2)/9.81</f>
        <v>-4.8909756200845806E-3</v>
      </c>
      <c r="X124" s="119">
        <f>IF(AN124=0,IF(AN123=2,(H124-H123-AE123)/O124,(H124-H123)/O124),IF(AN124=1,IF(AN123=2,IF(AE124&lt;9,(H124-H123-AE124-AE123)/断面设计!$J$7,(H124-H123-AE124-AE123)/断面设计!$J$7),(H124-H123-AE124)/O123),(H124-H123)/O124))</f>
        <v>7.4999976171368873E-2</v>
      </c>
      <c r="Y124" s="144">
        <v>0</v>
      </c>
      <c r="Z124" s="145">
        <f t="shared" si="51"/>
        <v>0</v>
      </c>
      <c r="AA124" s="146"/>
      <c r="AB124" s="144">
        <f t="shared" si="33"/>
        <v>1.4272096431532699</v>
      </c>
      <c r="AC124" s="119">
        <f t="shared" si="34"/>
        <v>7.0109000551284287E-2</v>
      </c>
      <c r="AD124" s="119">
        <f t="shared" ca="1" si="47"/>
        <v>2383.1397904364503</v>
      </c>
      <c r="AE124" s="147">
        <v>6</v>
      </c>
      <c r="AF124" s="119">
        <f t="shared" ca="1" si="35"/>
        <v>2383.1397904364503</v>
      </c>
      <c r="AG124" s="119">
        <f ca="1">IF(AE124=0," ",AF124-断面设计!$C$7)</f>
        <v>2381.5398446000504</v>
      </c>
      <c r="AH124" s="119" t="str">
        <f t="shared" si="36"/>
        <v xml:space="preserve"> </v>
      </c>
      <c r="AI124" s="119" t="str">
        <f t="shared" si="37"/>
        <v xml:space="preserve"> </v>
      </c>
      <c r="AJ124" s="119" t="str">
        <f t="shared" si="38"/>
        <v xml:space="preserve"> </v>
      </c>
      <c r="AK124" s="119" t="str">
        <f t="shared" si="39"/>
        <v xml:space="preserve"> </v>
      </c>
      <c r="AL124" s="119">
        <f t="shared" ca="1" si="40"/>
        <v>2383.1348994608302</v>
      </c>
      <c r="AM124" s="119">
        <f t="shared" ca="1" si="41"/>
        <v>2381.707689817677</v>
      </c>
      <c r="AN124" s="152">
        <v>2</v>
      </c>
      <c r="AO124" s="97">
        <v>2</v>
      </c>
      <c r="AP124" s="42"/>
      <c r="AQ124" s="42"/>
      <c r="AR124" s="42"/>
      <c r="AS124" s="42"/>
      <c r="AT124" s="42"/>
      <c r="AU124" s="64" t="str">
        <f t="shared" ca="1" si="49"/>
        <v>11499.5311918072,2381.70768981768</v>
      </c>
      <c r="AV124" s="64" t="str">
        <f t="shared" ca="1" si="55"/>
        <v>11499.5311918072,2383.13489946083</v>
      </c>
      <c r="AW124" s="169" t="str">
        <f t="shared" si="56"/>
        <v xml:space="preserve">pl 11499.5311918072,0 11499.5311918072,76 </v>
      </c>
      <c r="AX124" s="161" t="str">
        <f t="shared" ca="1" si="52"/>
        <v>-text 11499.5311918072,48 3.5 90 2381.708</v>
      </c>
      <c r="AY124" s="161" t="str">
        <f t="shared" ca="1" si="53"/>
        <v>-text 11499.5311918072,62.5 3.5 90 2383.135</v>
      </c>
      <c r="AZ124" s="42" t="str">
        <f t="shared" si="54"/>
        <v>-text 11499.5311918072,23.5 3.5 90 马分11+499.53</v>
      </c>
      <c r="BA124" s="42"/>
      <c r="BB124" s="42"/>
      <c r="BC124" s="42"/>
      <c r="BD124" s="42"/>
      <c r="BE124" s="42"/>
      <c r="BF124" s="42"/>
      <c r="BG124" s="42"/>
      <c r="BH124" s="42"/>
      <c r="BI124" s="42"/>
      <c r="BJ124" s="42"/>
      <c r="BK124" s="42"/>
      <c r="BL124" s="42"/>
      <c r="BM124" s="42"/>
      <c r="BN124" s="42"/>
      <c r="BO124" s="42"/>
      <c r="BP124" s="42"/>
      <c r="BQ124" s="42"/>
      <c r="BR124" s="42"/>
      <c r="BS124" s="42"/>
      <c r="BT124" s="42"/>
      <c r="BU124" s="42"/>
      <c r="BV124" s="42"/>
      <c r="BW124" s="42"/>
      <c r="BX124" s="42"/>
      <c r="BY124" s="42"/>
      <c r="BZ124" s="42"/>
      <c r="CA124" s="42"/>
      <c r="CB124" s="42"/>
      <c r="CC124" s="42"/>
      <c r="CD124" s="42"/>
      <c r="CE124" s="42"/>
      <c r="CF124" s="42"/>
      <c r="CG124" s="42"/>
      <c r="CH124" s="42"/>
      <c r="CI124" s="42"/>
      <c r="CJ124" s="42"/>
      <c r="CK124" s="42"/>
      <c r="CL124" s="42"/>
      <c r="CM124" s="42"/>
      <c r="CN124" s="42"/>
      <c r="CO124" s="42"/>
      <c r="CP124" s="42"/>
      <c r="CQ124" s="42"/>
      <c r="CR124" s="42"/>
      <c r="CS124" s="42"/>
      <c r="CT124" s="42"/>
      <c r="CU124" s="42"/>
      <c r="CV124" s="42"/>
      <c r="CW124" s="42"/>
      <c r="CX124" s="42"/>
      <c r="CY124" s="42"/>
      <c r="CZ124" s="42"/>
      <c r="DA124" s="42"/>
      <c r="DB124" s="42"/>
      <c r="DC124" s="42"/>
      <c r="DD124" s="42"/>
      <c r="DE124" s="42"/>
      <c r="DF124" s="42"/>
      <c r="DG124" s="42"/>
      <c r="DH124" s="42"/>
      <c r="DI124" s="42"/>
      <c r="DJ124" s="42"/>
      <c r="DK124" s="42"/>
      <c r="DL124" s="42"/>
      <c r="DM124" s="42"/>
      <c r="DN124" s="42"/>
      <c r="DO124" s="42"/>
      <c r="DP124" s="42"/>
      <c r="DQ124" s="42"/>
      <c r="DR124" s="42"/>
      <c r="DS124" s="42"/>
      <c r="DT124" s="42"/>
      <c r="DU124" s="42"/>
      <c r="DV124" s="42"/>
      <c r="DW124" s="42"/>
      <c r="DX124" s="42"/>
      <c r="DY124" s="42"/>
      <c r="DZ124" s="42"/>
      <c r="EA124" s="42"/>
      <c r="EB124" s="42"/>
      <c r="EC124" s="42"/>
      <c r="ED124" s="42"/>
      <c r="EE124" s="42"/>
      <c r="EF124" s="42"/>
      <c r="EG124" s="42"/>
      <c r="EH124" s="42"/>
      <c r="EI124" s="42"/>
      <c r="EJ124" s="42"/>
      <c r="EK124" s="42"/>
      <c r="EL124" s="42"/>
      <c r="EM124" s="42"/>
      <c r="EN124" s="42"/>
      <c r="EO124" s="42"/>
      <c r="EP124" s="42"/>
      <c r="EQ124" s="42"/>
      <c r="ER124" s="42"/>
      <c r="ES124" s="42"/>
      <c r="ET124" s="42"/>
      <c r="EU124" s="42"/>
      <c r="EV124" s="42"/>
      <c r="EW124" s="42"/>
      <c r="EX124" s="42"/>
      <c r="EY124" s="42"/>
      <c r="EZ124" s="42"/>
      <c r="FA124" s="42"/>
      <c r="FB124" s="42"/>
      <c r="FC124" s="42"/>
      <c r="FD124" s="42"/>
      <c r="FE124" s="42"/>
      <c r="FF124" s="42"/>
      <c r="FG124" s="42"/>
      <c r="FH124" s="42"/>
      <c r="FI124" s="42"/>
      <c r="FJ124" s="42"/>
      <c r="FK124" s="42"/>
      <c r="FL124" s="42"/>
      <c r="FM124" s="42"/>
      <c r="FN124" s="42"/>
      <c r="FO124" s="42"/>
      <c r="FP124" s="42"/>
      <c r="FQ124" s="42"/>
      <c r="FR124" s="42"/>
      <c r="FS124" s="42"/>
      <c r="FT124" s="42"/>
      <c r="FU124" s="42"/>
      <c r="FV124" s="42"/>
      <c r="FW124" s="42"/>
      <c r="FX124" s="42"/>
      <c r="FY124" s="42"/>
      <c r="FZ124" s="42"/>
      <c r="GA124" s="42"/>
      <c r="GB124" s="42"/>
      <c r="GC124" s="42"/>
      <c r="GD124" s="42"/>
      <c r="GE124" s="42"/>
      <c r="GF124" s="42"/>
      <c r="GG124" s="42"/>
      <c r="GH124" s="42"/>
      <c r="GI124" s="42"/>
      <c r="GJ124" s="42"/>
      <c r="GK124" s="42"/>
      <c r="GL124" s="42"/>
      <c r="GM124" s="42"/>
      <c r="GN124" s="42"/>
      <c r="GO124" s="42"/>
      <c r="GP124" s="42"/>
      <c r="GQ124" s="42"/>
      <c r="GR124" s="42"/>
      <c r="GS124" s="42"/>
      <c r="GT124" s="42"/>
      <c r="GU124" s="42"/>
      <c r="GV124" s="42"/>
      <c r="GW124" s="42"/>
      <c r="GX124" s="42"/>
    </row>
    <row r="125" spans="1:206" s="58" customFormat="1" x14ac:dyDescent="0.25">
      <c r="A125" s="170">
        <v>6</v>
      </c>
      <c r="B125" s="171" t="str">
        <f>线路!B122</f>
        <v>3#隧洞进</v>
      </c>
      <c r="C125" s="172">
        <f>线路!E122</f>
        <v>447548.77500000002</v>
      </c>
      <c r="D125" s="172">
        <f>线路!F122</f>
        <v>3039185.2850000001</v>
      </c>
      <c r="E125" s="173">
        <f>线路!G122</f>
        <v>0</v>
      </c>
      <c r="F125" s="173">
        <f>线路!H122</f>
        <v>0</v>
      </c>
      <c r="G125" s="174">
        <f>线路!L122</f>
        <v>11510.531179292773</v>
      </c>
      <c r="H125" s="174">
        <f>线路!M122</f>
        <v>11510.531179292773</v>
      </c>
      <c r="I125" s="174">
        <f>线路!N122</f>
        <v>11510.531179292773</v>
      </c>
      <c r="J125" s="175">
        <f t="shared" si="32"/>
        <v>0</v>
      </c>
      <c r="K125" s="175">
        <f t="shared" si="42"/>
        <v>10.999987485616657</v>
      </c>
      <c r="L125" s="175">
        <f>IF(A125=1,断面设计!$D$7,IF(A125=2,断面设计!$D$8,IF(A125=3,断面设计!$D$9,IF(A125=4,断面设计!$D$10,IF(A125=5,断面设计!$D$11,IF(A125=6,断面设计!$D$12,IF(A125=7,断面设计!$D$13,IF(A125=8,断面设计!$D$14,IF(A125=9,断面设计!$D$15,IF(A125=10,断面设计!$D$16))))))))))</f>
        <v>1.2</v>
      </c>
      <c r="M125" s="175">
        <f t="shared" si="43"/>
        <v>0</v>
      </c>
      <c r="N125" s="176">
        <f t="shared" si="50"/>
        <v>1.4E-2</v>
      </c>
      <c r="O125" s="175">
        <f>IF(A125=5,断面设计!$O$37,IF(A125=6,断面设计!$O$38,IF(A125=7,断面设计!$O$39,IF(A125=9,断面设计!$O$40,IF(A125=10,断面设计!$O$41)))))</f>
        <v>2000</v>
      </c>
      <c r="P125" s="177">
        <f>IF(A125=1,断面设计!$K$7,IF(A125=2,断面设计!$K$8,IF(A125=3,断面设计!$K$9,IF(A125=4,断面设计!$K$10,IF(A125=5,断面设计!$K$11,IF(A125=6,断面设计!$K$12,IF(A125=7,断面设计!$K$13,IF(A125=8,断面设计!$K$14,IF(A125=9,断面设计!$K$15,IF(A125=10,断面设计!$K$16))))))))))</f>
        <v>3.1003625801059727</v>
      </c>
      <c r="Q125" s="176">
        <f>IF(A125=5,断面设计!$C$37,IF(A125=6,断面设计!$C$38,IF(A125=7,断面设计!$C$39,IF(A125=9,断面设计!$C$40,IF(A125=10,断面设计!$C$41)))))</f>
        <v>1.3922113918338499</v>
      </c>
      <c r="R125" s="175">
        <f>IF(A125=5,断面设计!$K$37,IF(A125=6,断面设计!$K$38,IF(A125=7,断面设计!$K$39,IF(A125=9,断面设计!$K$40,IF(A125=10,断面设计!$K$41)))))</f>
        <v>2.7844227836676998</v>
      </c>
      <c r="S125" s="175">
        <f>IF(A125=5,断面设计!$L$37,IF(A125=6,断面设计!$L$38,IF(A125=7,断面设计!$L$39,IF(A125=9,断面设计!$L$40,IF(A125=10,断面设计!$L$41)))))</f>
        <v>4.7844227836676998</v>
      </c>
      <c r="T125" s="175">
        <f t="shared" si="44"/>
        <v>0.58197674193274029</v>
      </c>
      <c r="U125" s="175">
        <f t="shared" si="45"/>
        <v>1.1134668909805825</v>
      </c>
      <c r="V125" s="179"/>
      <c r="W125" s="176">
        <f>1.15*(U125^2/2-U124^2/2)/9.81</f>
        <v>-9.374369938495445E-3</v>
      </c>
      <c r="X125" s="176">
        <f>IF(AN125=0,IF(AN124=2,(H125-H124-AE124)/O125,(H125-H124)/O125),IF(AN125=1,IF(AN124=2,IF(AE125&lt;9,(H125-H124-AE125-AE124)/断面设计!$J$7,(H125-H124-AE125-AE124)/断面设计!$J$7),(H125-H124-AE125)/O124),(H125-H124)/O125))</f>
        <v>9.9997497123331417E-5</v>
      </c>
      <c r="Y125" s="181">
        <v>0</v>
      </c>
      <c r="Z125" s="182">
        <f t="shared" si="51"/>
        <v>0</v>
      </c>
      <c r="AA125" s="183"/>
      <c r="AB125" s="181">
        <f t="shared" si="33"/>
        <v>1.3922113918338499</v>
      </c>
      <c r="AC125" s="176">
        <f t="shared" si="34"/>
        <v>-9.2743724413721137E-3</v>
      </c>
      <c r="AD125" s="176">
        <f t="shared" ca="1" si="47"/>
        <v>2383.1490648088916</v>
      </c>
      <c r="AE125" s="185">
        <v>4.5</v>
      </c>
      <c r="AF125" s="176">
        <f t="shared" ca="1" si="35"/>
        <v>2383.139690438953</v>
      </c>
      <c r="AG125" s="176">
        <f ca="1">IF(AE125=0," ",AF125-断面设计!$C$7)</f>
        <v>2381.5397446025531</v>
      </c>
      <c r="AH125" s="176" t="str">
        <f t="shared" si="36"/>
        <v xml:space="preserve"> </v>
      </c>
      <c r="AI125" s="176" t="str">
        <f t="shared" si="37"/>
        <v xml:space="preserve"> </v>
      </c>
      <c r="AJ125" s="176" t="str">
        <f t="shared" si="38"/>
        <v xml:space="preserve"> </v>
      </c>
      <c r="AK125" s="176" t="str">
        <f t="shared" si="39"/>
        <v xml:space="preserve"> </v>
      </c>
      <c r="AL125" s="176">
        <f t="shared" ca="1" si="40"/>
        <v>2383.1490648088916</v>
      </c>
      <c r="AM125" s="176">
        <f t="shared" ca="1" si="41"/>
        <v>2381.7568534170578</v>
      </c>
      <c r="AN125" s="180">
        <v>1</v>
      </c>
      <c r="AO125" s="170">
        <v>1</v>
      </c>
      <c r="AP125" s="42"/>
      <c r="AQ125" s="42"/>
      <c r="AR125" s="42"/>
      <c r="AS125" s="42"/>
      <c r="AT125" s="42"/>
      <c r="AU125" s="64" t="str">
        <f t="shared" ca="1" si="49"/>
        <v>11510.5311792928,2381.75685341706</v>
      </c>
      <c r="AV125" s="64" t="str">
        <f t="shared" ca="1" si="55"/>
        <v>11510.5311792928,2383.14906480889</v>
      </c>
      <c r="AW125" s="169" t="str">
        <f t="shared" si="56"/>
        <v xml:space="preserve">pl 11510.5311792928,0 11510.5311792928,76 </v>
      </c>
      <c r="AX125" s="161" t="str">
        <f t="shared" ca="1" si="52"/>
        <v>-text 11510.5311792928,48 3.5 90 2381.757</v>
      </c>
      <c r="AY125" s="161" t="str">
        <f t="shared" ca="1" si="53"/>
        <v>-text 11510.5311792928,62.5 3.5 90 2383.149</v>
      </c>
      <c r="AZ125" s="42" t="str">
        <f t="shared" si="54"/>
        <v>-text 11510.5311792928,23.5 3.5 90 马分11+510.53</v>
      </c>
      <c r="BA125" s="42"/>
      <c r="BB125" s="42"/>
      <c r="BC125" s="42"/>
      <c r="BD125" s="42"/>
      <c r="BE125" s="42"/>
      <c r="BF125" s="42"/>
      <c r="BG125" s="42"/>
      <c r="BH125" s="42"/>
      <c r="BI125" s="42"/>
      <c r="BJ125" s="42"/>
      <c r="BK125" s="42"/>
      <c r="BL125" s="42"/>
      <c r="BM125" s="42"/>
      <c r="BN125" s="42"/>
      <c r="BO125" s="42"/>
      <c r="BP125" s="42"/>
      <c r="BQ125" s="42"/>
      <c r="BR125" s="42"/>
      <c r="BS125" s="42"/>
      <c r="BT125" s="42"/>
      <c r="BU125" s="42"/>
      <c r="BV125" s="42"/>
      <c r="BW125" s="42"/>
      <c r="BX125" s="42"/>
      <c r="BY125" s="42"/>
      <c r="BZ125" s="42"/>
      <c r="CA125" s="42"/>
      <c r="CB125" s="42"/>
      <c r="CC125" s="42"/>
      <c r="CD125" s="42"/>
      <c r="CE125" s="42"/>
      <c r="CF125" s="42"/>
      <c r="CG125" s="42"/>
      <c r="CH125" s="42"/>
      <c r="CI125" s="42"/>
      <c r="CJ125" s="42"/>
      <c r="CK125" s="42"/>
      <c r="CL125" s="42"/>
      <c r="CM125" s="42"/>
      <c r="CN125" s="42"/>
      <c r="CO125" s="42"/>
      <c r="CP125" s="42"/>
      <c r="CQ125" s="42"/>
      <c r="CR125" s="42"/>
      <c r="CS125" s="42"/>
      <c r="CT125" s="42"/>
      <c r="CU125" s="42"/>
      <c r="CV125" s="42"/>
      <c r="CW125" s="42"/>
      <c r="CX125" s="42"/>
      <c r="CY125" s="42"/>
      <c r="CZ125" s="42"/>
      <c r="DA125" s="42"/>
      <c r="DB125" s="42"/>
      <c r="DC125" s="42"/>
      <c r="DD125" s="42"/>
      <c r="DE125" s="42"/>
      <c r="DF125" s="42"/>
      <c r="DG125" s="42"/>
      <c r="DH125" s="42"/>
      <c r="DI125" s="42"/>
      <c r="DJ125" s="42"/>
      <c r="DK125" s="42"/>
      <c r="DL125" s="42"/>
      <c r="DM125" s="42"/>
      <c r="DN125" s="42"/>
      <c r="DO125" s="42"/>
      <c r="DP125" s="42"/>
      <c r="DQ125" s="42"/>
      <c r="DR125" s="42"/>
      <c r="DS125" s="42"/>
      <c r="DT125" s="42"/>
      <c r="DU125" s="42"/>
      <c r="DV125" s="42"/>
      <c r="DW125" s="42"/>
      <c r="DX125" s="42"/>
      <c r="DY125" s="42"/>
      <c r="DZ125" s="42"/>
      <c r="EA125" s="42"/>
      <c r="EB125" s="42"/>
      <c r="EC125" s="42"/>
      <c r="ED125" s="42"/>
      <c r="EE125" s="42"/>
      <c r="EF125" s="42"/>
      <c r="EG125" s="42"/>
      <c r="EH125" s="42"/>
      <c r="EI125" s="42"/>
      <c r="EJ125" s="42"/>
      <c r="EK125" s="42"/>
      <c r="EL125" s="42"/>
      <c r="EM125" s="42"/>
      <c r="EN125" s="42"/>
      <c r="EO125" s="42"/>
      <c r="EP125" s="42"/>
      <c r="EQ125" s="42"/>
      <c r="ER125" s="42"/>
      <c r="ES125" s="42"/>
      <c r="ET125" s="42"/>
      <c r="EU125" s="42"/>
      <c r="EV125" s="42"/>
      <c r="EW125" s="42"/>
      <c r="EX125" s="42"/>
      <c r="EY125" s="42"/>
      <c r="EZ125" s="42"/>
      <c r="FA125" s="42"/>
      <c r="FB125" s="42"/>
      <c r="FC125" s="42"/>
      <c r="FD125" s="42"/>
      <c r="FE125" s="42"/>
      <c r="FF125" s="42"/>
      <c r="FG125" s="42"/>
      <c r="FH125" s="42"/>
      <c r="FI125" s="42"/>
      <c r="FJ125" s="42"/>
      <c r="FK125" s="42"/>
      <c r="FL125" s="42"/>
      <c r="FM125" s="42"/>
      <c r="FN125" s="42"/>
      <c r="FO125" s="42"/>
      <c r="FP125" s="42"/>
      <c r="FQ125" s="42"/>
      <c r="FR125" s="42"/>
      <c r="FS125" s="42"/>
      <c r="FT125" s="42"/>
      <c r="FU125" s="42"/>
      <c r="FV125" s="42"/>
      <c r="FW125" s="42"/>
      <c r="FX125" s="42"/>
      <c r="FY125" s="42"/>
      <c r="FZ125" s="42"/>
      <c r="GA125" s="42"/>
      <c r="GB125" s="42"/>
      <c r="GC125" s="42"/>
      <c r="GD125" s="42"/>
      <c r="GE125" s="42"/>
      <c r="GF125" s="42"/>
      <c r="GG125" s="42"/>
      <c r="GH125" s="42"/>
      <c r="GI125" s="42"/>
      <c r="GJ125" s="42"/>
      <c r="GK125" s="42"/>
      <c r="GL125" s="42"/>
      <c r="GM125" s="42"/>
      <c r="GN125" s="42"/>
      <c r="GO125" s="42"/>
      <c r="GP125" s="42"/>
      <c r="GQ125" s="42"/>
      <c r="GR125" s="42"/>
      <c r="GS125" s="42"/>
      <c r="GT125" s="42"/>
      <c r="GU125" s="42"/>
      <c r="GV125" s="42"/>
      <c r="GW125" s="42"/>
      <c r="GX125" s="42"/>
    </row>
    <row r="126" spans="1:206" s="58" customFormat="1" x14ac:dyDescent="0.25">
      <c r="A126" s="170">
        <v>6</v>
      </c>
      <c r="B126" s="171" t="str">
        <f>线路!B123</f>
        <v>IP84</v>
      </c>
      <c r="C126" s="172">
        <f>线路!E123</f>
        <v>447522.20939999999</v>
      </c>
      <c r="D126" s="172">
        <f>线路!F123</f>
        <v>3039133.3983</v>
      </c>
      <c r="E126" s="173">
        <f>线路!G123</f>
        <v>12</v>
      </c>
      <c r="F126" s="173">
        <f>线路!H123</f>
        <v>16.311</v>
      </c>
      <c r="G126" s="174">
        <f>线路!L123</f>
        <v>11567.103495225041</v>
      </c>
      <c r="H126" s="174">
        <f>线路!M123</f>
        <v>11568.811579150797</v>
      </c>
      <c r="I126" s="174">
        <f>线路!N123</f>
        <v>11570.519663076555</v>
      </c>
      <c r="J126" s="175">
        <f t="shared" si="32"/>
        <v>3.4161678515138192</v>
      </c>
      <c r="K126" s="175">
        <f t="shared" si="42"/>
        <v>58.280399858023884</v>
      </c>
      <c r="L126" s="175">
        <f>IF(A126=1,断面设计!$D$7,IF(A126=2,断面设计!$D$8,IF(A126=3,断面设计!$D$9,IF(A126=4,断面设计!$D$10,IF(A126=5,断面设计!$D$11,IF(A126=6,断面设计!$D$12,IF(A126=7,断面设计!$D$13,IF(A126=8,断面设计!$D$14,IF(A126=9,断面设计!$D$15,IF(A126=10,断面设计!$D$16))))))))))</f>
        <v>1.2</v>
      </c>
      <c r="M126" s="175">
        <f t="shared" si="43"/>
        <v>0</v>
      </c>
      <c r="N126" s="176">
        <f t="shared" si="50"/>
        <v>1.4E-2</v>
      </c>
      <c r="O126" s="175">
        <f>IF(A126=5,断面设计!$O$37,IF(A126=6,断面设计!$O$38,IF(A126=7,断面设计!$O$39,IF(A126=9,断面设计!$O$40,IF(A126=10,断面设计!$O$41)))))</f>
        <v>2000</v>
      </c>
      <c r="P126" s="177">
        <f>IF(A126=1,断面设计!$K$7,IF(A126=2,断面设计!$K$8,IF(A126=3,断面设计!$K$9,IF(A126=4,断面设计!$K$10,IF(A126=5,断面设计!$K$11,IF(A126=6,断面设计!$K$12,IF(A126=7,断面设计!$K$13,IF(A126=8,断面设计!$K$14,IF(A126=9,断面设计!$K$15,IF(A126=10,断面设计!$K$16))))))))))</f>
        <v>3.1003625801059727</v>
      </c>
      <c r="Q126" s="176">
        <f>IF(A126=5,断面设计!$C$37,IF(A126=6,断面设计!$C$38,IF(A126=7,断面设计!$C$39,IF(A126=9,断面设计!$C$40,IF(A126=10,断面设计!$C$41)))))</f>
        <v>1.3922113918338499</v>
      </c>
      <c r="R126" s="175">
        <f>IF(A126=5,断面设计!$K$37,IF(A126=6,断面设计!$K$38,IF(A126=7,断面设计!$K$39,IF(A126=9,断面设计!$K$40,IF(A126=10,断面设计!$K$41)))))</f>
        <v>2.7844227836676998</v>
      </c>
      <c r="S126" s="175">
        <f>IF(A126=5,断面设计!$L$37,IF(A126=6,断面设计!$L$38,IF(A126=7,断面设计!$L$39,IF(A126=9,断面设计!$L$40,IF(A126=10,断面设计!$L$41)))))</f>
        <v>4.7844227836676998</v>
      </c>
      <c r="T126" s="175">
        <f t="shared" si="44"/>
        <v>0.58197674193274029</v>
      </c>
      <c r="U126" s="175">
        <f t="shared" si="45"/>
        <v>1.1134668909805825</v>
      </c>
      <c r="V126" s="179">
        <f t="shared" si="46"/>
        <v>4.052008177512745E-4</v>
      </c>
      <c r="W126" s="180"/>
      <c r="X126" s="176">
        <f>IF(AN126=0,IF(AN125=2,(H126-H125-AE125)/O126,(H126-H125)/O126),IF(AN126=1,IF(AN125=2,IF(AE126&lt;9,(H126-H125-AE126-AE125)/断面设计!$J$7,(H126-H125-AE126-AE125)/断面设计!$J$7),(H126-H125-AE126)/O125),(H126-H125)/O126))</f>
        <v>2.9140199929011942E-2</v>
      </c>
      <c r="Y126" s="181">
        <v>0</v>
      </c>
      <c r="Z126" s="182">
        <f t="shared" si="51"/>
        <v>0</v>
      </c>
      <c r="AA126" s="183"/>
      <c r="AB126" s="181">
        <f t="shared" si="33"/>
        <v>1.3922113918338499</v>
      </c>
      <c r="AC126" s="176">
        <f t="shared" si="34"/>
        <v>2.9545400746763217E-2</v>
      </c>
      <c r="AD126" s="176">
        <f t="shared" ca="1" si="47"/>
        <v>2383.1195194081447</v>
      </c>
      <c r="AE126" s="184">
        <f t="shared" si="48"/>
        <v>0</v>
      </c>
      <c r="AF126" s="176" t="str">
        <f t="shared" si="35"/>
        <v xml:space="preserve"> </v>
      </c>
      <c r="AG126" s="176" t="str">
        <f>IF(AE126=0," ",AF126-断面设计!$C$7)</f>
        <v xml:space="preserve"> </v>
      </c>
      <c r="AH126" s="176">
        <f t="shared" ca="1" si="36"/>
        <v>2383.1207786509253</v>
      </c>
      <c r="AI126" s="176">
        <f t="shared" ca="1" si="37"/>
        <v>2381.7285672590915</v>
      </c>
      <c r="AJ126" s="176">
        <f t="shared" ca="1" si="38"/>
        <v>2383.1186653661816</v>
      </c>
      <c r="AK126" s="176">
        <f t="shared" ca="1" si="39"/>
        <v>2381.7264539743478</v>
      </c>
      <c r="AL126" s="176">
        <f t="shared" ca="1" si="40"/>
        <v>2383.1197220085537</v>
      </c>
      <c r="AM126" s="176">
        <f t="shared" ca="1" si="41"/>
        <v>2381.7275106167199</v>
      </c>
      <c r="AN126" s="180"/>
      <c r="AO126" s="170">
        <v>1</v>
      </c>
      <c r="AP126" s="42"/>
      <c r="AQ126" s="42"/>
      <c r="AR126" s="42"/>
      <c r="AS126" s="42"/>
      <c r="AT126" s="42"/>
      <c r="AU126" s="64" t="str">
        <f t="shared" ca="1" si="49"/>
        <v>11568.8115791508,2381.72751061672</v>
      </c>
      <c r="AV126" s="64" t="str">
        <f t="shared" ca="1" si="55"/>
        <v>11568.8115791508,2383.11972200855</v>
      </c>
      <c r="AW126" s="169" t="str">
        <f t="shared" si="56"/>
        <v xml:space="preserve">pl 11568.8115791508,0 11568.8115791508,76 </v>
      </c>
      <c r="AX126" s="161" t="str">
        <f t="shared" ca="1" si="52"/>
        <v>-text 11568.8115791508,48 3.5 90 2381.728</v>
      </c>
      <c r="AY126" s="161" t="str">
        <f t="shared" ca="1" si="53"/>
        <v>-text 11568.8115791508,62.5 3.5 90 2383.120</v>
      </c>
      <c r="AZ126" s="42" t="str">
        <f t="shared" si="54"/>
        <v>-text 11568.8115791508,23.5 3.5 90 马分11+568.81</v>
      </c>
      <c r="BA126" s="42"/>
      <c r="BB126" s="42"/>
      <c r="BC126" s="42"/>
      <c r="BD126" s="42"/>
      <c r="BE126" s="42"/>
      <c r="BF126" s="42"/>
      <c r="BG126" s="42"/>
      <c r="BH126" s="42"/>
      <c r="BI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2"/>
      <c r="CH126" s="42"/>
      <c r="CI126" s="42"/>
      <c r="CJ126" s="42"/>
      <c r="CK126" s="42"/>
      <c r="CL126" s="42"/>
      <c r="CM126" s="42"/>
      <c r="CN126" s="42"/>
      <c r="CO126" s="42"/>
      <c r="CP126" s="42"/>
      <c r="CQ126" s="42"/>
      <c r="CR126" s="42"/>
      <c r="CS126" s="42"/>
      <c r="CT126" s="42"/>
      <c r="CU126" s="42"/>
      <c r="CV126" s="42"/>
      <c r="CW126" s="42"/>
      <c r="CX126" s="42"/>
      <c r="CY126" s="42"/>
      <c r="CZ126" s="42"/>
      <c r="DA126" s="42"/>
      <c r="DB126" s="42"/>
      <c r="DC126" s="42"/>
      <c r="DD126" s="42"/>
      <c r="DE126" s="42"/>
      <c r="DF126" s="42"/>
      <c r="DG126" s="42"/>
      <c r="DH126" s="42"/>
      <c r="DI126" s="42"/>
      <c r="DJ126" s="42"/>
      <c r="DK126" s="42"/>
      <c r="DL126" s="42"/>
      <c r="DM126" s="42"/>
      <c r="DN126" s="42"/>
      <c r="DO126" s="42"/>
      <c r="DP126" s="42"/>
      <c r="DQ126" s="42"/>
      <c r="DR126" s="42"/>
      <c r="DS126" s="42"/>
      <c r="DT126" s="42"/>
      <c r="DU126" s="42"/>
      <c r="DV126" s="42"/>
      <c r="DW126" s="42"/>
      <c r="DX126" s="42"/>
      <c r="DY126" s="42"/>
      <c r="DZ126" s="42"/>
      <c r="EA126" s="42"/>
      <c r="EB126" s="42"/>
      <c r="EC126" s="42"/>
      <c r="ED126" s="42"/>
      <c r="EE126" s="42"/>
      <c r="EF126" s="42"/>
      <c r="EG126" s="42"/>
      <c r="EH126" s="42"/>
      <c r="EI126" s="42"/>
      <c r="EJ126" s="42"/>
      <c r="EK126" s="42"/>
      <c r="EL126" s="42"/>
      <c r="EM126" s="42"/>
      <c r="EN126" s="42"/>
      <c r="EO126" s="42"/>
      <c r="EP126" s="42"/>
      <c r="EQ126" s="42"/>
      <c r="ER126" s="42"/>
      <c r="ES126" s="42"/>
      <c r="ET126" s="42"/>
      <c r="EU126" s="42"/>
      <c r="EV126" s="42"/>
      <c r="EW126" s="42"/>
      <c r="EX126" s="42"/>
      <c r="EY126" s="42"/>
      <c r="EZ126" s="42"/>
      <c r="FA126" s="42"/>
      <c r="FB126" s="42"/>
      <c r="FC126" s="42"/>
      <c r="FD126" s="42"/>
      <c r="FE126" s="42"/>
      <c r="FF126" s="42"/>
      <c r="FG126" s="42"/>
      <c r="FH126" s="42"/>
      <c r="FI126" s="42"/>
      <c r="FJ126" s="42"/>
      <c r="FK126" s="42"/>
      <c r="FL126" s="42"/>
      <c r="FM126" s="42"/>
      <c r="FN126" s="42"/>
      <c r="FO126" s="42"/>
      <c r="FP126" s="42"/>
      <c r="FQ126" s="42"/>
      <c r="FR126" s="42"/>
      <c r="FS126" s="42"/>
      <c r="FT126" s="42"/>
      <c r="FU126" s="42"/>
      <c r="FV126" s="42"/>
      <c r="FW126" s="42"/>
      <c r="FX126" s="42"/>
      <c r="FY126" s="42"/>
      <c r="FZ126" s="42"/>
      <c r="GA126" s="42"/>
      <c r="GB126" s="42"/>
      <c r="GC126" s="42"/>
      <c r="GD126" s="42"/>
      <c r="GE126" s="42"/>
      <c r="GF126" s="42"/>
      <c r="GG126" s="42"/>
      <c r="GH126" s="42"/>
      <c r="GI126" s="42"/>
      <c r="GJ126" s="42"/>
      <c r="GK126" s="42"/>
      <c r="GL126" s="42"/>
      <c r="GM126" s="42"/>
      <c r="GN126" s="42"/>
      <c r="GO126" s="42"/>
      <c r="GP126" s="42"/>
      <c r="GQ126" s="42"/>
      <c r="GR126" s="42"/>
      <c r="GS126" s="42"/>
      <c r="GT126" s="42"/>
      <c r="GU126" s="42"/>
      <c r="GV126" s="42"/>
      <c r="GW126" s="42"/>
      <c r="GX126" s="42"/>
    </row>
    <row r="127" spans="1:206" s="58" customFormat="1" x14ac:dyDescent="0.25">
      <c r="A127" s="170">
        <v>6</v>
      </c>
      <c r="B127" s="171" t="str">
        <f>线路!B124</f>
        <v>3#隧洞出</v>
      </c>
      <c r="C127" s="172">
        <f>线路!E124</f>
        <v>447457.26630000002</v>
      </c>
      <c r="D127" s="172">
        <f>线路!F124</f>
        <v>3039064.7793999999</v>
      </c>
      <c r="E127" s="173">
        <f>线路!G124</f>
        <v>0</v>
      </c>
      <c r="F127" s="173">
        <f>线路!H124</f>
        <v>0</v>
      </c>
      <c r="G127" s="174">
        <f>线路!L124</f>
        <v>11663.278304780293</v>
      </c>
      <c r="H127" s="174">
        <f>线路!M124</f>
        <v>11663.278304780293</v>
      </c>
      <c r="I127" s="174">
        <f>线路!N124</f>
        <v>11663.278304780293</v>
      </c>
      <c r="J127" s="175">
        <f t="shared" si="32"/>
        <v>0</v>
      </c>
      <c r="K127" s="175">
        <f t="shared" si="42"/>
        <v>94.466725629496068</v>
      </c>
      <c r="L127" s="175">
        <f>IF(A127=1,断面设计!$D$7,IF(A127=2,断面设计!$D$8,IF(A127=3,断面设计!$D$9,IF(A127=4,断面设计!$D$10,IF(A127=5,断面设计!$D$11,IF(A127=6,断面设计!$D$12,IF(A127=7,断面设计!$D$13,IF(A127=8,断面设计!$D$14,IF(A127=9,断面设计!$D$15,IF(A127=10,断面设计!$D$16))))))))))</f>
        <v>1.2</v>
      </c>
      <c r="M127" s="175">
        <f t="shared" si="43"/>
        <v>0</v>
      </c>
      <c r="N127" s="176">
        <f t="shared" si="50"/>
        <v>1.4E-2</v>
      </c>
      <c r="O127" s="175">
        <f>IF(A127=5,断面设计!$O$37,IF(A127=6,断面设计!$O$38,IF(A127=7,断面设计!$O$39,IF(A127=9,断面设计!$O$40,IF(A127=10,断面设计!$O$41)))))</f>
        <v>2000</v>
      </c>
      <c r="P127" s="177">
        <f>IF(A127=1,断面设计!$K$7,IF(A127=2,断面设计!$K$8,IF(A127=3,断面设计!$K$9,IF(A127=4,断面设计!$K$10,IF(A127=5,断面设计!$K$11,IF(A127=6,断面设计!$K$12,IF(A127=7,断面设计!$K$13,IF(A127=8,断面设计!$K$14,IF(A127=9,断面设计!$K$15,IF(A127=10,断面设计!$K$16))))))))))</f>
        <v>3.1003625801059727</v>
      </c>
      <c r="Q127" s="176">
        <f>IF(A127=5,断面设计!$C$37,IF(A127=6,断面设计!$C$38,IF(A127=7,断面设计!$C$39,IF(A127=9,断面设计!$C$40,IF(A127=10,断面设计!$C$41)))))</f>
        <v>1.3922113918338499</v>
      </c>
      <c r="R127" s="175">
        <f>IF(A127=5,断面设计!$K$37,IF(A127=6,断面设计!$K$38,IF(A127=7,断面设计!$K$39,IF(A127=9,断面设计!$K$40,IF(A127=10,断面设计!$K$41)))))</f>
        <v>2.7844227836676998</v>
      </c>
      <c r="S127" s="175">
        <f>IF(A127=5,断面设计!$L$37,IF(A127=6,断面设计!$L$38,IF(A127=7,断面设计!$L$39,IF(A127=9,断面设计!$L$40,IF(A127=10,断面设计!$L$41)))))</f>
        <v>4.7844227836676998</v>
      </c>
      <c r="T127" s="175">
        <f t="shared" si="44"/>
        <v>0.58197674193274029</v>
      </c>
      <c r="U127" s="175">
        <f t="shared" si="45"/>
        <v>1.1134668909805825</v>
      </c>
      <c r="V127" s="179"/>
      <c r="W127" s="176">
        <f>-0.6*(U127^2/2-U128^2/2)/9.81</f>
        <v>-2.0155388331512671E-2</v>
      </c>
      <c r="X127" s="176">
        <f>IF(AN127=0,IF(AN126=2,(H127-H126-AE126)/O127,(H127-H126)/O127),IF(AN127=1,IF(AN126=2,IF(AE127&lt;9,(H127-H126-AE127-AE126)/断面设计!$J$7,(H127-H126-AE127-AE126)/断面设计!$J$7),(H127-H126-AE127)/O126),(H127-H126)/O127))</f>
        <v>4.7233362814748034E-2</v>
      </c>
      <c r="Y127" s="181">
        <v>0</v>
      </c>
      <c r="Z127" s="182">
        <f t="shared" si="51"/>
        <v>0</v>
      </c>
      <c r="AA127" s="183"/>
      <c r="AB127" s="181">
        <f t="shared" si="33"/>
        <v>1.3922113918338499</v>
      </c>
      <c r="AC127" s="176">
        <f t="shared" si="34"/>
        <v>2.7077974483235363E-2</v>
      </c>
      <c r="AD127" s="176">
        <f t="shared" ca="1" si="47"/>
        <v>2383.0924414336614</v>
      </c>
      <c r="AE127" s="184">
        <v>5</v>
      </c>
      <c r="AF127" s="176">
        <f t="shared" ca="1" si="35"/>
        <v>2383.0924414336614</v>
      </c>
      <c r="AG127" s="176">
        <f ca="1">IF(AE127=0," ",AF127-断面设计!$C$7)</f>
        <v>2381.4924955972615</v>
      </c>
      <c r="AH127" s="176" t="str">
        <f t="shared" si="36"/>
        <v xml:space="preserve"> </v>
      </c>
      <c r="AI127" s="176" t="str">
        <f t="shared" si="37"/>
        <v xml:space="preserve"> </v>
      </c>
      <c r="AJ127" s="176" t="str">
        <f t="shared" si="38"/>
        <v xml:space="preserve"> </v>
      </c>
      <c r="AK127" s="176" t="str">
        <f t="shared" si="39"/>
        <v xml:space="preserve"> </v>
      </c>
      <c r="AL127" s="176">
        <f t="shared" ca="1" si="40"/>
        <v>2383.0722860453297</v>
      </c>
      <c r="AM127" s="176">
        <f t="shared" ca="1" si="41"/>
        <v>2381.6800746534959</v>
      </c>
      <c r="AN127" s="180">
        <v>2</v>
      </c>
      <c r="AO127" s="170">
        <v>1</v>
      </c>
      <c r="AP127" s="42"/>
      <c r="AQ127" s="42"/>
      <c r="AR127" s="42"/>
      <c r="AS127" s="42"/>
      <c r="AT127" s="42"/>
      <c r="AU127" s="64" t="str">
        <f t="shared" ca="1" si="49"/>
        <v>11663.2783047803,2381.6800746535</v>
      </c>
      <c r="AV127" s="64" t="str">
        <f t="shared" ca="1" si="55"/>
        <v>11663.2783047803,2383.07228604533</v>
      </c>
      <c r="AW127" s="169" t="str">
        <f t="shared" si="56"/>
        <v xml:space="preserve">pl 11663.2783047803,0 11663.2783047803,76 </v>
      </c>
      <c r="AX127" s="161" t="str">
        <f t="shared" ca="1" si="52"/>
        <v>-text 11663.2783047803,48 3.5 90 2381.680</v>
      </c>
      <c r="AY127" s="161" t="str">
        <f t="shared" ca="1" si="53"/>
        <v>-text 11663.2783047803,62.5 3.5 90 2383.072</v>
      </c>
      <c r="AZ127" s="42" t="str">
        <f t="shared" si="54"/>
        <v>-text 11663.2783047803,23.5 3.5 90 马分11+663.28</v>
      </c>
      <c r="BA127" s="42"/>
      <c r="BB127" s="42"/>
      <c r="BC127" s="42"/>
      <c r="BD127" s="42"/>
      <c r="BE127" s="42"/>
      <c r="BF127" s="42"/>
      <c r="BG127" s="42"/>
      <c r="BH127" s="42"/>
      <c r="BI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2"/>
      <c r="CH127" s="42"/>
      <c r="CI127" s="42"/>
      <c r="CJ127" s="42"/>
      <c r="CK127" s="42"/>
      <c r="CL127" s="42"/>
      <c r="CM127" s="42"/>
      <c r="CN127" s="42"/>
      <c r="CO127" s="42"/>
      <c r="CP127" s="42"/>
      <c r="CQ127" s="42"/>
      <c r="CR127" s="42"/>
      <c r="CS127" s="42"/>
      <c r="CT127" s="42"/>
      <c r="CU127" s="42"/>
      <c r="CV127" s="42"/>
      <c r="CW127" s="42"/>
      <c r="CX127" s="42"/>
      <c r="CY127" s="42"/>
      <c r="CZ127" s="42"/>
      <c r="DA127" s="42"/>
      <c r="DB127" s="42"/>
      <c r="DC127" s="42"/>
      <c r="DD127" s="42"/>
      <c r="DE127" s="42"/>
      <c r="DF127" s="42"/>
      <c r="DG127" s="42"/>
      <c r="DH127" s="42"/>
      <c r="DI127" s="42"/>
      <c r="DJ127" s="42"/>
      <c r="DK127" s="42"/>
      <c r="DL127" s="42"/>
      <c r="DM127" s="42"/>
      <c r="DN127" s="42"/>
      <c r="DO127" s="42"/>
      <c r="DP127" s="42"/>
      <c r="DQ127" s="42"/>
      <c r="DR127" s="42"/>
      <c r="DS127" s="42"/>
      <c r="DT127" s="42"/>
      <c r="DU127" s="42"/>
      <c r="DV127" s="42"/>
      <c r="DW127" s="42"/>
      <c r="DX127" s="42"/>
      <c r="DY127" s="42"/>
      <c r="DZ127" s="42"/>
      <c r="EA127" s="42"/>
      <c r="EB127" s="42"/>
      <c r="EC127" s="42"/>
      <c r="ED127" s="42"/>
      <c r="EE127" s="42"/>
      <c r="EF127" s="42"/>
      <c r="EG127" s="42"/>
      <c r="EH127" s="42"/>
      <c r="EI127" s="42"/>
      <c r="EJ127" s="42"/>
      <c r="EK127" s="42"/>
      <c r="EL127" s="42"/>
      <c r="EM127" s="42"/>
      <c r="EN127" s="42"/>
      <c r="EO127" s="42"/>
      <c r="EP127" s="42"/>
      <c r="EQ127" s="42"/>
      <c r="ER127" s="42"/>
      <c r="ES127" s="42"/>
      <c r="ET127" s="42"/>
      <c r="EU127" s="42"/>
      <c r="EV127" s="42"/>
      <c r="EW127" s="42"/>
      <c r="EX127" s="42"/>
      <c r="EY127" s="42"/>
      <c r="EZ127" s="42"/>
      <c r="FA127" s="42"/>
      <c r="FB127" s="42"/>
      <c r="FC127" s="42"/>
      <c r="FD127" s="42"/>
      <c r="FE127" s="42"/>
      <c r="FF127" s="42"/>
      <c r="FG127" s="42"/>
      <c r="FH127" s="42"/>
      <c r="FI127" s="42"/>
      <c r="FJ127" s="42"/>
      <c r="FK127" s="42"/>
      <c r="FL127" s="42"/>
      <c r="FM127" s="42"/>
      <c r="FN127" s="42"/>
      <c r="FO127" s="42"/>
      <c r="FP127" s="42"/>
      <c r="FQ127" s="42"/>
      <c r="FR127" s="42"/>
      <c r="FS127" s="42"/>
      <c r="FT127" s="42"/>
      <c r="FU127" s="42"/>
      <c r="FV127" s="42"/>
      <c r="FW127" s="42"/>
      <c r="FX127" s="42"/>
      <c r="FY127" s="42"/>
      <c r="FZ127" s="42"/>
      <c r="GA127" s="42"/>
      <c r="GB127" s="42"/>
      <c r="GC127" s="42"/>
      <c r="GD127" s="42"/>
      <c r="GE127" s="42"/>
      <c r="GF127" s="42"/>
      <c r="GG127" s="42"/>
      <c r="GH127" s="42"/>
      <c r="GI127" s="42"/>
      <c r="GJ127" s="42"/>
      <c r="GK127" s="42"/>
      <c r="GL127" s="42"/>
      <c r="GM127" s="42"/>
      <c r="GN127" s="42"/>
      <c r="GO127" s="42"/>
      <c r="GP127" s="42"/>
      <c r="GQ127" s="42"/>
      <c r="GR127" s="42"/>
      <c r="GS127" s="42"/>
      <c r="GT127" s="42"/>
      <c r="GU127" s="42"/>
      <c r="GV127" s="42"/>
      <c r="GW127" s="42"/>
      <c r="GX127" s="42"/>
    </row>
    <row r="128" spans="1:206" s="55" customFormat="1" x14ac:dyDescent="0.25">
      <c r="A128" s="92">
        <v>6</v>
      </c>
      <c r="B128" s="93" t="str">
        <f>线路!B125</f>
        <v>9#倒虹吸进</v>
      </c>
      <c r="C128" s="94">
        <f>线路!E125</f>
        <v>447426.76130000001</v>
      </c>
      <c r="D128" s="94">
        <f>线路!F125</f>
        <v>3039032.5477999998</v>
      </c>
      <c r="E128" s="95">
        <f>线路!G125</f>
        <v>0</v>
      </c>
      <c r="F128" s="95">
        <f>线路!H125</f>
        <v>0</v>
      </c>
      <c r="G128" s="96">
        <f>线路!L125</f>
        <v>11707.656577206832</v>
      </c>
      <c r="H128" s="96">
        <f>线路!M125</f>
        <v>11707.656577206832</v>
      </c>
      <c r="I128" s="96">
        <f>线路!N125</f>
        <v>11707.656577206832</v>
      </c>
      <c r="J128" s="115">
        <f t="shared" si="32"/>
        <v>0</v>
      </c>
      <c r="K128" s="115">
        <f t="shared" si="42"/>
        <v>44.378272426538388</v>
      </c>
      <c r="L128" s="115">
        <f>IF(A128=1,断面设计!$D$7,IF(A128=2,断面设计!$D$8,IF(A128=3,断面设计!$D$9,IF(A128=4,断面设计!$D$10,IF(A128=5,断面设计!$D$11,IF(A128=6,断面设计!$D$12,IF(A128=7,断面设计!$D$13,IF(A128=8,断面设计!$D$14,IF(A128=9,断面设计!$D$15,IF(A128=10,断面设计!$D$16))))))))))</f>
        <v>1.2</v>
      </c>
      <c r="M128" s="115">
        <f t="shared" si="43"/>
        <v>1.2</v>
      </c>
      <c r="N128" s="116">
        <f t="shared" si="50"/>
        <v>1.4999999999999999E-2</v>
      </c>
      <c r="O128" s="115">
        <f>IF(A128=1,断面设计!$J$7,IF(A128=2,断面设计!$J$8,IF(A128=3,断面设计!$J$9,IF(A128=4,断面设计!$J$10,IF(A128=5,断面设计!$J$11,IF(A128=6,断面设计!$J$12,IF(A128=7,断面设计!$J$13,IF(A128=8,断面设计!$J$14,IF(A128=9,断面设计!$J$15,IF(A128=10,断面设计!$J$16))))))))))</f>
        <v>5000</v>
      </c>
      <c r="P128" s="117">
        <f>IF(A128=1,断面设计!$K$7,IF(A128=2,断面设计!$K$8,IF(A128=3,断面设计!$K$9,IF(A128=4,断面设计!$K$10,IF(A128=5,断面设计!$K$11,IF(A128=6,断面设计!$K$12,IF(A128=7,断面设计!$K$13,IF(A128=8,断面设计!$K$14,IF(A128=9,断面设计!$K$15,IF(A128=10,断面设计!$K$16))))))))))</f>
        <v>3.1003625801059727</v>
      </c>
      <c r="Q128" s="116">
        <f>IF(A128=1,断面设计!$C$7,IF(A128=2,断面设计!$C$8,IF(A128=3,断面设计!$C$9,IF(A128=4,断面设计!$C$10,IF(A128=5,断面设计!$C$11,IF(A128=6,断面设计!$C$12,IF(A128=7,断面设计!$C$13,IF(A128=8,断面设计!$C$14,IF(A128=9,断面设计!$C$15,IF(A128=10,断面设计!$C$16))))))))))</f>
        <v>1.40797130701961</v>
      </c>
      <c r="R128" s="115">
        <f>IF(A128=1,断面设计!$F$7,IF(A128=2,断面设计!$F$8,IF(A128=3,断面设计!$F$9,IF(A128=4,断面设计!$F$10,IF(A128=5,断面设计!$F$11,IF(A128=6,断面设计!$F$12,IF(A128=7,断面设计!$F$13,IF(A128=8,断面设计!$F$14,IF(A128=9,断面设计!$F$15,IF(A128=10,断面设计!$F$16))))))))))</f>
        <v>4.0684254100921429</v>
      </c>
      <c r="S128" s="115">
        <f>IF(A128=1,断面设计!$G$7,IF(A128=2,断面设计!$G$8,IF(A128=3,断面设计!$G$9,IF(A128=4,断面设计!$G$10,IF(A128=5,断面设计!$G$11,IF(A128=6,断面设计!$G$12,IF(A128=7,断面设计!$G$13,IF(A128=8,断面设计!$G$14,IF(A128=9,断面设计!$G$15,IF(A128=10,断面设计!$G$16))))))))))</f>
        <v>5.5986429777343112</v>
      </c>
      <c r="T128" s="115">
        <f t="shared" si="44"/>
        <v>0.72668063069429278</v>
      </c>
      <c r="U128" s="115">
        <f t="shared" si="45"/>
        <v>0.76205466921310838</v>
      </c>
      <c r="V128" s="125"/>
      <c r="W128" s="178"/>
      <c r="X128" s="116"/>
      <c r="Y128" s="139">
        <v>0</v>
      </c>
      <c r="Z128" s="140">
        <f t="shared" si="51"/>
        <v>0</v>
      </c>
      <c r="AA128" s="143"/>
      <c r="AB128" s="139">
        <f t="shared" si="33"/>
        <v>1.40797130701961</v>
      </c>
      <c r="AC128" s="116">
        <f t="shared" si="34"/>
        <v>0</v>
      </c>
      <c r="AD128" s="116">
        <f t="shared" ca="1" si="47"/>
        <v>2383.0924414336614</v>
      </c>
      <c r="AE128" s="141">
        <f t="shared" si="48"/>
        <v>0</v>
      </c>
      <c r="AF128" s="116" t="str">
        <f t="shared" si="35"/>
        <v xml:space="preserve"> </v>
      </c>
      <c r="AG128" s="116" t="str">
        <f>IF(AE128=0," ",AF128-断面设计!$C$7)</f>
        <v xml:space="preserve"> </v>
      </c>
      <c r="AH128" s="116" t="str">
        <f t="shared" si="36"/>
        <v xml:space="preserve"> </v>
      </c>
      <c r="AI128" s="116" t="str">
        <f t="shared" si="37"/>
        <v xml:space="preserve"> </v>
      </c>
      <c r="AJ128" s="116" t="str">
        <f t="shared" si="38"/>
        <v xml:space="preserve"> </v>
      </c>
      <c r="AK128" s="116" t="str">
        <f t="shared" si="39"/>
        <v xml:space="preserve"> </v>
      </c>
      <c r="AL128" s="116">
        <f t="shared" ca="1" si="40"/>
        <v>2383.0924414336614</v>
      </c>
      <c r="AM128" s="116">
        <f t="shared" ca="1" si="41"/>
        <v>2381.6844701266418</v>
      </c>
      <c r="AN128" s="178"/>
      <c r="AO128" s="92">
        <v>0</v>
      </c>
      <c r="AP128" s="42"/>
      <c r="AQ128" s="42"/>
      <c r="AR128" s="42"/>
      <c r="AS128" s="42"/>
      <c r="AT128" s="42"/>
      <c r="AU128" s="64" t="str">
        <f t="shared" ca="1" si="49"/>
        <v>11707.6565772068,2381.68447012664</v>
      </c>
      <c r="AV128" s="64" t="str">
        <f t="shared" ca="1" si="55"/>
        <v>11707.6565772068,2383.09244143366</v>
      </c>
      <c r="AW128" s="169" t="str">
        <f t="shared" si="56"/>
        <v xml:space="preserve">pl 11707.6565772068,0 11707.6565772068,76 </v>
      </c>
      <c r="AX128" s="161" t="str">
        <f t="shared" ca="1" si="52"/>
        <v>-text 11707.6565772068,48 3.5 90 2381.684</v>
      </c>
      <c r="AY128" s="161" t="str">
        <f t="shared" ca="1" si="53"/>
        <v>-text 11707.6565772068,62.5 3.5 90 2383.092</v>
      </c>
      <c r="AZ128" s="42" t="str">
        <f t="shared" si="54"/>
        <v>-text 11707.6565772068,23.5 3.5 90 马分11+707.66</v>
      </c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  <c r="FI128" s="42"/>
      <c r="FJ128" s="42"/>
      <c r="FK128" s="42"/>
      <c r="FL128" s="42"/>
      <c r="FM128" s="42"/>
      <c r="FN128" s="42"/>
      <c r="FO128" s="42"/>
      <c r="FP128" s="42"/>
      <c r="FQ128" s="42"/>
      <c r="FR128" s="42"/>
      <c r="FS128" s="42"/>
      <c r="FT128" s="42"/>
      <c r="FU128" s="42"/>
      <c r="FV128" s="42"/>
      <c r="FW128" s="42"/>
      <c r="FX128" s="42"/>
      <c r="FY128" s="42"/>
      <c r="FZ128" s="42"/>
      <c r="GA128" s="42"/>
      <c r="GB128" s="42"/>
      <c r="GC128" s="42"/>
      <c r="GD128" s="42"/>
      <c r="GE128" s="42"/>
      <c r="GF128" s="42"/>
      <c r="GG128" s="42"/>
      <c r="GH128" s="42"/>
      <c r="GI128" s="42"/>
      <c r="GJ128" s="42"/>
      <c r="GK128" s="42"/>
      <c r="GL128" s="42"/>
      <c r="GM128" s="42"/>
      <c r="GN128" s="42"/>
      <c r="GO128" s="42"/>
      <c r="GP128" s="42"/>
      <c r="GQ128" s="42"/>
      <c r="GR128" s="42"/>
      <c r="GS128" s="42"/>
      <c r="GT128" s="42"/>
      <c r="GU128" s="42"/>
      <c r="GV128" s="42"/>
      <c r="GW128" s="42"/>
      <c r="GX128" s="42"/>
    </row>
    <row r="129" spans="1:206" s="55" customFormat="1" x14ac:dyDescent="0.25">
      <c r="A129" s="92">
        <v>6</v>
      </c>
      <c r="B129" s="93" t="str">
        <f>线路!B126</f>
        <v>IP85</v>
      </c>
      <c r="C129" s="94">
        <f>线路!E126</f>
        <v>447194.56520000001</v>
      </c>
      <c r="D129" s="94">
        <f>线路!F126</f>
        <v>3038787.2091999999</v>
      </c>
      <c r="E129" s="95">
        <f>线路!G126</f>
        <v>5.4</v>
      </c>
      <c r="F129" s="95">
        <f>线路!H126</f>
        <v>5.6319999999999997</v>
      </c>
      <c r="G129" s="96">
        <f>线路!L126</f>
        <v>12045.186842974932</v>
      </c>
      <c r="H129" s="96">
        <f>线路!M126</f>
        <v>12045.452244722308</v>
      </c>
      <c r="I129" s="96">
        <f>线路!N126</f>
        <v>12045.717646469682</v>
      </c>
      <c r="J129" s="115">
        <f t="shared" si="32"/>
        <v>0.53080349475021649</v>
      </c>
      <c r="K129" s="115">
        <f t="shared" si="42"/>
        <v>337.79566751547645</v>
      </c>
      <c r="L129" s="115">
        <f>IF(A129=1,断面设计!$D$7,IF(A129=2,断面设计!$D$8,IF(A129=3,断面设计!$D$9,IF(A129=4,断面设计!$D$10,IF(A129=5,断面设计!$D$11,IF(A129=6,断面设计!$D$12,IF(A129=7,断面设计!$D$13,IF(A129=8,断面设计!$D$14,IF(A129=9,断面设计!$D$15,IF(A129=10,断面设计!$D$16))))))))))</f>
        <v>1.2</v>
      </c>
      <c r="M129" s="115">
        <f t="shared" si="43"/>
        <v>1.2</v>
      </c>
      <c r="N129" s="116">
        <f t="shared" si="50"/>
        <v>1.4999999999999999E-2</v>
      </c>
      <c r="O129" s="115">
        <f>IF(A129=1,断面设计!$J$7,IF(A129=2,断面设计!$J$8,IF(A129=3,断面设计!$J$9,IF(A129=4,断面设计!$J$10,IF(A129=5,断面设计!$J$11,IF(A129=6,断面设计!$J$12,IF(A129=7,断面设计!$J$13,IF(A129=8,断面设计!$J$14,IF(A129=9,断面设计!$J$15,IF(A129=10,断面设计!$J$16))))))))))</f>
        <v>5000</v>
      </c>
      <c r="P129" s="117">
        <f>IF(A129=1,断面设计!$K$7,IF(A129=2,断面设计!$K$8,IF(A129=3,断面设计!$K$9,IF(A129=4,断面设计!$K$10,IF(A129=5,断面设计!$K$11,IF(A129=6,断面设计!$K$12,IF(A129=7,断面设计!$K$13,IF(A129=8,断面设计!$K$14,IF(A129=9,断面设计!$K$15,IF(A129=10,断面设计!$K$16))))))))))</f>
        <v>3.1003625801059727</v>
      </c>
      <c r="Q129" s="116">
        <f>IF(A129=1,断面设计!$C$7,IF(A129=2,断面设计!$C$8,IF(A129=3,断面设计!$C$9,IF(A129=4,断面设计!$C$10,IF(A129=5,断面设计!$C$11,IF(A129=6,断面设计!$C$12,IF(A129=7,断面设计!$C$13,IF(A129=8,断面设计!$C$14,IF(A129=9,断面设计!$C$15,IF(A129=10,断面设计!$C$16))))))))))</f>
        <v>1.40797130701961</v>
      </c>
      <c r="R129" s="115">
        <f>IF(A129=1,断面设计!$F$7,IF(A129=2,断面设计!$F$8,IF(A129=3,断面设计!$F$9,IF(A129=4,断面设计!$F$10,IF(A129=5,断面设计!$F$11,IF(A129=6,断面设计!$F$12,IF(A129=7,断面设计!$F$13,IF(A129=8,断面设计!$F$14,IF(A129=9,断面设计!$F$15,IF(A129=10,断面设计!$F$16))))))))))</f>
        <v>4.0684254100921429</v>
      </c>
      <c r="S129" s="115">
        <f>IF(A129=1,断面设计!$G$7,IF(A129=2,断面设计!$G$8,IF(A129=3,断面设计!$G$9,IF(A129=4,断面设计!$G$10,IF(A129=5,断面设计!$G$11,IF(A129=6,断面设计!$G$12,IF(A129=7,断面设计!$G$13,IF(A129=8,断面设计!$G$14,IF(A129=9,断面设计!$G$15,IF(A129=10,断面设计!$G$16))))))))))</f>
        <v>5.5986429777343112</v>
      </c>
      <c r="T129" s="115">
        <f t="shared" si="44"/>
        <v>0.72668063069429278</v>
      </c>
      <c r="U129" s="115">
        <f t="shared" si="45"/>
        <v>0.76205466921310838</v>
      </c>
      <c r="V129" s="125"/>
      <c r="W129" s="178"/>
      <c r="X129" s="116"/>
      <c r="Y129" s="139">
        <v>0</v>
      </c>
      <c r="Z129" s="140">
        <f t="shared" si="51"/>
        <v>0</v>
      </c>
      <c r="AA129" s="143"/>
      <c r="AB129" s="139">
        <f t="shared" si="33"/>
        <v>1.40797130701961</v>
      </c>
      <c r="AC129" s="116">
        <f t="shared" si="34"/>
        <v>0</v>
      </c>
      <c r="AD129" s="116">
        <f t="shared" ca="1" si="47"/>
        <v>2383.0924414336614</v>
      </c>
      <c r="AE129" s="141">
        <f t="shared" si="48"/>
        <v>0</v>
      </c>
      <c r="AF129" s="116" t="str">
        <f t="shared" si="35"/>
        <v xml:space="preserve"> </v>
      </c>
      <c r="AG129" s="116" t="str">
        <f>IF(AE129=0," ",AF129-断面设计!$C$7)</f>
        <v xml:space="preserve"> </v>
      </c>
      <c r="AH129" s="116">
        <f t="shared" ca="1" si="36"/>
        <v>2383.0924945140109</v>
      </c>
      <c r="AI129" s="116">
        <f t="shared" ca="1" si="37"/>
        <v>2381.6845232069913</v>
      </c>
      <c r="AJ129" s="116">
        <f t="shared" ca="1" si="38"/>
        <v>2383.0923883533119</v>
      </c>
      <c r="AK129" s="116">
        <f t="shared" ca="1" si="39"/>
        <v>2381.6844170462923</v>
      </c>
      <c r="AL129" s="116">
        <f t="shared" ca="1" si="40"/>
        <v>2383.0924414336614</v>
      </c>
      <c r="AM129" s="116">
        <f t="shared" ca="1" si="41"/>
        <v>2381.6844701266418</v>
      </c>
      <c r="AN129" s="178"/>
      <c r="AO129" s="92">
        <v>0</v>
      </c>
      <c r="AP129" s="42"/>
      <c r="AQ129" s="42"/>
      <c r="AR129" s="42"/>
      <c r="AS129" s="42"/>
      <c r="AT129" s="42"/>
      <c r="AU129" s="64" t="str">
        <f t="shared" ca="1" si="49"/>
        <v>12045.4522447223,2381.68447012664</v>
      </c>
      <c r="AV129" s="64" t="str">
        <f t="shared" ca="1" si="55"/>
        <v>12045.4522447223,2383.09244143366</v>
      </c>
      <c r="AW129" s="169" t="str">
        <f t="shared" si="56"/>
        <v xml:space="preserve">pl 12045.4522447223,0 12045.4522447223,76 </v>
      </c>
      <c r="AX129" s="161" t="str">
        <f t="shared" ca="1" si="52"/>
        <v>-text 12045.4522447223,48 3.5 90 2381.684</v>
      </c>
      <c r="AY129" s="161" t="str">
        <f t="shared" ca="1" si="53"/>
        <v>-text 12045.4522447223,62.5 3.5 90 2383.092</v>
      </c>
      <c r="AZ129" s="42" t="str">
        <f t="shared" si="54"/>
        <v>-text 12045.4522447223,23.5 3.5 90 马分12+045.45</v>
      </c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  <c r="FI129" s="42"/>
      <c r="FJ129" s="42"/>
      <c r="FK129" s="42"/>
      <c r="FL129" s="42"/>
      <c r="FM129" s="42"/>
      <c r="FN129" s="42"/>
      <c r="FO129" s="42"/>
      <c r="FP129" s="42"/>
      <c r="FQ129" s="42"/>
      <c r="FR129" s="42"/>
      <c r="FS129" s="42"/>
      <c r="FT129" s="42"/>
      <c r="FU129" s="42"/>
      <c r="FV129" s="42"/>
      <c r="FW129" s="42"/>
      <c r="FX129" s="42"/>
      <c r="FY129" s="42"/>
      <c r="FZ129" s="42"/>
      <c r="GA129" s="42"/>
      <c r="GB129" s="42"/>
      <c r="GC129" s="42"/>
      <c r="GD129" s="42"/>
      <c r="GE129" s="42"/>
      <c r="GF129" s="42"/>
      <c r="GG129" s="42"/>
      <c r="GH129" s="42"/>
      <c r="GI129" s="42"/>
      <c r="GJ129" s="42"/>
      <c r="GK129" s="42"/>
      <c r="GL129" s="42"/>
      <c r="GM129" s="42"/>
      <c r="GN129" s="42"/>
      <c r="GO129" s="42"/>
      <c r="GP129" s="42"/>
      <c r="GQ129" s="42"/>
      <c r="GR129" s="42"/>
      <c r="GS129" s="42"/>
      <c r="GT129" s="42"/>
      <c r="GU129" s="42"/>
      <c r="GV129" s="42"/>
      <c r="GW129" s="42"/>
      <c r="GX129" s="42"/>
    </row>
    <row r="130" spans="1:206" s="55" customFormat="1" x14ac:dyDescent="0.25">
      <c r="A130" s="92">
        <v>6</v>
      </c>
      <c r="B130" s="93" t="str">
        <f>线路!B127</f>
        <v>9#倒虹吸出</v>
      </c>
      <c r="C130" s="94">
        <f>线路!E127</f>
        <v>446991.5416</v>
      </c>
      <c r="D130" s="94">
        <f>线路!F127</f>
        <v>3038611.068</v>
      </c>
      <c r="E130" s="95">
        <f>线路!G127</f>
        <v>0</v>
      </c>
      <c r="F130" s="95">
        <f>线路!H127</f>
        <v>0</v>
      </c>
      <c r="G130" s="96">
        <f>线路!L127</f>
        <v>12314.235037151422</v>
      </c>
      <c r="H130" s="96">
        <f>线路!M127</f>
        <v>12314.235037151422</v>
      </c>
      <c r="I130" s="96">
        <f>线路!N127</f>
        <v>12314.235037151422</v>
      </c>
      <c r="J130" s="115">
        <f t="shared" si="32"/>
        <v>0</v>
      </c>
      <c r="K130" s="115">
        <f t="shared" si="42"/>
        <v>268.78279242911412</v>
      </c>
      <c r="L130" s="115">
        <f>IF(A130=1,断面设计!$D$7,IF(A130=2,断面设计!$D$8,IF(A130=3,断面设计!$D$9,IF(A130=4,断面设计!$D$10,IF(A130=5,断面设计!$D$11,IF(A130=6,断面设计!$D$12,IF(A130=7,断面设计!$D$13,IF(A130=8,断面设计!$D$14,IF(A130=9,断面设计!$D$15,IF(A130=10,断面设计!$D$16))))))))))</f>
        <v>1.2</v>
      </c>
      <c r="M130" s="115">
        <f t="shared" si="43"/>
        <v>1.2</v>
      </c>
      <c r="N130" s="116">
        <f t="shared" si="50"/>
        <v>1.4999999999999999E-2</v>
      </c>
      <c r="O130" s="115">
        <f>IF(A130=1,断面设计!$J$7,IF(A130=2,断面设计!$J$8,IF(A130=3,断面设计!$J$9,IF(A130=4,断面设计!$J$10,IF(A130=5,断面设计!$J$11,IF(A130=6,断面设计!$J$12,IF(A130=7,断面设计!$J$13,IF(A130=8,断面设计!$J$14,IF(A130=9,断面设计!$J$15,IF(A130=10,断面设计!$J$16))))))))))</f>
        <v>5000</v>
      </c>
      <c r="P130" s="117">
        <f>IF(A130=1,断面设计!$K$7,IF(A130=2,断面设计!$K$8,IF(A130=3,断面设计!$K$9,IF(A130=4,断面设计!$K$10,IF(A130=5,断面设计!$K$11,IF(A130=6,断面设计!$K$12,IF(A130=7,断面设计!$K$13,IF(A130=8,断面设计!$K$14,IF(A130=9,断面设计!$K$15,IF(A130=10,断面设计!$K$16))))))))))</f>
        <v>3.1003625801059727</v>
      </c>
      <c r="Q130" s="116">
        <f>IF(A130=1,断面设计!$C$7,IF(A130=2,断面设计!$C$8,IF(A130=3,断面设计!$C$9,IF(A130=4,断面设计!$C$10,IF(A130=5,断面设计!$C$11,IF(A130=6,断面设计!$C$12,IF(A130=7,断面设计!$C$13,IF(A130=8,断面设计!$C$14,IF(A130=9,断面设计!$C$15,IF(A130=10,断面设计!$C$16))))))))))</f>
        <v>1.40797130701961</v>
      </c>
      <c r="R130" s="115">
        <f>IF(A130=1,断面设计!$F$7,IF(A130=2,断面设计!$F$8,IF(A130=3,断面设计!$F$9,IF(A130=4,断面设计!$F$10,IF(A130=5,断面设计!$F$11,IF(A130=6,断面设计!$F$12,IF(A130=7,断面设计!$F$13,IF(A130=8,断面设计!$F$14,IF(A130=9,断面设计!$F$15,IF(A130=10,断面设计!$F$16))))))))))</f>
        <v>4.0684254100921429</v>
      </c>
      <c r="S130" s="115">
        <f>IF(A130=1,断面设计!$G$7,IF(A130=2,断面设计!$G$8,IF(A130=3,断面设计!$G$9,IF(A130=4,断面设计!$G$10,IF(A130=5,断面设计!$G$11,IF(A130=6,断面设计!$G$12,IF(A130=7,断面设计!$G$13,IF(A130=8,断面设计!$G$14,IF(A130=9,断面设计!$G$15,IF(A130=10,断面设计!$G$16))))))))))</f>
        <v>5.5986429777343112</v>
      </c>
      <c r="T130" s="115">
        <f t="shared" si="44"/>
        <v>0.72668063069429278</v>
      </c>
      <c r="U130" s="115">
        <f t="shared" si="45"/>
        <v>0.76205466921310838</v>
      </c>
      <c r="V130" s="125"/>
      <c r="W130" s="178"/>
      <c r="X130" s="116">
        <f ca="1">倒虹管水头损失计算!D526</f>
        <v>0.7622108635333027</v>
      </c>
      <c r="Y130" s="139">
        <v>0</v>
      </c>
      <c r="Z130" s="140">
        <f t="shared" si="51"/>
        <v>0</v>
      </c>
      <c r="AA130" s="143"/>
      <c r="AB130" s="139">
        <f t="shared" si="33"/>
        <v>1.40797130701961</v>
      </c>
      <c r="AC130" s="116">
        <f t="shared" ca="1" si="34"/>
        <v>0.7622108635333027</v>
      </c>
      <c r="AD130" s="116">
        <f t="shared" ca="1" si="47"/>
        <v>2382.3302305701282</v>
      </c>
      <c r="AE130" s="141">
        <f t="shared" si="48"/>
        <v>0</v>
      </c>
      <c r="AF130" s="116" t="str">
        <f t="shared" si="35"/>
        <v xml:space="preserve"> </v>
      </c>
      <c r="AG130" s="116" t="str">
        <f>IF(AE130=0," ",AF130-断面设计!$C$7)</f>
        <v xml:space="preserve"> </v>
      </c>
      <c r="AH130" s="116" t="str">
        <f t="shared" si="36"/>
        <v xml:space="preserve"> </v>
      </c>
      <c r="AI130" s="116" t="str">
        <f t="shared" si="37"/>
        <v xml:space="preserve"> </v>
      </c>
      <c r="AJ130" s="116" t="str">
        <f t="shared" si="38"/>
        <v xml:space="preserve"> </v>
      </c>
      <c r="AK130" s="116" t="str">
        <f t="shared" si="39"/>
        <v xml:space="preserve"> </v>
      </c>
      <c r="AL130" s="116">
        <f t="shared" ca="1" si="40"/>
        <v>2382.3302305701282</v>
      </c>
      <c r="AM130" s="116">
        <f t="shared" ca="1" si="41"/>
        <v>2380.9222592631086</v>
      </c>
      <c r="AN130" s="178"/>
      <c r="AO130" s="92">
        <v>0</v>
      </c>
      <c r="AP130" s="42"/>
      <c r="AQ130" s="127"/>
      <c r="AR130" s="162" t="s">
        <v>710</v>
      </c>
      <c r="AS130" s="42"/>
      <c r="AT130" s="42"/>
      <c r="AU130" s="64" t="str">
        <f t="shared" ca="1" si="49"/>
        <v>12314.2350371514,2380.92225926311</v>
      </c>
      <c r="AV130" s="64" t="str">
        <f t="shared" ca="1" si="55"/>
        <v>12314.2350371514,2382.33023057013</v>
      </c>
      <c r="AW130" s="169" t="str">
        <f t="shared" si="56"/>
        <v xml:space="preserve">pl 12314.2350371514,0 12314.2350371514,76 </v>
      </c>
      <c r="AX130" s="161" t="str">
        <f t="shared" ca="1" si="52"/>
        <v>-text 12314.2350371514,48 3.5 90 2380.922</v>
      </c>
      <c r="AY130" s="161" t="str">
        <f t="shared" ca="1" si="53"/>
        <v>-text 12314.2350371514,62.5 3.5 90 2382.330</v>
      </c>
      <c r="AZ130" s="42" t="str">
        <f t="shared" si="54"/>
        <v>-text 12314.2350371514,23.5 3.5 90 马分12+314.24</v>
      </c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  <c r="FI130" s="42"/>
      <c r="FJ130" s="42"/>
      <c r="FK130" s="42"/>
      <c r="FL130" s="42"/>
      <c r="FM130" s="42"/>
      <c r="FN130" s="42"/>
      <c r="FO130" s="42"/>
      <c r="FP130" s="42"/>
      <c r="FQ130" s="42"/>
      <c r="FR130" s="42"/>
      <c r="FS130" s="42"/>
      <c r="FT130" s="42"/>
      <c r="FU130" s="42"/>
      <c r="FV130" s="42"/>
      <c r="FW130" s="42"/>
      <c r="FX130" s="42"/>
      <c r="FY130" s="42"/>
      <c r="FZ130" s="42"/>
      <c r="GA130" s="42"/>
      <c r="GB130" s="42"/>
      <c r="GC130" s="42"/>
      <c r="GD130" s="42"/>
      <c r="GE130" s="42"/>
      <c r="GF130" s="42"/>
      <c r="GG130" s="42"/>
      <c r="GH130" s="42"/>
      <c r="GI130" s="42"/>
      <c r="GJ130" s="42"/>
      <c r="GK130" s="42"/>
      <c r="GL130" s="42"/>
      <c r="GM130" s="42"/>
      <c r="GN130" s="42"/>
      <c r="GO130" s="42"/>
      <c r="GP130" s="42"/>
      <c r="GQ130" s="42"/>
      <c r="GR130" s="42"/>
      <c r="GS130" s="42"/>
      <c r="GT130" s="42"/>
      <c r="GU130" s="42"/>
      <c r="GV130" s="42"/>
      <c r="GW130" s="42"/>
      <c r="GX130" s="42"/>
    </row>
    <row r="131" spans="1:206" s="58" customFormat="1" x14ac:dyDescent="0.25">
      <c r="A131" s="170">
        <v>6</v>
      </c>
      <c r="B131" s="171" t="str">
        <f>线路!B128</f>
        <v>4#隧洞进</v>
      </c>
      <c r="C131" s="172">
        <f>线路!E128</f>
        <v>446971.96139999997</v>
      </c>
      <c r="D131" s="172">
        <f>线路!F128</f>
        <v>3038594.0803999999</v>
      </c>
      <c r="E131" s="173">
        <f>线路!G128</f>
        <v>0</v>
      </c>
      <c r="F131" s="173">
        <f>线路!H128</f>
        <v>0</v>
      </c>
      <c r="G131" s="174">
        <f>线路!L128</f>
        <v>12340.157282150742</v>
      </c>
      <c r="H131" s="174">
        <f>线路!M128</f>
        <v>12340.157282150742</v>
      </c>
      <c r="I131" s="174">
        <f>线路!N128</f>
        <v>12340.157282150742</v>
      </c>
      <c r="J131" s="175">
        <f t="shared" si="32"/>
        <v>0</v>
      </c>
      <c r="K131" s="175">
        <f t="shared" si="42"/>
        <v>25.922244999319446</v>
      </c>
      <c r="L131" s="175">
        <f>IF(A131=1,断面设计!$D$7,IF(A131=2,断面设计!$D$8,IF(A131=3,断面设计!$D$9,IF(A131=4,断面设计!$D$10,IF(A131=5,断面设计!$D$11,IF(A131=6,断面设计!$D$12,IF(A131=7,断面设计!$D$13,IF(A131=8,断面设计!$D$14,IF(A131=9,断面设计!$D$15,IF(A131=10,断面设计!$D$16))))))))))</f>
        <v>1.2</v>
      </c>
      <c r="M131" s="175">
        <f t="shared" si="43"/>
        <v>0</v>
      </c>
      <c r="N131" s="176">
        <f t="shared" si="50"/>
        <v>1.4E-2</v>
      </c>
      <c r="O131" s="175">
        <f>IF(A131=5,断面设计!$O$37,IF(A131=6,断面设计!$O$38,IF(A131=7,断面设计!$O$39,IF(A131=9,断面设计!$O$40,IF(A131=10,断面设计!$O$41)))))</f>
        <v>2000</v>
      </c>
      <c r="P131" s="177">
        <f>IF(A131=1,断面设计!$K$7,IF(A131=2,断面设计!$K$8,IF(A131=3,断面设计!$K$9,IF(A131=4,断面设计!$K$10,IF(A131=5,断面设计!$K$11,IF(A131=6,断面设计!$K$12,IF(A131=7,断面设计!$K$13,IF(A131=8,断面设计!$K$14,IF(A131=9,断面设计!$K$15,IF(A131=10,断面设计!$K$16))))))))))</f>
        <v>3.1003625801059727</v>
      </c>
      <c r="Q131" s="176">
        <f>IF(A131=5,断面设计!$C$37,IF(A131=6,断面设计!$C$38,IF(A131=7,断面设计!$C$39,IF(A131=9,断面设计!$C$40,IF(A131=10,断面设计!$C$41)))))</f>
        <v>1.3922113918338499</v>
      </c>
      <c r="R131" s="175">
        <f>IF(A131=5,断面设计!$K$37,IF(A131=6,断面设计!$K$38,IF(A131=7,断面设计!$K$39,IF(A131=9,断面设计!$K$40,IF(A131=10,断面设计!$K$41)))))</f>
        <v>2.7844227836676998</v>
      </c>
      <c r="S131" s="175">
        <f>IF(A131=5,断面设计!$L$37,IF(A131=6,断面设计!$L$38,IF(A131=7,断面设计!$L$39,IF(A131=9,断面设计!$L$40,IF(A131=10,断面设计!$L$41)))))</f>
        <v>4.7844227836676998</v>
      </c>
      <c r="T131" s="175">
        <f t="shared" si="44"/>
        <v>0.58197674193274029</v>
      </c>
      <c r="U131" s="175">
        <f t="shared" si="45"/>
        <v>1.1134668909805825</v>
      </c>
      <c r="V131" s="179"/>
      <c r="W131" s="176">
        <f>1.15*(U131^2/2-U130^2/2)/9.81</f>
        <v>3.863116096873262E-2</v>
      </c>
      <c r="X131" s="176">
        <f>IF(AN131=0,IF(AN130=2,(H131-H130-AE130)/O131,(H131-H130)/O131),IF(AN131=1,IF(AN130=2,IF(AE131&lt;9,(H131-H130-AE131-AE130)/断面设计!$J$7,(H131-H130-AE131-AE130)/断面设计!$J$7),(H131-H130-AE131)/O130),(H131-H130)/O131))</f>
        <v>4.2844489998638893E-3</v>
      </c>
      <c r="Y131" s="181">
        <v>0</v>
      </c>
      <c r="Z131" s="182">
        <f t="shared" si="51"/>
        <v>0</v>
      </c>
      <c r="AA131" s="183"/>
      <c r="AB131" s="181">
        <f t="shared" si="33"/>
        <v>1.3922113918338499</v>
      </c>
      <c r="AC131" s="176">
        <f t="shared" si="34"/>
        <v>4.2915609968596509E-2</v>
      </c>
      <c r="AD131" s="176">
        <f t="shared" ca="1" si="47"/>
        <v>2382.2873149601596</v>
      </c>
      <c r="AE131" s="185">
        <v>4.5</v>
      </c>
      <c r="AF131" s="176">
        <f t="shared" ca="1" si="35"/>
        <v>2382.3259461211283</v>
      </c>
      <c r="AG131" s="176">
        <f ca="1">IF(AE131=0," ",AF131-断面设计!$C$13)</f>
        <v>2380.945615914547</v>
      </c>
      <c r="AH131" s="176" t="str">
        <f t="shared" si="36"/>
        <v xml:space="preserve"> </v>
      </c>
      <c r="AI131" s="176" t="str">
        <f t="shared" si="37"/>
        <v xml:space="preserve"> </v>
      </c>
      <c r="AJ131" s="176" t="str">
        <f t="shared" si="38"/>
        <v xml:space="preserve"> </v>
      </c>
      <c r="AK131" s="176" t="str">
        <f t="shared" si="39"/>
        <v xml:space="preserve"> </v>
      </c>
      <c r="AL131" s="176">
        <f t="shared" ca="1" si="40"/>
        <v>2382.2873149601596</v>
      </c>
      <c r="AM131" s="176">
        <f t="shared" ca="1" si="41"/>
        <v>2380.8951035683258</v>
      </c>
      <c r="AN131" s="180">
        <v>1</v>
      </c>
      <c r="AO131" s="170">
        <v>1</v>
      </c>
      <c r="AP131" s="42"/>
      <c r="AQ131" s="162" t="s">
        <v>711</v>
      </c>
      <c r="AR131" s="127">
        <v>2378.39</v>
      </c>
      <c r="AS131" s="42"/>
      <c r="AT131" s="42"/>
      <c r="AU131" s="64" t="str">
        <f t="shared" ca="1" si="49"/>
        <v>12340.1572821507,2380.89510356833</v>
      </c>
      <c r="AV131" s="64" t="str">
        <f t="shared" ca="1" si="55"/>
        <v>12340.1572821507,2382.28731496016</v>
      </c>
      <c r="AW131" s="169" t="str">
        <f t="shared" si="56"/>
        <v xml:space="preserve">pl 12340.1572821507,0 12340.1572821507,76 </v>
      </c>
      <c r="AX131" s="161" t="str">
        <f t="shared" ca="1" si="52"/>
        <v>-text 12340.1572821507,48 3.5 90 2380.895</v>
      </c>
      <c r="AY131" s="161" t="str">
        <f t="shared" ca="1" si="53"/>
        <v>-text 12340.1572821507,62.5 3.5 90 2382.287</v>
      </c>
      <c r="AZ131" s="42" t="str">
        <f t="shared" si="54"/>
        <v>-text 12340.1572821507,23.5 3.5 90 马分12+340.16</v>
      </c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  <c r="FI131" s="42"/>
      <c r="FJ131" s="42"/>
      <c r="FK131" s="42"/>
      <c r="FL131" s="42"/>
      <c r="FM131" s="42"/>
      <c r="FN131" s="42"/>
      <c r="FO131" s="42"/>
      <c r="FP131" s="42"/>
      <c r="FQ131" s="42"/>
      <c r="FR131" s="42"/>
      <c r="FS131" s="42"/>
      <c r="FT131" s="42"/>
      <c r="FU131" s="42"/>
      <c r="FV131" s="42"/>
      <c r="FW131" s="42"/>
      <c r="FX131" s="42"/>
      <c r="FY131" s="42"/>
      <c r="FZ131" s="42"/>
      <c r="GA131" s="42"/>
      <c r="GB131" s="42"/>
      <c r="GC131" s="42"/>
      <c r="GD131" s="42"/>
      <c r="GE131" s="42"/>
      <c r="GF131" s="42"/>
      <c r="GG131" s="42"/>
      <c r="GH131" s="42"/>
      <c r="GI131" s="42"/>
      <c r="GJ131" s="42"/>
      <c r="GK131" s="42"/>
      <c r="GL131" s="42"/>
      <c r="GM131" s="42"/>
      <c r="GN131" s="42"/>
      <c r="GO131" s="42"/>
      <c r="GP131" s="42"/>
      <c r="GQ131" s="42"/>
      <c r="GR131" s="42"/>
      <c r="GS131" s="42"/>
      <c r="GT131" s="42"/>
      <c r="GU131" s="42"/>
      <c r="GV131" s="42"/>
      <c r="GW131" s="42"/>
      <c r="GX131" s="42"/>
    </row>
    <row r="132" spans="1:206" s="58" customFormat="1" x14ac:dyDescent="0.25">
      <c r="A132" s="170">
        <v>6</v>
      </c>
      <c r="B132" s="171" t="str">
        <f>线路!B129</f>
        <v>IP86</v>
      </c>
      <c r="C132" s="172">
        <f>线路!E129</f>
        <v>445877.34409999999</v>
      </c>
      <c r="D132" s="172">
        <f>线路!F129</f>
        <v>3037644.4015000002</v>
      </c>
      <c r="E132" s="173">
        <f>线路!G129</f>
        <v>12</v>
      </c>
      <c r="F132" s="173">
        <f>线路!H129</f>
        <v>20.507000000000001</v>
      </c>
      <c r="G132" s="174">
        <f>线路!L129</f>
        <v>13787.150829609967</v>
      </c>
      <c r="H132" s="174">
        <f>线路!M129</f>
        <v>13789.298317628207</v>
      </c>
      <c r="I132" s="174">
        <f>线路!N129</f>
        <v>13791.445805646445</v>
      </c>
      <c r="J132" s="175">
        <f t="shared" si="32"/>
        <v>4.2949760364772374</v>
      </c>
      <c r="K132" s="175">
        <f t="shared" si="42"/>
        <v>1449.1410354774653</v>
      </c>
      <c r="L132" s="175">
        <f>IF(A132=1,断面设计!$D$7,IF(A132=2,断面设计!$D$8,IF(A132=3,断面设计!$D$9,IF(A132=4,断面设计!$D$10,IF(A132=5,断面设计!$D$11,IF(A132=6,断面设计!$D$12,IF(A132=7,断面设计!$D$13,IF(A132=8,断面设计!$D$14,IF(A132=9,断面设计!$D$15,IF(A132=10,断面设计!$D$16))))))))))</f>
        <v>1.2</v>
      </c>
      <c r="M132" s="175">
        <f t="shared" si="43"/>
        <v>0</v>
      </c>
      <c r="N132" s="176">
        <f t="shared" si="50"/>
        <v>1.4E-2</v>
      </c>
      <c r="O132" s="175">
        <f>IF(A132=5,断面设计!$O$37,IF(A132=6,断面设计!$O$38,IF(A132=7,断面设计!$O$39,IF(A132=9,断面设计!$O$40,IF(A132=10,断面设计!$O$41)))))</f>
        <v>2000</v>
      </c>
      <c r="P132" s="177">
        <f>IF(A132=1,断面设计!$K$7,IF(A132=2,断面设计!$K$8,IF(A132=3,断面设计!$K$9,IF(A132=4,断面设计!$K$10,IF(A132=5,断面设计!$K$11,IF(A132=6,断面设计!$K$12,IF(A132=7,断面设计!$K$13,IF(A132=8,断面设计!$K$14,IF(A132=9,断面设计!$K$15,IF(A132=10,断面设计!$K$16))))))))))</f>
        <v>3.1003625801059727</v>
      </c>
      <c r="Q132" s="176">
        <f>IF(A132=5,断面设计!$C$37,IF(A132=6,断面设计!$C$38,IF(A132=7,断面设计!$C$39,IF(A132=9,断面设计!$C$40,IF(A132=10,断面设计!$C$41)))))</f>
        <v>1.3922113918338499</v>
      </c>
      <c r="R132" s="175">
        <f>IF(A132=5,断面设计!$K$37,IF(A132=6,断面设计!$K$38,IF(A132=7,断面设计!$K$39,IF(A132=9,断面设计!$K$40,IF(A132=10,断面设计!$K$41)))))</f>
        <v>2.7844227836676998</v>
      </c>
      <c r="S132" s="175">
        <f>IF(A132=5,断面设计!$L$37,IF(A132=6,断面设计!$L$38,IF(A132=7,断面设计!$L$39,IF(A132=9,断面设计!$L$40,IF(A132=10,断面设计!$L$41)))))</f>
        <v>4.7844227836676998</v>
      </c>
      <c r="T132" s="175">
        <f t="shared" si="44"/>
        <v>0.58197674193274029</v>
      </c>
      <c r="U132" s="175">
        <f t="shared" si="45"/>
        <v>1.1134668909805825</v>
      </c>
      <c r="V132" s="179">
        <f t="shared" si="46"/>
        <v>5.0943861011732978E-4</v>
      </c>
      <c r="W132" s="180"/>
      <c r="X132" s="176">
        <f>IF(AN132=0,IF(AN131=2,(H132-H131-AE131)/O132,(H132-H131)/O132),IF(AN132=1,IF(AN131=2,IF(AE132&lt;9,(H132-H131-AE132-AE131)/断面设计!$J$7,(H132-H131-AE132-AE131)/断面设计!$J$7),(H132-H131-AE132)/O131),(H132-H131)/O132))</f>
        <v>0.7245705177387326</v>
      </c>
      <c r="Y132" s="181">
        <v>0</v>
      </c>
      <c r="Z132" s="182">
        <f t="shared" si="51"/>
        <v>0</v>
      </c>
      <c r="AA132" s="183"/>
      <c r="AB132" s="181">
        <f t="shared" si="33"/>
        <v>1.3922113918338499</v>
      </c>
      <c r="AC132" s="176">
        <f t="shared" si="34"/>
        <v>0.72507995634884992</v>
      </c>
      <c r="AD132" s="176">
        <f t="shared" ca="1" si="47"/>
        <v>2381.5622350038107</v>
      </c>
      <c r="AE132" s="184">
        <f t="shared" si="48"/>
        <v>0</v>
      </c>
      <c r="AF132" s="176" t="str">
        <f t="shared" si="35"/>
        <v xml:space="preserve"> </v>
      </c>
      <c r="AG132" s="176" t="str">
        <f>IF(AE132=0," ",AF132-断面设计!$C$7)</f>
        <v xml:space="preserve"> </v>
      </c>
      <c r="AH132" s="176">
        <f t="shared" ca="1" si="36"/>
        <v>2381.5638181864301</v>
      </c>
      <c r="AI132" s="176">
        <f t="shared" ca="1" si="37"/>
        <v>2380.1716067945963</v>
      </c>
      <c r="AJ132" s="176">
        <f t="shared" ca="1" si="38"/>
        <v>2381.5611612598013</v>
      </c>
      <c r="AK132" s="176">
        <f t="shared" ca="1" si="39"/>
        <v>2380.1689498679675</v>
      </c>
      <c r="AL132" s="176">
        <f t="shared" ca="1" si="40"/>
        <v>2381.5624897231155</v>
      </c>
      <c r="AM132" s="176">
        <f t="shared" ca="1" si="41"/>
        <v>2380.1702783312817</v>
      </c>
      <c r="AN132" s="180"/>
      <c r="AO132" s="170">
        <v>1</v>
      </c>
      <c r="AP132" s="42"/>
      <c r="AQ132" s="162" t="s">
        <v>712</v>
      </c>
      <c r="AR132" s="127">
        <v>2375.41</v>
      </c>
      <c r="AS132" s="42"/>
      <c r="AT132" s="42"/>
      <c r="AU132" s="64" t="str">
        <f t="shared" ca="1" si="49"/>
        <v>13789.2983176282,2380.17027833128</v>
      </c>
      <c r="AV132" s="64" t="str">
        <f t="shared" ca="1" si="55"/>
        <v>13789.2983176282,2381.56248972312</v>
      </c>
      <c r="AW132" s="169" t="str">
        <f t="shared" si="56"/>
        <v xml:space="preserve">pl 13789.2983176282,0 13789.2983176282,76 </v>
      </c>
      <c r="AX132" s="161" t="str">
        <f t="shared" ca="1" si="52"/>
        <v>-text 13789.2983176282,48 3.5 90 2380.170</v>
      </c>
      <c r="AY132" s="161" t="str">
        <f t="shared" ca="1" si="53"/>
        <v>-text 13789.2983176282,62.5 3.5 90 2381.562</v>
      </c>
      <c r="AZ132" s="42" t="str">
        <f t="shared" si="54"/>
        <v>-text 13789.2983176282,23.5 3.5 90 马分13+789.30</v>
      </c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  <c r="FI132" s="42"/>
      <c r="FJ132" s="42"/>
      <c r="FK132" s="42"/>
      <c r="FL132" s="42"/>
      <c r="FM132" s="42"/>
      <c r="FN132" s="42"/>
      <c r="FO132" s="42"/>
      <c r="FP132" s="42"/>
      <c r="FQ132" s="42"/>
      <c r="FR132" s="42"/>
      <c r="FS132" s="42"/>
      <c r="FT132" s="42"/>
      <c r="FU132" s="42"/>
      <c r="FV132" s="42"/>
      <c r="FW132" s="42"/>
      <c r="FX132" s="42"/>
      <c r="FY132" s="42"/>
      <c r="FZ132" s="42"/>
      <c r="GA132" s="42"/>
      <c r="GB132" s="42"/>
      <c r="GC132" s="42"/>
      <c r="GD132" s="42"/>
      <c r="GE132" s="42"/>
      <c r="GF132" s="42"/>
      <c r="GG132" s="42"/>
      <c r="GH132" s="42"/>
      <c r="GI132" s="42"/>
      <c r="GJ132" s="42"/>
      <c r="GK132" s="42"/>
      <c r="GL132" s="42"/>
      <c r="GM132" s="42"/>
      <c r="GN132" s="42"/>
      <c r="GO132" s="42"/>
      <c r="GP132" s="42"/>
      <c r="GQ132" s="42"/>
      <c r="GR132" s="42"/>
      <c r="GS132" s="42"/>
      <c r="GT132" s="42"/>
      <c r="GU132" s="42"/>
      <c r="GV132" s="42"/>
      <c r="GW132" s="42"/>
      <c r="GX132" s="42"/>
    </row>
    <row r="133" spans="1:206" s="58" customFormat="1" x14ac:dyDescent="0.25">
      <c r="A133" s="170">
        <v>6</v>
      </c>
      <c r="B133" s="171" t="str">
        <f>线路!B130</f>
        <v>4#隧洞出</v>
      </c>
      <c r="C133" s="172">
        <f>线路!E130</f>
        <v>445781.53240000003</v>
      </c>
      <c r="D133" s="172">
        <f>线路!F130</f>
        <v>3037608.6981000002</v>
      </c>
      <c r="E133" s="173">
        <f>线路!G130</f>
        <v>0</v>
      </c>
      <c r="F133" s="173">
        <f>线路!H130</f>
        <v>0</v>
      </c>
      <c r="G133" s="174">
        <f>线路!L130</f>
        <v>13891.522905036025</v>
      </c>
      <c r="H133" s="174">
        <f>线路!M130</f>
        <v>13891.522905036025</v>
      </c>
      <c r="I133" s="174">
        <f>线路!N130</f>
        <v>13891.522905036025</v>
      </c>
      <c r="J133" s="175">
        <f t="shared" ref="J133:J196" si="57">I133-G133</f>
        <v>0</v>
      </c>
      <c r="K133" s="175">
        <f t="shared" si="42"/>
        <v>102.22458740781803</v>
      </c>
      <c r="L133" s="175">
        <f>IF(A133=1,断面设计!$D$7,IF(A133=2,断面设计!$D$8,IF(A133=3,断面设计!$D$9,IF(A133=4,断面设计!$D$10,IF(A133=5,断面设计!$D$11,IF(A133=6,断面设计!$D$12,IF(A133=7,断面设计!$D$13,IF(A133=8,断面设计!$D$14,IF(A133=9,断面设计!$D$15,IF(A133=10,断面设计!$D$16))))))))))</f>
        <v>1.2</v>
      </c>
      <c r="M133" s="175">
        <f t="shared" si="43"/>
        <v>0</v>
      </c>
      <c r="N133" s="176">
        <f t="shared" si="50"/>
        <v>1.4E-2</v>
      </c>
      <c r="O133" s="175">
        <f>IF(A133=5,断面设计!$O$37,IF(A133=6,断面设计!$O$38,IF(A133=7,断面设计!$O$39,IF(A133=9,断面设计!$O$40,IF(A133=10,断面设计!$O$41)))))</f>
        <v>2000</v>
      </c>
      <c r="P133" s="177">
        <f>IF(A133=1,断面设计!$K$7,IF(A133=2,断面设计!$K$8,IF(A133=3,断面设计!$K$9,IF(A133=4,断面设计!$K$10,IF(A133=5,断面设计!$K$11,IF(A133=6,断面设计!$K$12,IF(A133=7,断面设计!$K$13,IF(A133=8,断面设计!$K$14,IF(A133=9,断面设计!$K$15,IF(A133=10,断面设计!$K$16))))))))))</f>
        <v>3.1003625801059727</v>
      </c>
      <c r="Q133" s="176">
        <f>IF(A133=5,断面设计!$C$37,IF(A133=6,断面设计!$C$38,IF(A133=7,断面设计!$C$39,IF(A133=9,断面设计!$C$40,IF(A133=10,断面设计!$C$41)))))</f>
        <v>1.3922113918338499</v>
      </c>
      <c r="R133" s="175">
        <f>IF(A133=5,断面设计!$K$37,IF(A133=6,断面设计!$K$38,IF(A133=7,断面设计!$K$39,IF(A133=9,断面设计!$K$40,IF(A133=10,断面设计!$K$41)))))</f>
        <v>2.7844227836676998</v>
      </c>
      <c r="S133" s="175">
        <f>IF(A133=5,断面设计!$L$37,IF(A133=6,断面设计!$L$38,IF(A133=7,断面设计!$L$39,IF(A133=9,断面设计!$L$40,IF(A133=10,断面设计!$L$41)))))</f>
        <v>4.7844227836676998</v>
      </c>
      <c r="T133" s="175">
        <f t="shared" si="44"/>
        <v>0.58197674193274029</v>
      </c>
      <c r="U133" s="175">
        <f t="shared" si="45"/>
        <v>1.1134668909805825</v>
      </c>
      <c r="V133" s="179"/>
      <c r="W133" s="176">
        <f>-0.6*(U133^2/2-U134^2/2)/9.81</f>
        <v>-2.0155388331512671E-2</v>
      </c>
      <c r="X133" s="176">
        <f>IF(AN133=0,IF(AN132=2,(H133-H132-AE132)/O133,(H133-H132)/O133),IF(AN133=1,IF(AN132=2,IF(AE133&lt;9,(H133-H132-AE133-AE132)/断面设计!$J$7,(H133-H132-AE133-AE132)/断面设计!$J$7),(H133-H132-AE133)/O132),(H133-H132)/O133))</f>
        <v>5.1112293703909017E-2</v>
      </c>
      <c r="Y133" s="181">
        <v>0</v>
      </c>
      <c r="Z133" s="182">
        <f t="shared" si="51"/>
        <v>0</v>
      </c>
      <c r="AA133" s="183"/>
      <c r="AB133" s="181">
        <f t="shared" ref="AB133:AB196" si="58">Q133</f>
        <v>1.3922113918338499</v>
      </c>
      <c r="AC133" s="176">
        <f t="shared" ref="AC133:AC196" si="59">IF(AE133&lt;1,Y133+AA133+V133+X133,Y133+AA133+V133+X133+W133)</f>
        <v>3.0956905372396346E-2</v>
      </c>
      <c r="AD133" s="176">
        <f t="shared" ca="1" si="47"/>
        <v>2381.5312780984382</v>
      </c>
      <c r="AE133" s="184">
        <v>5</v>
      </c>
      <c r="AF133" s="176">
        <f t="shared" ref="AF133:AF186" ca="1" si="60">IF(AE133=0," ",IF(AN133=1,AD133+W133,AD133))</f>
        <v>2381.5312780984382</v>
      </c>
      <c r="AG133" s="176">
        <f ca="1">IF(AE133=0," ",AF133-断面设计!$C$13)</f>
        <v>2380.150947891857</v>
      </c>
      <c r="AH133" s="176" t="str">
        <f t="shared" ref="AH133:AH196" si="61">IF(J133&lt;0.01," ",AD133+V133+J133/2/O133+J133/2/1000*Z133)</f>
        <v xml:space="preserve"> </v>
      </c>
      <c r="AI133" s="176" t="str">
        <f t="shared" ref="AI133:AI196" si="62">IF(J133&lt;0.01," ",AH133-AB133)</f>
        <v xml:space="preserve"> </v>
      </c>
      <c r="AJ133" s="176" t="str">
        <f t="shared" ref="AJ133:AJ196" si="63">IF(J133&lt;0.01," ",AD133-J133/2/O133-J133/2/1000*Z133)</f>
        <v xml:space="preserve"> </v>
      </c>
      <c r="AK133" s="176" t="str">
        <f t="shared" ref="AK133:AK196" si="64">IF(J133&lt;0.01," ",AJ133-AB133)</f>
        <v xml:space="preserve"> </v>
      </c>
      <c r="AL133" s="176">
        <f t="shared" ref="AL133:AL196" ca="1" si="65">AM133+AB133</f>
        <v>2381.5111227101065</v>
      </c>
      <c r="AM133" s="176">
        <f t="shared" ref="AM133:AM196" ca="1" si="66">IF(AN133=2,IF(AE133=0,AD133-AB133,AD133+W133-AB133),AD133-AB133+V133/2)</f>
        <v>2380.1189113182727</v>
      </c>
      <c r="AN133" s="180">
        <v>2</v>
      </c>
      <c r="AO133" s="170">
        <v>1</v>
      </c>
      <c r="AP133" s="42"/>
      <c r="AQ133" s="162" t="s">
        <v>713</v>
      </c>
      <c r="AR133" s="127">
        <v>2374.5</v>
      </c>
      <c r="AS133" s="42"/>
      <c r="AT133" s="42"/>
      <c r="AU133" s="64" t="str">
        <f t="shared" ca="1" si="49"/>
        <v>13891.522905036,2380.11891131827</v>
      </c>
      <c r="AV133" s="64" t="str">
        <f t="shared" ca="1" si="55"/>
        <v>13891.522905036,2381.51112271011</v>
      </c>
      <c r="AW133" s="169" t="str">
        <f t="shared" si="56"/>
        <v xml:space="preserve">pl 13891.522905036,0 13891.522905036,76 </v>
      </c>
      <c r="AX133" s="161" t="str">
        <f t="shared" ca="1" si="52"/>
        <v>-text 13891.522905036,48 3.5 90 2380.119</v>
      </c>
      <c r="AY133" s="161" t="str">
        <f t="shared" ca="1" si="53"/>
        <v>-text 13891.522905036,62.5 3.5 90 2381.511</v>
      </c>
      <c r="AZ133" s="42" t="str">
        <f t="shared" si="54"/>
        <v>-text 13891.522905036,23.5 3.5 90 马分13+891.52</v>
      </c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  <c r="FI133" s="42"/>
      <c r="FJ133" s="42"/>
      <c r="FK133" s="42"/>
      <c r="FL133" s="42"/>
      <c r="FM133" s="42"/>
      <c r="FN133" s="42"/>
      <c r="FO133" s="42"/>
      <c r="FP133" s="42"/>
      <c r="FQ133" s="42"/>
      <c r="FR133" s="42"/>
      <c r="FS133" s="42"/>
      <c r="FT133" s="42"/>
      <c r="FU133" s="42"/>
      <c r="FV133" s="42"/>
      <c r="FW133" s="42"/>
      <c r="FX133" s="42"/>
      <c r="FY133" s="42"/>
      <c r="FZ133" s="42"/>
      <c r="GA133" s="42"/>
      <c r="GB133" s="42"/>
      <c r="GC133" s="42"/>
      <c r="GD133" s="42"/>
      <c r="GE133" s="42"/>
      <c r="GF133" s="42"/>
      <c r="GG133" s="42"/>
      <c r="GH133" s="42"/>
      <c r="GI133" s="42"/>
      <c r="GJ133" s="42"/>
      <c r="GK133" s="42"/>
      <c r="GL133" s="42"/>
      <c r="GM133" s="42"/>
      <c r="GN133" s="42"/>
      <c r="GO133" s="42"/>
      <c r="GP133" s="42"/>
      <c r="GQ133" s="42"/>
      <c r="GR133" s="42"/>
      <c r="GS133" s="42"/>
      <c r="GT133" s="42"/>
      <c r="GU133" s="42"/>
      <c r="GV133" s="42"/>
      <c r="GW133" s="42"/>
      <c r="GX133" s="42"/>
    </row>
    <row r="134" spans="1:206" s="57" customFormat="1" x14ac:dyDescent="0.25">
      <c r="A134" s="102">
        <v>6</v>
      </c>
      <c r="B134" s="88" t="str">
        <f>线路!B131</f>
        <v>六流量段末(6#斗门）</v>
      </c>
      <c r="C134" s="89">
        <f>线路!E131</f>
        <v>445695.97200000001</v>
      </c>
      <c r="D134" s="89">
        <f>线路!F131</f>
        <v>3037576.8147</v>
      </c>
      <c r="E134" s="90">
        <f>线路!G131</f>
        <v>0</v>
      </c>
      <c r="F134" s="90">
        <f>线路!H131</f>
        <v>0</v>
      </c>
      <c r="G134" s="91">
        <f>线路!L131</f>
        <v>13982.830808547898</v>
      </c>
      <c r="H134" s="91">
        <f>线路!M131</f>
        <v>13982.830808547898</v>
      </c>
      <c r="I134" s="91">
        <f>线路!N131</f>
        <v>13982.830808547898</v>
      </c>
      <c r="J134" s="112">
        <f t="shared" si="57"/>
        <v>0</v>
      </c>
      <c r="K134" s="112">
        <f t="shared" ref="K134:K197" si="67">H134-H133</f>
        <v>91.307903511873519</v>
      </c>
      <c r="L134" s="112">
        <f>IF(A134=1,断面设计!$D$7,IF(A134=2,断面设计!$D$8,IF(A134=3,断面设计!$D$9,IF(A134=4,断面设计!$D$10,IF(A134=5,断面设计!$D$11,IF(A134=6,断面设计!$D$12,IF(A134=7,断面设计!$D$13,IF(A134=8,断面设计!$D$14,IF(A134=9,断面设计!$D$15,IF(A134=10,断面设计!$D$16))))))))))</f>
        <v>1.2</v>
      </c>
      <c r="M134" s="112">
        <f t="shared" ref="M134:M197" si="68">IF(AO134=0,1.2,0)</f>
        <v>1.2</v>
      </c>
      <c r="N134" s="113">
        <f t="shared" si="50"/>
        <v>1.4999999999999999E-2</v>
      </c>
      <c r="O134" s="112">
        <f>IF(A134=1,断面设计!$J$7,IF(A134=2,断面设计!$J$8,IF(A134=3,断面设计!$J$9,IF(A134=4,断面设计!$J$10,IF(A134=5,断面设计!$J$11,IF(A134=6,断面设计!$J$12,IF(A134=7,断面设计!$J$13,IF(A134=8,断面设计!$J$14,IF(A134=9,断面设计!$J$15,IF(A134=10,断面设计!$J$16))))))))))</f>
        <v>5000</v>
      </c>
      <c r="P134" s="114">
        <f>IF(A134=1,断面设计!$K$7,IF(A134=2,断面设计!$K$8,IF(A134=3,断面设计!$K$9,IF(A134=4,断面设计!$K$10,IF(A134=5,断面设计!$K$11,IF(A134=6,断面设计!$K$12,IF(A134=7,断面设计!$K$13,IF(A134=8,断面设计!$K$14,IF(A134=9,断面设计!$K$15,IF(A134=10,断面设计!$K$16))))))))))</f>
        <v>3.1003625801059727</v>
      </c>
      <c r="Q134" s="113">
        <f>IF(A134=1,断面设计!$C$7,IF(A134=2,断面设计!$C$8,IF(A134=3,断面设计!$C$9,IF(A134=4,断面设计!$C$10,IF(A134=5,断面设计!$C$11,IF(A134=6,断面设计!$C$12,IF(A134=7,断面设计!$C$13,IF(A134=8,断面设计!$C$14,IF(A134=9,断面设计!$C$15,IF(A134=10,断面设计!$C$16))))))))))</f>
        <v>1.40797130701961</v>
      </c>
      <c r="R134" s="112">
        <f>IF(A134=1,断面设计!$F$7,IF(A134=2,断面设计!$F$8,IF(A134=3,断面设计!$F$9,IF(A134=4,断面设计!$F$10,IF(A134=5,断面设计!$F$11,IF(A134=6,断面设计!$F$12,IF(A134=7,断面设计!$F$13,IF(A134=8,断面设计!$F$14,IF(A134=9,断面设计!$F$15,IF(A134=10,断面设计!$F$16))))))))))</f>
        <v>4.0684254100921429</v>
      </c>
      <c r="S134" s="112">
        <f>IF(A134=1,断面设计!$G$7,IF(A134=2,断面设计!$G$8,IF(A134=3,断面设计!$G$9,IF(A134=4,断面设计!$G$10,IF(A134=5,断面设计!$G$11,IF(A134=6,断面设计!$G$12,IF(A134=7,断面设计!$G$13,IF(A134=8,断面设计!$G$14,IF(A134=9,断面设计!$G$15,IF(A134=10,断面设计!$G$16))))))))))</f>
        <v>5.5986429777343112</v>
      </c>
      <c r="T134" s="112">
        <f t="shared" ref="T134:T197" si="69">R134/S134</f>
        <v>0.72668063069429278</v>
      </c>
      <c r="U134" s="112">
        <f t="shared" ref="U134:U197" si="70">P134/R134</f>
        <v>0.76205466921310838</v>
      </c>
      <c r="V134" s="124"/>
      <c r="W134" s="128"/>
      <c r="X134" s="113">
        <f>IF(AN134=0,IF(AN133=2,(H134-H133-AE133)/O134,(H134-H133)/O134),IF(AN134=1,IF(AN133=2,IF(AE134&lt;9,(H134-H133-AE134-AE133)/断面设计!$J$7,(H134-H133-AE134-AE133)/断面设计!$J$7),(H134-H133-AE134)/O133),(H134-H133)/O134))</f>
        <v>1.7261580702374702E-2</v>
      </c>
      <c r="Y134" s="136">
        <v>0</v>
      </c>
      <c r="Z134" s="137">
        <f t="shared" si="51"/>
        <v>0</v>
      </c>
      <c r="AA134" s="148"/>
      <c r="AB134" s="136">
        <f t="shared" si="58"/>
        <v>1.40797130701961</v>
      </c>
      <c r="AC134" s="113">
        <f t="shared" si="59"/>
        <v>1.7261580702374702E-2</v>
      </c>
      <c r="AD134" s="113">
        <f t="shared" ref="AD134:AD197" ca="1" si="71">AD133-AC134</f>
        <v>2381.5140165177359</v>
      </c>
      <c r="AE134" s="138">
        <f t="shared" ref="AE134:AE184" si="72">IF(AO134=0,0,IF(AO134=2,IF(AN134=1,20,IF(AN134=0,0,25)),IF(AN134=1,15,IF(AN134=0,0,IF(AO134=3,20,20)))))</f>
        <v>0</v>
      </c>
      <c r="AF134" s="113" t="str">
        <f t="shared" si="60"/>
        <v xml:space="preserve"> </v>
      </c>
      <c r="AG134" s="113" t="str">
        <f>IF(AE134=0," ",AF134-断面设计!$C$7)</f>
        <v xml:space="preserve"> </v>
      </c>
      <c r="AH134" s="113" t="str">
        <f t="shared" si="61"/>
        <v xml:space="preserve"> </v>
      </c>
      <c r="AI134" s="113" t="str">
        <f t="shared" si="62"/>
        <v xml:space="preserve"> </v>
      </c>
      <c r="AJ134" s="113" t="str">
        <f t="shared" si="63"/>
        <v xml:space="preserve"> </v>
      </c>
      <c r="AK134" s="113" t="str">
        <f t="shared" si="64"/>
        <v xml:space="preserve"> </v>
      </c>
      <c r="AL134" s="113">
        <f t="shared" ca="1" si="65"/>
        <v>2381.5140165177359</v>
      </c>
      <c r="AM134" s="113">
        <f t="shared" ca="1" si="66"/>
        <v>2380.1060452107163</v>
      </c>
      <c r="AN134" s="128"/>
      <c r="AO134" s="102">
        <v>0</v>
      </c>
      <c r="AP134" s="42"/>
      <c r="AQ134" s="162" t="s">
        <v>714</v>
      </c>
      <c r="AR134" s="127">
        <v>2373.2600000000002</v>
      </c>
      <c r="AS134" s="42"/>
      <c r="AT134" s="42"/>
      <c r="AU134" s="64" t="str">
        <f t="shared" ref="AU134:AU197" ca="1" si="73">H134&amp;","&amp;AM134</f>
        <v>13982.8308085479,2380.10604521072</v>
      </c>
      <c r="AV134" s="64" t="str">
        <f t="shared" ca="1" si="55"/>
        <v>13982.8308085479,2381.51401651774</v>
      </c>
      <c r="AW134" s="169" t="str">
        <f t="shared" si="56"/>
        <v xml:space="preserve">pl 13982.8308085479,0 13982.8308085479,76 </v>
      </c>
      <c r="AX134" s="161" t="str">
        <f t="shared" ca="1" si="52"/>
        <v>-text 13982.8308085479,48 3.5 90 2380.106</v>
      </c>
      <c r="AY134" s="161" t="str">
        <f t="shared" ca="1" si="53"/>
        <v>-text 13982.8308085479,62.5 3.5 90 2381.514</v>
      </c>
      <c r="AZ134" s="42" t="str">
        <f t="shared" si="54"/>
        <v>-text 13982.8308085479,23.5 3.5 90 马分13+982.83</v>
      </c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  <c r="FI134" s="42"/>
      <c r="FJ134" s="42"/>
      <c r="FK134" s="42"/>
      <c r="FL134" s="42"/>
      <c r="FM134" s="42"/>
      <c r="FN134" s="42"/>
      <c r="FO134" s="42"/>
      <c r="FP134" s="42"/>
      <c r="FQ134" s="42"/>
      <c r="FR134" s="42"/>
      <c r="FS134" s="42"/>
      <c r="FT134" s="42"/>
      <c r="FU134" s="42"/>
      <c r="FV134" s="42"/>
      <c r="FW134" s="42"/>
      <c r="FX134" s="42"/>
      <c r="FY134" s="42"/>
      <c r="FZ134" s="42"/>
      <c r="GA134" s="42"/>
      <c r="GB134" s="42"/>
      <c r="GC134" s="42"/>
      <c r="GD134" s="42"/>
      <c r="GE134" s="42"/>
      <c r="GF134" s="42"/>
      <c r="GG134" s="42"/>
      <c r="GH134" s="42"/>
      <c r="GI134" s="42"/>
      <c r="GJ134" s="42"/>
      <c r="GK134" s="42"/>
      <c r="GL134" s="42"/>
      <c r="GM134" s="42"/>
      <c r="GN134" s="42"/>
      <c r="GO134" s="42"/>
      <c r="GP134" s="42"/>
      <c r="GQ134" s="42"/>
      <c r="GR134" s="42"/>
      <c r="GS134" s="42"/>
      <c r="GT134" s="42"/>
      <c r="GU134" s="42"/>
      <c r="GV134" s="42"/>
      <c r="GW134" s="42"/>
      <c r="GX134" s="42"/>
    </row>
    <row r="135" spans="1:206" s="42" customFormat="1" x14ac:dyDescent="0.25">
      <c r="A135" s="80">
        <v>7</v>
      </c>
      <c r="B135" s="76" t="str">
        <f>线路!B132</f>
        <v>2#姚家湾节制闸</v>
      </c>
      <c r="C135" s="81">
        <f>线路!E132</f>
        <v>445666.90029999998</v>
      </c>
      <c r="D135" s="81">
        <f>线路!F132</f>
        <v>3037565.9813999999</v>
      </c>
      <c r="E135" s="85">
        <f>线路!G132</f>
        <v>0</v>
      </c>
      <c r="F135" s="85">
        <f>线路!H132</f>
        <v>0</v>
      </c>
      <c r="G135" s="86">
        <f>线路!L132</f>
        <v>14013.855381547102</v>
      </c>
      <c r="H135" s="86">
        <f>线路!M132</f>
        <v>14013.855381547102</v>
      </c>
      <c r="I135" s="86">
        <f>线路!N132</f>
        <v>14013.855381547102</v>
      </c>
      <c r="J135" s="83">
        <f t="shared" si="57"/>
        <v>0</v>
      </c>
      <c r="K135" s="83">
        <f t="shared" si="67"/>
        <v>31.024572999203883</v>
      </c>
      <c r="L135" s="83">
        <f>IF(A135=1,断面设计!$D$7,IF(A135=2,断面设计!$D$8,IF(A135=3,断面设计!$D$9,IF(A135=4,断面设计!$D$10,IF(A135=5,断面设计!$D$11,IF(A135=6,断面设计!$D$12,IF(A135=7,断面设计!$D$13,IF(A135=8,断面设计!$D$14,IF(A135=9,断面设计!$D$15,IF(A135=10,断面设计!$D$16))))))))))</f>
        <v>1</v>
      </c>
      <c r="M135" s="83">
        <f t="shared" si="68"/>
        <v>1.2</v>
      </c>
      <c r="N135" s="110">
        <f t="shared" ref="N135:N198" si="74">IF(AO135=0,0.015,0.014)</f>
        <v>1.4999999999999999E-2</v>
      </c>
      <c r="O135" s="83">
        <f>IF(A135=1,断面设计!$J$7,IF(A135=2,断面设计!$J$8,IF(A135=3,断面设计!$J$9,IF(A135=4,断面设计!$J$10,IF(A135=5,断面设计!$J$11,IF(A135=6,断面设计!$J$12,IF(A135=7,断面设计!$J$13,IF(A135=8,断面设计!$J$14,IF(A135=9,断面设计!$J$15,IF(A135=10,断面设计!$J$16))))))))))</f>
        <v>5000</v>
      </c>
      <c r="P135" s="111">
        <f>IF(A135=1,断面设计!$K$7,IF(A135=2,断面设计!$K$8,IF(A135=3,断面设计!$K$9,IF(A135=4,断面设计!$K$10,IF(A135=5,断面设计!$K$11,IF(A135=6,断面设计!$K$12,IF(A135=7,断面设计!$K$13,IF(A135=8,断面设计!$K$14,IF(A135=9,断面设计!$K$15,IF(A135=10,断面设计!$K$16))))))))))</f>
        <v>2.6999911281428886</v>
      </c>
      <c r="Q135" s="110">
        <f>IF(A135=1,断面设计!$C$7,IF(A135=2,断面设计!$C$8,IF(A135=3,断面设计!$C$9,IF(A135=4,断面设计!$C$10,IF(A135=5,断面设计!$C$11,IF(A135=6,断面设计!$C$12,IF(A135=7,断面设计!$C$13,IF(A135=8,断面设计!$C$14,IF(A135=9,断面设计!$C$15,IF(A135=10,断面设计!$C$16))))))))))</f>
        <v>1.38033020658117</v>
      </c>
      <c r="R135" s="83">
        <f>IF(A135=1,断面设计!$F$7,IF(A135=2,断面设计!$F$8,IF(A135=3,断面设计!$F$9,IF(A135=4,断面设计!$F$10,IF(A135=5,断面设计!$F$11,IF(A135=6,断面设计!$F$12,IF(A135=7,断面设计!$F$13,IF(A135=8,断面设计!$F$14,IF(A135=9,断面设计!$F$15,IF(A135=10,断面设计!$F$16))))))))))</f>
        <v>3.6667039816216684</v>
      </c>
      <c r="S135" s="83">
        <f>IF(A135=1,断面设计!$G$7,IF(A135=2,断面设计!$G$8,IF(A135=3,断面设计!$G$9,IF(A135=4,断面设计!$G$10,IF(A135=5,断面设计!$G$11,IF(A135=6,断面设计!$G$12,IF(A135=7,断面设计!$G$13,IF(A135=8,断面设计!$G$14,IF(A135=9,断面设计!$G$15,IF(A135=10,断面设计!$G$16))))))))))</f>
        <v>5.3122894194378993</v>
      </c>
      <c r="T135" s="83">
        <f t="shared" si="69"/>
        <v>0.69023046225701445</v>
      </c>
      <c r="U135" s="83">
        <f t="shared" si="70"/>
        <v>0.73635372303732216</v>
      </c>
      <c r="V135" s="123"/>
      <c r="W135" s="127"/>
      <c r="X135" s="110">
        <f>IF(AN135=0,IF(AN134=2,(H135-H134-AE134)/O135,(H135-H134)/O135),IF(AN135=1,IF(AN134=2,IF(AE135&lt;9,(H135-H134-AE135-AE134)/断面设计!$J$7,(H135-H134-AE135-AE134)/断面设计!$J$7),(H135-H134-AE135)/O134),(H135-H134)/O135))</f>
        <v>6.2049145998407766E-3</v>
      </c>
      <c r="Y135" s="133">
        <v>0</v>
      </c>
      <c r="Z135" s="134">
        <f t="shared" ref="Z135:Z198" si="75">Z134</f>
        <v>0</v>
      </c>
      <c r="AA135" s="142">
        <v>0.05</v>
      </c>
      <c r="AB135" s="133">
        <f t="shared" si="58"/>
        <v>1.38033020658117</v>
      </c>
      <c r="AC135" s="110">
        <f t="shared" si="59"/>
        <v>5.6204914599840783E-2</v>
      </c>
      <c r="AD135" s="110">
        <f t="shared" ca="1" si="71"/>
        <v>2381.4578116031362</v>
      </c>
      <c r="AE135" s="82">
        <f t="shared" si="72"/>
        <v>0</v>
      </c>
      <c r="AF135" s="110" t="str">
        <f t="shared" si="60"/>
        <v xml:space="preserve"> </v>
      </c>
      <c r="AG135" s="110" t="str">
        <f>IF(AE135=0," ",AF135-断面设计!$C$7)</f>
        <v xml:space="preserve"> </v>
      </c>
      <c r="AH135" s="110" t="str">
        <f t="shared" si="61"/>
        <v xml:space="preserve"> </v>
      </c>
      <c r="AI135" s="110" t="str">
        <f t="shared" si="62"/>
        <v xml:space="preserve"> </v>
      </c>
      <c r="AJ135" s="110" t="str">
        <f t="shared" si="63"/>
        <v xml:space="preserve"> </v>
      </c>
      <c r="AK135" s="110" t="str">
        <f t="shared" si="64"/>
        <v xml:space="preserve"> </v>
      </c>
      <c r="AL135" s="110">
        <f t="shared" ca="1" si="65"/>
        <v>2381.4578116031362</v>
      </c>
      <c r="AM135" s="110">
        <f t="shared" ca="1" si="66"/>
        <v>2380.077481396555</v>
      </c>
      <c r="AN135" s="127"/>
      <c r="AO135" s="80">
        <v>0</v>
      </c>
      <c r="AU135" s="64" t="str">
        <f t="shared" ca="1" si="73"/>
        <v>14013.8553815471,2380.07748139655</v>
      </c>
      <c r="AV135" s="64" t="str">
        <f t="shared" ca="1" si="55"/>
        <v>14013.8553815471,2381.45781160314</v>
      </c>
      <c r="AW135" s="169" t="str">
        <f t="shared" si="56"/>
        <v xml:space="preserve">pl 14013.8553815471,0 14013.8553815471,76 </v>
      </c>
      <c r="AX135" s="161" t="str">
        <f t="shared" ca="1" si="52"/>
        <v>-text 14013.8553815471,48 3.5 90 2380.077</v>
      </c>
      <c r="AY135" s="161" t="str">
        <f t="shared" ca="1" si="53"/>
        <v>-text 14013.8553815471,62.5 3.5 90 2381.458</v>
      </c>
      <c r="AZ135" s="42" t="str">
        <f t="shared" si="54"/>
        <v>-text 14013.8553815471,23.5 3.5 90 马分14+013.86</v>
      </c>
    </row>
    <row r="136" spans="1:206" s="55" customFormat="1" x14ac:dyDescent="0.25">
      <c r="A136" s="92">
        <v>7</v>
      </c>
      <c r="B136" s="93" t="str">
        <f>线路!B133</f>
        <v>10#倒虹吸进</v>
      </c>
      <c r="C136" s="94">
        <f>线路!E133</f>
        <v>445621.00819999998</v>
      </c>
      <c r="D136" s="94">
        <f>线路!F133</f>
        <v>3037548.8801000002</v>
      </c>
      <c r="E136" s="95">
        <f>线路!G133</f>
        <v>0</v>
      </c>
      <c r="F136" s="95">
        <f>线路!H133</f>
        <v>0</v>
      </c>
      <c r="G136" s="96">
        <f>线路!L133</f>
        <v>14062.83026596852</v>
      </c>
      <c r="H136" s="96">
        <f>线路!M133</f>
        <v>14062.83026596852</v>
      </c>
      <c r="I136" s="96">
        <f>线路!N133</f>
        <v>14062.83026596852</v>
      </c>
      <c r="J136" s="115">
        <f t="shared" si="57"/>
        <v>0</v>
      </c>
      <c r="K136" s="115">
        <f t="shared" si="67"/>
        <v>48.9748844214173</v>
      </c>
      <c r="L136" s="115">
        <f>IF(A136=1,断面设计!$D$7,IF(A136=2,断面设计!$D$8,IF(A136=3,断面设计!$D$9,IF(A136=4,断面设计!$D$10,IF(A136=5,断面设计!$D$11,IF(A136=6,断面设计!$D$12,IF(A136=7,断面设计!$D$13,IF(A136=8,断面设计!$D$14,IF(A136=9,断面设计!$D$15,IF(A136=10,断面设计!$D$16))))))))))</f>
        <v>1</v>
      </c>
      <c r="M136" s="115">
        <f t="shared" si="68"/>
        <v>1.2</v>
      </c>
      <c r="N136" s="116">
        <f t="shared" si="74"/>
        <v>1.4999999999999999E-2</v>
      </c>
      <c r="O136" s="115">
        <f>IF(A136=1,断面设计!$J$7,IF(A136=2,断面设计!$J$8,IF(A136=3,断面设计!$J$9,IF(A136=4,断面设计!$J$10,IF(A136=5,断面设计!$J$11,IF(A136=6,断面设计!$J$12,IF(A136=7,断面设计!$J$13,IF(A136=8,断面设计!$J$14,IF(A136=9,断面设计!$J$15,IF(A136=10,断面设计!$J$16))))))))))</f>
        <v>5000</v>
      </c>
      <c r="P136" s="117">
        <f>IF(A136=1,断面设计!$K$7,IF(A136=2,断面设计!$K$8,IF(A136=3,断面设计!$K$9,IF(A136=4,断面设计!$K$10,IF(A136=5,断面设计!$K$11,IF(A136=6,断面设计!$K$12,IF(A136=7,断面设计!$K$13,IF(A136=8,断面设计!$K$14,IF(A136=9,断面设计!$K$15,IF(A136=10,断面设计!$K$16))))))))))</f>
        <v>2.6999911281428886</v>
      </c>
      <c r="Q136" s="116">
        <f>IF(A136=1,断面设计!$C$7,IF(A136=2,断面设计!$C$8,IF(A136=3,断面设计!$C$9,IF(A136=4,断面设计!$C$10,IF(A136=5,断面设计!$C$11,IF(A136=6,断面设计!$C$12,IF(A136=7,断面设计!$C$13,IF(A136=8,断面设计!$C$14,IF(A136=9,断面设计!$C$15,IF(A136=10,断面设计!$C$16))))))))))</f>
        <v>1.38033020658117</v>
      </c>
      <c r="R136" s="115">
        <f>IF(A136=1,断面设计!$F$7,IF(A136=2,断面设计!$F$8,IF(A136=3,断面设计!$F$9,IF(A136=4,断面设计!$F$10,IF(A136=5,断面设计!$F$11,IF(A136=6,断面设计!$F$12,IF(A136=7,断面设计!$F$13,IF(A136=8,断面设计!$F$14,IF(A136=9,断面设计!$F$15,IF(A136=10,断面设计!$F$16))))))))))</f>
        <v>3.6667039816216684</v>
      </c>
      <c r="S136" s="115">
        <f>IF(A136=1,断面设计!$G$7,IF(A136=2,断面设计!$G$8,IF(A136=3,断面设计!$G$9,IF(A136=4,断面设计!$G$10,IF(A136=5,断面设计!$G$11,IF(A136=6,断面设计!$G$12,IF(A136=7,断面设计!$G$13,IF(A136=8,断面设计!$G$14,IF(A136=9,断面设计!$G$15,IF(A136=10,断面设计!$G$16))))))))))</f>
        <v>5.3122894194378993</v>
      </c>
      <c r="T136" s="115">
        <f t="shared" si="69"/>
        <v>0.69023046225701445</v>
      </c>
      <c r="U136" s="115">
        <f t="shared" si="70"/>
        <v>0.73635372303732216</v>
      </c>
      <c r="V136" s="125"/>
      <c r="W136" s="178"/>
      <c r="X136" s="116"/>
      <c r="Y136" s="139">
        <v>0</v>
      </c>
      <c r="Z136" s="140">
        <f t="shared" si="75"/>
        <v>0</v>
      </c>
      <c r="AA136" s="143"/>
      <c r="AB136" s="139">
        <f t="shared" si="58"/>
        <v>1.38033020658117</v>
      </c>
      <c r="AC136" s="116">
        <f t="shared" si="59"/>
        <v>0</v>
      </c>
      <c r="AD136" s="116">
        <f t="shared" ca="1" si="71"/>
        <v>2381.4578116031362</v>
      </c>
      <c r="AE136" s="141">
        <f t="shared" si="72"/>
        <v>0</v>
      </c>
      <c r="AF136" s="116" t="str">
        <f t="shared" si="60"/>
        <v xml:space="preserve"> </v>
      </c>
      <c r="AG136" s="116" t="str">
        <f>IF(AE136=0," ",AF136-断面设计!$C$7)</f>
        <v xml:space="preserve"> </v>
      </c>
      <c r="AH136" s="116" t="str">
        <f t="shared" si="61"/>
        <v xml:space="preserve"> </v>
      </c>
      <c r="AI136" s="116" t="str">
        <f t="shared" si="62"/>
        <v xml:space="preserve"> </v>
      </c>
      <c r="AJ136" s="116" t="str">
        <f t="shared" si="63"/>
        <v xml:space="preserve"> </v>
      </c>
      <c r="AK136" s="116" t="str">
        <f t="shared" si="64"/>
        <v xml:space="preserve"> </v>
      </c>
      <c r="AL136" s="116">
        <f t="shared" ca="1" si="65"/>
        <v>2381.4578116031362</v>
      </c>
      <c r="AM136" s="116">
        <f t="shared" ca="1" si="66"/>
        <v>2380.077481396555</v>
      </c>
      <c r="AN136" s="178"/>
      <c r="AO136" s="92">
        <v>0</v>
      </c>
      <c r="AP136" s="42"/>
      <c r="AQ136" s="42"/>
      <c r="AR136" s="42"/>
      <c r="AS136" s="42"/>
      <c r="AT136" s="42"/>
      <c r="AU136" s="64" t="str">
        <f t="shared" ca="1" si="73"/>
        <v>14062.8302659685,2380.07748139655</v>
      </c>
      <c r="AV136" s="64" t="str">
        <f t="shared" ca="1" si="55"/>
        <v>14062.8302659685,2381.45781160314</v>
      </c>
      <c r="AW136" s="169" t="str">
        <f t="shared" si="56"/>
        <v xml:space="preserve">pl 14062.8302659685,0 14062.8302659685,76 </v>
      </c>
      <c r="AX136" s="161" t="str">
        <f t="shared" ca="1" si="52"/>
        <v>-text 14062.8302659685,48 3.5 90 2380.077</v>
      </c>
      <c r="AY136" s="161" t="str">
        <f t="shared" ca="1" si="53"/>
        <v>-text 14062.8302659685,62.5 3.5 90 2381.458</v>
      </c>
      <c r="AZ136" s="42" t="str">
        <f t="shared" si="54"/>
        <v>-text 14062.8302659685,23.5 3.5 90 马分14+062.83</v>
      </c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  <c r="FI136" s="42"/>
      <c r="FJ136" s="42"/>
      <c r="FK136" s="42"/>
      <c r="FL136" s="42"/>
      <c r="FM136" s="42"/>
      <c r="FN136" s="42"/>
      <c r="FO136" s="42"/>
      <c r="FP136" s="42"/>
      <c r="FQ136" s="42"/>
      <c r="FR136" s="42"/>
      <c r="FS136" s="42"/>
      <c r="FT136" s="42"/>
      <c r="FU136" s="42"/>
      <c r="FV136" s="42"/>
      <c r="FW136" s="42"/>
      <c r="FX136" s="42"/>
      <c r="FY136" s="42"/>
      <c r="FZ136" s="42"/>
      <c r="GA136" s="42"/>
      <c r="GB136" s="42"/>
      <c r="GC136" s="42"/>
      <c r="GD136" s="42"/>
      <c r="GE136" s="42"/>
      <c r="GF136" s="42"/>
      <c r="GG136" s="42"/>
      <c r="GH136" s="42"/>
      <c r="GI136" s="42"/>
      <c r="GJ136" s="42"/>
      <c r="GK136" s="42"/>
      <c r="GL136" s="42"/>
      <c r="GM136" s="42"/>
      <c r="GN136" s="42"/>
      <c r="GO136" s="42"/>
      <c r="GP136" s="42"/>
      <c r="GQ136" s="42"/>
      <c r="GR136" s="42"/>
      <c r="GS136" s="42"/>
      <c r="GT136" s="42"/>
      <c r="GU136" s="42"/>
      <c r="GV136" s="42"/>
      <c r="GW136" s="42"/>
      <c r="GX136" s="42"/>
    </row>
    <row r="137" spans="1:206" s="55" customFormat="1" x14ac:dyDescent="0.25">
      <c r="A137" s="92">
        <v>7</v>
      </c>
      <c r="B137" s="93" t="str">
        <f>线路!B134</f>
        <v>IP87</v>
      </c>
      <c r="C137" s="94">
        <f>线路!E134</f>
        <v>445278.45939999999</v>
      </c>
      <c r="D137" s="94">
        <f>线路!F134</f>
        <v>3037421.2322999998</v>
      </c>
      <c r="E137" s="95">
        <f>线路!G134</f>
        <v>4.8</v>
      </c>
      <c r="F137" s="95">
        <f>线路!H134</f>
        <v>24.1</v>
      </c>
      <c r="G137" s="96">
        <f>线路!L134</f>
        <v>14427.364969521723</v>
      </c>
      <c r="H137" s="96">
        <f>线路!M134</f>
        <v>14428.374467961075</v>
      </c>
      <c r="I137" s="96">
        <f>线路!N134</f>
        <v>14429.38396640043</v>
      </c>
      <c r="J137" s="115">
        <f t="shared" si="57"/>
        <v>2.0189968787071848</v>
      </c>
      <c r="K137" s="115">
        <f t="shared" si="67"/>
        <v>365.54420199255583</v>
      </c>
      <c r="L137" s="115">
        <f>IF(A137=1,断面设计!$D$7,IF(A137=2,断面设计!$D$8,IF(A137=3,断面设计!$D$9,IF(A137=4,断面设计!$D$10,IF(A137=5,断面设计!$D$11,IF(A137=6,断面设计!$D$12,IF(A137=7,断面设计!$D$13,IF(A137=8,断面设计!$D$14,IF(A137=9,断面设计!$D$15,IF(A137=10,断面设计!$D$16))))))))))</f>
        <v>1</v>
      </c>
      <c r="M137" s="115">
        <f t="shared" si="68"/>
        <v>1.2</v>
      </c>
      <c r="N137" s="116">
        <f t="shared" si="74"/>
        <v>1.4999999999999999E-2</v>
      </c>
      <c r="O137" s="115">
        <f>IF(A137=1,断面设计!$J$7,IF(A137=2,断面设计!$J$8,IF(A137=3,断面设计!$J$9,IF(A137=4,断面设计!$J$10,IF(A137=5,断面设计!$J$11,IF(A137=6,断面设计!$J$12,IF(A137=7,断面设计!$J$13,IF(A137=8,断面设计!$J$14,IF(A137=9,断面设计!$J$15,IF(A137=10,断面设计!$J$16))))))))))</f>
        <v>5000</v>
      </c>
      <c r="P137" s="117">
        <f>IF(A137=1,断面设计!$K$7,IF(A137=2,断面设计!$K$8,IF(A137=3,断面设计!$K$9,IF(A137=4,断面设计!$K$10,IF(A137=5,断面设计!$K$11,IF(A137=6,断面设计!$K$12,IF(A137=7,断面设计!$K$13,IF(A137=8,断面设计!$K$14,IF(A137=9,断面设计!$K$15,IF(A137=10,断面设计!$K$16))))))))))</f>
        <v>2.6999911281428886</v>
      </c>
      <c r="Q137" s="116">
        <f>IF(A137=1,断面设计!$C$7,IF(A137=2,断面设计!$C$8,IF(A137=3,断面设计!$C$9,IF(A137=4,断面设计!$C$10,IF(A137=5,断面设计!$C$11,IF(A137=6,断面设计!$C$12,IF(A137=7,断面设计!$C$13,IF(A137=8,断面设计!$C$14,IF(A137=9,断面设计!$C$15,IF(A137=10,断面设计!$C$16))))))))))</f>
        <v>1.38033020658117</v>
      </c>
      <c r="R137" s="115">
        <f>IF(A137=1,断面设计!$F$7,IF(A137=2,断面设计!$F$8,IF(A137=3,断面设计!$F$9,IF(A137=4,断面设计!$F$10,IF(A137=5,断面设计!$F$11,IF(A137=6,断面设计!$F$12,IF(A137=7,断面设计!$F$13,IF(A137=8,断面设计!$F$14,IF(A137=9,断面设计!$F$15,IF(A137=10,断面设计!$F$16))))))))))</f>
        <v>3.6667039816216684</v>
      </c>
      <c r="S137" s="115">
        <f>IF(A137=1,断面设计!$G$7,IF(A137=2,断面设计!$G$8,IF(A137=3,断面设计!$G$9,IF(A137=4,断面设计!$G$10,IF(A137=5,断面设计!$G$11,IF(A137=6,断面设计!$G$12,IF(A137=7,断面设计!$G$13,IF(A137=8,断面设计!$G$14,IF(A137=9,断面设计!$G$15,IF(A137=10,断面设计!$G$16))))))))))</f>
        <v>5.3122894194378993</v>
      </c>
      <c r="T137" s="115">
        <f t="shared" si="69"/>
        <v>0.69023046225701445</v>
      </c>
      <c r="U137" s="115">
        <f t="shared" si="70"/>
        <v>0.73635372303732216</v>
      </c>
      <c r="V137" s="125"/>
      <c r="W137" s="116"/>
      <c r="X137" s="116"/>
      <c r="Y137" s="139">
        <v>0</v>
      </c>
      <c r="Z137" s="140">
        <f t="shared" si="75"/>
        <v>0</v>
      </c>
      <c r="AA137" s="143"/>
      <c r="AB137" s="139">
        <f t="shared" si="58"/>
        <v>1.38033020658117</v>
      </c>
      <c r="AC137" s="116">
        <f t="shared" si="59"/>
        <v>0</v>
      </c>
      <c r="AD137" s="116">
        <f t="shared" ca="1" si="71"/>
        <v>2381.4578116031362</v>
      </c>
      <c r="AE137" s="141">
        <f t="shared" si="72"/>
        <v>0</v>
      </c>
      <c r="AF137" s="116" t="str">
        <f t="shared" si="60"/>
        <v xml:space="preserve"> </v>
      </c>
      <c r="AG137" s="116" t="str">
        <f>IF(AE137=0," ",AF137-断面设计!$C$13)</f>
        <v xml:space="preserve"> </v>
      </c>
      <c r="AH137" s="116">
        <f t="shared" ca="1" si="61"/>
        <v>2381.4580135028241</v>
      </c>
      <c r="AI137" s="116">
        <f t="shared" ca="1" si="62"/>
        <v>2380.0776832962429</v>
      </c>
      <c r="AJ137" s="116">
        <f t="shared" ca="1" si="63"/>
        <v>2381.4576097034483</v>
      </c>
      <c r="AK137" s="116">
        <f t="shared" ca="1" si="64"/>
        <v>2380.077279496867</v>
      </c>
      <c r="AL137" s="116">
        <f t="shared" ca="1" si="65"/>
        <v>2381.4578116031362</v>
      </c>
      <c r="AM137" s="116">
        <f t="shared" ca="1" si="66"/>
        <v>2380.077481396555</v>
      </c>
      <c r="AN137" s="178"/>
      <c r="AO137" s="92">
        <v>0</v>
      </c>
      <c r="AP137" s="42"/>
      <c r="AQ137" s="42"/>
      <c r="AR137" s="42"/>
      <c r="AS137" s="42"/>
      <c r="AT137" s="42"/>
      <c r="AU137" s="64" t="str">
        <f t="shared" ca="1" si="73"/>
        <v>14428.3744679611,2380.07748139655</v>
      </c>
      <c r="AV137" s="64" t="str">
        <f t="shared" ca="1" si="55"/>
        <v>14428.3744679611,2381.45781160314</v>
      </c>
      <c r="AW137" s="169" t="str">
        <f t="shared" si="56"/>
        <v xml:space="preserve">pl 14428.3744679611,0 14428.3744679611,76 </v>
      </c>
      <c r="AX137" s="161" t="str">
        <f t="shared" ca="1" si="52"/>
        <v>-text 14428.3744679611,48 3.5 90 2380.077</v>
      </c>
      <c r="AY137" s="161" t="str">
        <f t="shared" ca="1" si="53"/>
        <v>-text 14428.3744679611,62.5 3.5 90 2381.458</v>
      </c>
      <c r="AZ137" s="42" t="str">
        <f t="shared" si="54"/>
        <v>-text 14428.3744679611,23.5 3.5 90 马分14+428.37</v>
      </c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  <c r="FI137" s="42"/>
      <c r="FJ137" s="42"/>
      <c r="FK137" s="42"/>
      <c r="FL137" s="42"/>
      <c r="FM137" s="42"/>
      <c r="FN137" s="42"/>
      <c r="FO137" s="42"/>
      <c r="FP137" s="42"/>
      <c r="FQ137" s="42"/>
      <c r="FR137" s="42"/>
      <c r="FS137" s="42"/>
      <c r="FT137" s="42"/>
      <c r="FU137" s="42"/>
      <c r="FV137" s="42"/>
      <c r="FW137" s="42"/>
      <c r="FX137" s="42"/>
      <c r="FY137" s="42"/>
      <c r="FZ137" s="42"/>
      <c r="GA137" s="42"/>
      <c r="GB137" s="42"/>
      <c r="GC137" s="42"/>
      <c r="GD137" s="42"/>
      <c r="GE137" s="42"/>
      <c r="GF137" s="42"/>
      <c r="GG137" s="42"/>
      <c r="GH137" s="42"/>
      <c r="GI137" s="42"/>
      <c r="GJ137" s="42"/>
      <c r="GK137" s="42"/>
      <c r="GL137" s="42"/>
      <c r="GM137" s="42"/>
      <c r="GN137" s="42"/>
      <c r="GO137" s="42"/>
      <c r="GP137" s="42"/>
      <c r="GQ137" s="42"/>
      <c r="GR137" s="42"/>
      <c r="GS137" s="42"/>
      <c r="GT137" s="42"/>
      <c r="GU137" s="42"/>
      <c r="GV137" s="42"/>
      <c r="GW137" s="42"/>
      <c r="GX137" s="42"/>
    </row>
    <row r="138" spans="1:206" s="55" customFormat="1" x14ac:dyDescent="0.25">
      <c r="A138" s="92">
        <v>7</v>
      </c>
      <c r="B138" s="93" t="str">
        <f>线路!B135</f>
        <v>IP88</v>
      </c>
      <c r="C138" s="94">
        <f>线路!E135</f>
        <v>445124.32049999997</v>
      </c>
      <c r="D138" s="94">
        <f>线路!F135</f>
        <v>3037431.0981000001</v>
      </c>
      <c r="E138" s="95">
        <f>线路!G135</f>
        <v>4.8</v>
      </c>
      <c r="F138" s="95">
        <f>线路!H135</f>
        <v>8.4480000000000004</v>
      </c>
      <c r="G138" s="96">
        <f>线路!L135</f>
        <v>14582.459116583841</v>
      </c>
      <c r="H138" s="96">
        <f>线路!M135</f>
        <v>14582.812985580342</v>
      </c>
      <c r="I138" s="96">
        <f>线路!N135</f>
        <v>14583.166854576843</v>
      </c>
      <c r="J138" s="115">
        <f t="shared" si="57"/>
        <v>0.70773799300150131</v>
      </c>
      <c r="K138" s="115">
        <f t="shared" si="67"/>
        <v>154.43851761926635</v>
      </c>
      <c r="L138" s="115">
        <f>IF(A138=1,断面设计!$D$7,IF(A138=2,断面设计!$D$8,IF(A138=3,断面设计!$D$9,IF(A138=4,断面设计!$D$10,IF(A138=5,断面设计!$D$11,IF(A138=6,断面设计!$D$12,IF(A138=7,断面设计!$D$13,IF(A138=8,断面设计!$D$14,IF(A138=9,断面设计!$D$15,IF(A138=10,断面设计!$D$16))))))))))</f>
        <v>1</v>
      </c>
      <c r="M138" s="115">
        <f t="shared" si="68"/>
        <v>1.2</v>
      </c>
      <c r="N138" s="116">
        <f t="shared" si="74"/>
        <v>1.4999999999999999E-2</v>
      </c>
      <c r="O138" s="115">
        <f>IF(A138=1,断面设计!$J$7,IF(A138=2,断面设计!$J$8,IF(A138=3,断面设计!$J$9,IF(A138=4,断面设计!$J$10,IF(A138=5,断面设计!$J$11,IF(A138=6,断面设计!$J$12,IF(A138=7,断面设计!$J$13,IF(A138=8,断面设计!$J$14,IF(A138=9,断面设计!$J$15,IF(A138=10,断面设计!$J$16))))))))))</f>
        <v>5000</v>
      </c>
      <c r="P138" s="117">
        <f>IF(A138=1,断面设计!$K$7,IF(A138=2,断面设计!$K$8,IF(A138=3,断面设计!$K$9,IF(A138=4,断面设计!$K$10,IF(A138=5,断面设计!$K$11,IF(A138=6,断面设计!$K$12,IF(A138=7,断面设计!$K$13,IF(A138=8,断面设计!$K$14,IF(A138=9,断面设计!$K$15,IF(A138=10,断面设计!$K$16))))))))))</f>
        <v>2.6999911281428886</v>
      </c>
      <c r="Q138" s="116">
        <f>IF(A138=1,断面设计!$C$7,IF(A138=2,断面设计!$C$8,IF(A138=3,断面设计!$C$9,IF(A138=4,断面设计!$C$10,IF(A138=5,断面设计!$C$11,IF(A138=6,断面设计!$C$12,IF(A138=7,断面设计!$C$13,IF(A138=8,断面设计!$C$14,IF(A138=9,断面设计!$C$15,IF(A138=10,断面设计!$C$16))))))))))</f>
        <v>1.38033020658117</v>
      </c>
      <c r="R138" s="115">
        <f>IF(A138=1,断面设计!$F$7,IF(A138=2,断面设计!$F$8,IF(A138=3,断面设计!$F$9,IF(A138=4,断面设计!$F$10,IF(A138=5,断面设计!$F$11,IF(A138=6,断面设计!$F$12,IF(A138=7,断面设计!$F$13,IF(A138=8,断面设计!$F$14,IF(A138=9,断面设计!$F$15,IF(A138=10,断面设计!$F$16))))))))))</f>
        <v>3.6667039816216684</v>
      </c>
      <c r="S138" s="115">
        <f>IF(A138=1,断面设计!$G$7,IF(A138=2,断面设计!$G$8,IF(A138=3,断面设计!$G$9,IF(A138=4,断面设计!$G$10,IF(A138=5,断面设计!$G$11,IF(A138=6,断面设计!$G$12,IF(A138=7,断面设计!$G$13,IF(A138=8,断面设计!$G$14,IF(A138=9,断面设计!$G$15,IF(A138=10,断面设计!$G$16))))))))))</f>
        <v>5.3122894194378993</v>
      </c>
      <c r="T138" s="115">
        <f t="shared" si="69"/>
        <v>0.69023046225701445</v>
      </c>
      <c r="U138" s="115">
        <f t="shared" si="70"/>
        <v>0.73635372303732216</v>
      </c>
      <c r="V138" s="125"/>
      <c r="W138" s="178"/>
      <c r="X138" s="116"/>
      <c r="Y138" s="139">
        <v>0</v>
      </c>
      <c r="Z138" s="140">
        <f t="shared" si="75"/>
        <v>0</v>
      </c>
      <c r="AA138" s="143"/>
      <c r="AB138" s="139">
        <f t="shared" si="58"/>
        <v>1.38033020658117</v>
      </c>
      <c r="AC138" s="116">
        <f t="shared" si="59"/>
        <v>0</v>
      </c>
      <c r="AD138" s="116">
        <f t="shared" ca="1" si="71"/>
        <v>2381.4578116031362</v>
      </c>
      <c r="AE138" s="141">
        <f t="shared" si="72"/>
        <v>0</v>
      </c>
      <c r="AF138" s="116" t="str">
        <f t="shared" si="60"/>
        <v xml:space="preserve"> </v>
      </c>
      <c r="AG138" s="116" t="str">
        <f>IF(AE138=0," ",AF138-断面设计!$C$7)</f>
        <v xml:space="preserve"> </v>
      </c>
      <c r="AH138" s="116">
        <f t="shared" ca="1" si="61"/>
        <v>2381.4578823769357</v>
      </c>
      <c r="AI138" s="116">
        <f t="shared" ca="1" si="62"/>
        <v>2380.0775521703545</v>
      </c>
      <c r="AJ138" s="116">
        <f t="shared" ca="1" si="63"/>
        <v>2381.4577408293367</v>
      </c>
      <c r="AK138" s="116">
        <f t="shared" ca="1" si="64"/>
        <v>2380.0774106227555</v>
      </c>
      <c r="AL138" s="116">
        <f t="shared" ca="1" si="65"/>
        <v>2381.4578116031362</v>
      </c>
      <c r="AM138" s="116">
        <f t="shared" ca="1" si="66"/>
        <v>2380.077481396555</v>
      </c>
      <c r="AN138" s="178"/>
      <c r="AO138" s="92">
        <v>0</v>
      </c>
      <c r="AP138" s="42"/>
      <c r="AQ138" s="42"/>
      <c r="AR138" s="42"/>
      <c r="AS138" s="42"/>
      <c r="AT138" s="42"/>
      <c r="AU138" s="64" t="str">
        <f t="shared" ca="1" si="73"/>
        <v>14582.8129855803,2380.07748139655</v>
      </c>
      <c r="AV138" s="64" t="str">
        <f t="shared" ca="1" si="55"/>
        <v>14582.8129855803,2381.45781160314</v>
      </c>
      <c r="AW138" s="169" t="str">
        <f t="shared" si="56"/>
        <v xml:space="preserve">pl 14582.8129855803,0 14582.8129855803,76 </v>
      </c>
      <c r="AX138" s="161" t="str">
        <f t="shared" ca="1" si="52"/>
        <v>-text 14582.8129855803,48 3.5 90 2380.077</v>
      </c>
      <c r="AY138" s="161" t="str">
        <f t="shared" ca="1" si="53"/>
        <v>-text 14582.8129855803,62.5 3.5 90 2381.458</v>
      </c>
      <c r="AZ138" s="42" t="str">
        <f t="shared" si="54"/>
        <v>-text 14582.8129855803,23.5 3.5 90 马分14+582.81</v>
      </c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  <c r="FI138" s="42"/>
      <c r="FJ138" s="42"/>
      <c r="FK138" s="42"/>
      <c r="FL138" s="42"/>
      <c r="FM138" s="42"/>
      <c r="FN138" s="42"/>
      <c r="FO138" s="42"/>
      <c r="FP138" s="42"/>
      <c r="FQ138" s="42"/>
      <c r="FR138" s="42"/>
      <c r="FS138" s="42"/>
      <c r="FT138" s="42"/>
      <c r="FU138" s="42"/>
      <c r="FV138" s="42"/>
      <c r="FW138" s="42"/>
      <c r="FX138" s="42"/>
      <c r="FY138" s="42"/>
      <c r="FZ138" s="42"/>
      <c r="GA138" s="42"/>
      <c r="GB138" s="42"/>
      <c r="GC138" s="42"/>
      <c r="GD138" s="42"/>
      <c r="GE138" s="42"/>
      <c r="GF138" s="42"/>
      <c r="GG138" s="42"/>
      <c r="GH138" s="42"/>
      <c r="GI138" s="42"/>
      <c r="GJ138" s="42"/>
      <c r="GK138" s="42"/>
      <c r="GL138" s="42"/>
      <c r="GM138" s="42"/>
      <c r="GN138" s="42"/>
      <c r="GO138" s="42"/>
      <c r="GP138" s="42"/>
      <c r="GQ138" s="42"/>
      <c r="GR138" s="42"/>
      <c r="GS138" s="42"/>
      <c r="GT138" s="42"/>
      <c r="GU138" s="42"/>
      <c r="GV138" s="42"/>
      <c r="GW138" s="42"/>
      <c r="GX138" s="42"/>
    </row>
    <row r="139" spans="1:206" s="55" customFormat="1" x14ac:dyDescent="0.25">
      <c r="A139" s="92">
        <v>7</v>
      </c>
      <c r="B139" s="93" t="str">
        <f>线路!B136</f>
        <v>IP89</v>
      </c>
      <c r="C139" s="94">
        <f>线路!E136</f>
        <v>444690.77149999997</v>
      </c>
      <c r="D139" s="94">
        <f>线路!F136</f>
        <v>3037394.8001999999</v>
      </c>
      <c r="E139" s="95">
        <f>线路!G136</f>
        <v>4.8</v>
      </c>
      <c r="F139" s="95">
        <f>线路!H136</f>
        <v>31.51</v>
      </c>
      <c r="G139" s="96">
        <f>线路!L136</f>
        <v>15016.523976861799</v>
      </c>
      <c r="H139" s="96">
        <f>线路!M136</f>
        <v>15017.843864655328</v>
      </c>
      <c r="I139" s="96">
        <f>线路!N136</f>
        <v>15019.163752448856</v>
      </c>
      <c r="J139" s="115">
        <f t="shared" si="57"/>
        <v>2.6397755870566471</v>
      </c>
      <c r="K139" s="115">
        <f t="shared" si="67"/>
        <v>435.03087907498593</v>
      </c>
      <c r="L139" s="115">
        <f>IF(A139=1,断面设计!$D$7,IF(A139=2,断面设计!$D$8,IF(A139=3,断面设计!$D$9,IF(A139=4,断面设计!$D$10,IF(A139=5,断面设计!$D$11,IF(A139=6,断面设计!$D$12,IF(A139=7,断面设计!$D$13,IF(A139=8,断面设计!$D$14,IF(A139=9,断面设计!$D$15,IF(A139=10,断面设计!$D$16))))))))))</f>
        <v>1</v>
      </c>
      <c r="M139" s="115">
        <f t="shared" si="68"/>
        <v>1.2</v>
      </c>
      <c r="N139" s="116">
        <f t="shared" si="74"/>
        <v>1.4999999999999999E-2</v>
      </c>
      <c r="O139" s="115">
        <f>IF(A139=1,断面设计!$J$7,IF(A139=2,断面设计!$J$8,IF(A139=3,断面设计!$J$9,IF(A139=4,断面设计!$J$10,IF(A139=5,断面设计!$J$11,IF(A139=6,断面设计!$J$12,IF(A139=7,断面设计!$J$13,IF(A139=8,断面设计!$J$14,IF(A139=9,断面设计!$J$15,IF(A139=10,断面设计!$J$16))))))))))</f>
        <v>5000</v>
      </c>
      <c r="P139" s="117">
        <f>IF(A139=1,断面设计!$K$7,IF(A139=2,断面设计!$K$8,IF(A139=3,断面设计!$K$9,IF(A139=4,断面设计!$K$10,IF(A139=5,断面设计!$K$11,IF(A139=6,断面设计!$K$12,IF(A139=7,断面设计!$K$13,IF(A139=8,断面设计!$K$14,IF(A139=9,断面设计!$K$15,IF(A139=10,断面设计!$K$16))))))))))</f>
        <v>2.6999911281428886</v>
      </c>
      <c r="Q139" s="116">
        <f>IF(A139=1,断面设计!$C$7,IF(A139=2,断面设计!$C$8,IF(A139=3,断面设计!$C$9,IF(A139=4,断面设计!$C$10,IF(A139=5,断面设计!$C$11,IF(A139=6,断面设计!$C$12,IF(A139=7,断面设计!$C$13,IF(A139=8,断面设计!$C$14,IF(A139=9,断面设计!$C$15,IF(A139=10,断面设计!$C$16))))))))))</f>
        <v>1.38033020658117</v>
      </c>
      <c r="R139" s="115">
        <f>IF(A139=1,断面设计!$F$7,IF(A139=2,断面设计!$F$8,IF(A139=3,断面设计!$F$9,IF(A139=4,断面设计!$F$10,IF(A139=5,断面设计!$F$11,IF(A139=6,断面设计!$F$12,IF(A139=7,断面设计!$F$13,IF(A139=8,断面设计!$F$14,IF(A139=9,断面设计!$F$15,IF(A139=10,断面设计!$F$16))))))))))</f>
        <v>3.6667039816216684</v>
      </c>
      <c r="S139" s="115">
        <f>IF(A139=1,断面设计!$G$7,IF(A139=2,断面设计!$G$8,IF(A139=3,断面设计!$G$9,IF(A139=4,断面设计!$G$10,IF(A139=5,断面设计!$G$11,IF(A139=6,断面设计!$G$12,IF(A139=7,断面设计!$G$13,IF(A139=8,断面设计!$G$14,IF(A139=9,断面设计!$G$15,IF(A139=10,断面设计!$G$16))))))))))</f>
        <v>5.3122894194378993</v>
      </c>
      <c r="T139" s="115">
        <f t="shared" si="69"/>
        <v>0.69023046225701445</v>
      </c>
      <c r="U139" s="115">
        <f t="shared" si="70"/>
        <v>0.73635372303732216</v>
      </c>
      <c r="V139" s="125"/>
      <c r="W139" s="178"/>
      <c r="X139" s="116"/>
      <c r="Y139" s="139">
        <v>0</v>
      </c>
      <c r="Z139" s="140">
        <f t="shared" si="75"/>
        <v>0</v>
      </c>
      <c r="AA139" s="143"/>
      <c r="AB139" s="139">
        <f t="shared" si="58"/>
        <v>1.38033020658117</v>
      </c>
      <c r="AC139" s="116">
        <f t="shared" si="59"/>
        <v>0</v>
      </c>
      <c r="AD139" s="116">
        <f t="shared" ca="1" si="71"/>
        <v>2381.4578116031362</v>
      </c>
      <c r="AE139" s="141">
        <f t="shared" si="72"/>
        <v>0</v>
      </c>
      <c r="AF139" s="116" t="str">
        <f t="shared" si="60"/>
        <v xml:space="preserve"> </v>
      </c>
      <c r="AG139" s="116" t="str">
        <f>IF(AE139=0," ",AF139-断面设计!$C$7)</f>
        <v xml:space="preserve"> </v>
      </c>
      <c r="AH139" s="116">
        <f t="shared" ca="1" si="61"/>
        <v>2381.4580755806951</v>
      </c>
      <c r="AI139" s="116">
        <f t="shared" ca="1" si="62"/>
        <v>2380.0777453741139</v>
      </c>
      <c r="AJ139" s="116">
        <f t="shared" ca="1" si="63"/>
        <v>2381.4575476255773</v>
      </c>
      <c r="AK139" s="116">
        <f t="shared" ca="1" si="64"/>
        <v>2380.077217418996</v>
      </c>
      <c r="AL139" s="116">
        <f t="shared" ca="1" si="65"/>
        <v>2381.4578116031362</v>
      </c>
      <c r="AM139" s="116">
        <f t="shared" ca="1" si="66"/>
        <v>2380.077481396555</v>
      </c>
      <c r="AN139" s="178"/>
      <c r="AO139" s="92">
        <v>0</v>
      </c>
      <c r="AP139" s="42"/>
      <c r="AQ139" s="42"/>
      <c r="AR139" s="42"/>
      <c r="AS139" s="42"/>
      <c r="AT139" s="42"/>
      <c r="AU139" s="64" t="str">
        <f t="shared" ca="1" si="73"/>
        <v>15017.8438646553,2380.07748139655</v>
      </c>
      <c r="AV139" s="64" t="str">
        <f t="shared" ca="1" si="55"/>
        <v>15017.8438646553,2381.45781160314</v>
      </c>
      <c r="AW139" s="169" t="str">
        <f t="shared" si="56"/>
        <v xml:space="preserve">pl 15017.8438646553,0 15017.8438646553,76 </v>
      </c>
      <c r="AX139" s="161" t="str">
        <f t="shared" ca="1" si="52"/>
        <v>-text 15017.8438646553,48 3.5 90 2380.077</v>
      </c>
      <c r="AY139" s="161" t="str">
        <f t="shared" ca="1" si="53"/>
        <v>-text 15017.8438646553,62.5 3.5 90 2381.458</v>
      </c>
      <c r="AZ139" s="42" t="str">
        <f t="shared" si="54"/>
        <v>-text 15017.8438646553,23.5 3.5 90 马分15+017.84</v>
      </c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  <c r="FI139" s="42"/>
      <c r="FJ139" s="42"/>
      <c r="FK139" s="42"/>
      <c r="FL139" s="42"/>
      <c r="FM139" s="42"/>
      <c r="FN139" s="42"/>
      <c r="FO139" s="42"/>
      <c r="FP139" s="42"/>
      <c r="FQ139" s="42"/>
      <c r="FR139" s="42"/>
      <c r="FS139" s="42"/>
      <c r="FT139" s="42"/>
      <c r="FU139" s="42"/>
      <c r="FV139" s="42"/>
      <c r="FW139" s="42"/>
      <c r="FX139" s="42"/>
      <c r="FY139" s="42"/>
      <c r="FZ139" s="42"/>
      <c r="GA139" s="42"/>
      <c r="GB139" s="42"/>
      <c r="GC139" s="42"/>
      <c r="GD139" s="42"/>
      <c r="GE139" s="42"/>
      <c r="GF139" s="42"/>
      <c r="GG139" s="42"/>
      <c r="GH139" s="42"/>
      <c r="GI139" s="42"/>
      <c r="GJ139" s="42"/>
      <c r="GK139" s="42"/>
      <c r="GL139" s="42"/>
      <c r="GM139" s="42"/>
      <c r="GN139" s="42"/>
      <c r="GO139" s="42"/>
      <c r="GP139" s="42"/>
      <c r="GQ139" s="42"/>
      <c r="GR139" s="42"/>
      <c r="GS139" s="42"/>
      <c r="GT139" s="42"/>
      <c r="GU139" s="42"/>
      <c r="GV139" s="42"/>
      <c r="GW139" s="42"/>
      <c r="GX139" s="42"/>
    </row>
    <row r="140" spans="1:206" s="55" customFormat="1" x14ac:dyDescent="0.25">
      <c r="A140" s="92">
        <v>7</v>
      </c>
      <c r="B140" s="93" t="str">
        <f>线路!B137</f>
        <v>IP90</v>
      </c>
      <c r="C140" s="94">
        <f>线路!E137</f>
        <v>444447.97950000002</v>
      </c>
      <c r="D140" s="94">
        <f>线路!F137</f>
        <v>3037216.4761000001</v>
      </c>
      <c r="E140" s="95">
        <f>线路!G137</f>
        <v>4.8</v>
      </c>
      <c r="F140" s="95">
        <f>线路!H137</f>
        <v>27.581</v>
      </c>
      <c r="G140" s="96">
        <f>线路!L137</f>
        <v>15317.874568444291</v>
      </c>
      <c r="H140" s="96">
        <f>线路!M137</f>
        <v>15319.029878670673</v>
      </c>
      <c r="I140" s="96">
        <f>线路!N137</f>
        <v>15320.185188897056</v>
      </c>
      <c r="J140" s="115">
        <f t="shared" si="57"/>
        <v>2.3106204527648515</v>
      </c>
      <c r="K140" s="115">
        <f t="shared" si="67"/>
        <v>301.18601401534579</v>
      </c>
      <c r="L140" s="115">
        <f>IF(A140=1,断面设计!$D$7,IF(A140=2,断面设计!$D$8,IF(A140=3,断面设计!$D$9,IF(A140=4,断面设计!$D$10,IF(A140=5,断面设计!$D$11,IF(A140=6,断面设计!$D$12,IF(A140=7,断面设计!$D$13,IF(A140=8,断面设计!$D$14,IF(A140=9,断面设计!$D$15,IF(A140=10,断面设计!$D$16))))))))))</f>
        <v>1</v>
      </c>
      <c r="M140" s="115">
        <f t="shared" si="68"/>
        <v>1.2</v>
      </c>
      <c r="N140" s="116">
        <f t="shared" si="74"/>
        <v>1.4999999999999999E-2</v>
      </c>
      <c r="O140" s="115">
        <f>IF(A140=1,断面设计!$J$7,IF(A140=2,断面设计!$J$8,IF(A140=3,断面设计!$J$9,IF(A140=4,断面设计!$J$10,IF(A140=5,断面设计!$J$11,IF(A140=6,断面设计!$J$12,IF(A140=7,断面设计!$J$13,IF(A140=8,断面设计!$J$14,IF(A140=9,断面设计!$J$15,IF(A140=10,断面设计!$J$16))))))))))</f>
        <v>5000</v>
      </c>
      <c r="P140" s="117">
        <f>IF(A140=1,断面设计!$K$7,IF(A140=2,断面设计!$K$8,IF(A140=3,断面设计!$K$9,IF(A140=4,断面设计!$K$10,IF(A140=5,断面设计!$K$11,IF(A140=6,断面设计!$K$12,IF(A140=7,断面设计!$K$13,IF(A140=8,断面设计!$K$14,IF(A140=9,断面设计!$K$15,IF(A140=10,断面设计!$K$16))))))))))</f>
        <v>2.6999911281428886</v>
      </c>
      <c r="Q140" s="116">
        <f>IF(A140=1,断面设计!$C$7,IF(A140=2,断面设计!$C$8,IF(A140=3,断面设计!$C$9,IF(A140=4,断面设计!$C$10,IF(A140=5,断面设计!$C$11,IF(A140=6,断面设计!$C$12,IF(A140=7,断面设计!$C$13,IF(A140=8,断面设计!$C$14,IF(A140=9,断面设计!$C$15,IF(A140=10,断面设计!$C$16))))))))))</f>
        <v>1.38033020658117</v>
      </c>
      <c r="R140" s="115">
        <f>IF(A140=1,断面设计!$F$7,IF(A140=2,断面设计!$F$8,IF(A140=3,断面设计!$F$9,IF(A140=4,断面设计!$F$10,IF(A140=5,断面设计!$F$11,IF(A140=6,断面设计!$F$12,IF(A140=7,断面设计!$F$13,IF(A140=8,断面设计!$F$14,IF(A140=9,断面设计!$F$15,IF(A140=10,断面设计!$F$16))))))))))</f>
        <v>3.6667039816216684</v>
      </c>
      <c r="S140" s="115">
        <f>IF(A140=1,断面设计!$G$7,IF(A140=2,断面设计!$G$8,IF(A140=3,断面设计!$G$9,IF(A140=4,断面设计!$G$10,IF(A140=5,断面设计!$G$11,IF(A140=6,断面设计!$G$12,IF(A140=7,断面设计!$G$13,IF(A140=8,断面设计!$G$14,IF(A140=9,断面设计!$G$15,IF(A140=10,断面设计!$G$16))))))))))</f>
        <v>5.3122894194378993</v>
      </c>
      <c r="T140" s="115">
        <f t="shared" si="69"/>
        <v>0.69023046225701445</v>
      </c>
      <c r="U140" s="115">
        <f t="shared" si="70"/>
        <v>0.73635372303732216</v>
      </c>
      <c r="V140" s="125"/>
      <c r="W140" s="116"/>
      <c r="X140" s="116"/>
      <c r="Y140" s="139">
        <v>0</v>
      </c>
      <c r="Z140" s="140">
        <f t="shared" si="75"/>
        <v>0</v>
      </c>
      <c r="AA140" s="143"/>
      <c r="AB140" s="139">
        <f t="shared" si="58"/>
        <v>1.38033020658117</v>
      </c>
      <c r="AC140" s="116">
        <f t="shared" si="59"/>
        <v>0</v>
      </c>
      <c r="AD140" s="116">
        <f t="shared" ca="1" si="71"/>
        <v>2381.4578116031362</v>
      </c>
      <c r="AE140" s="141">
        <f t="shared" si="72"/>
        <v>0</v>
      </c>
      <c r="AF140" s="116" t="str">
        <f t="shared" si="60"/>
        <v xml:space="preserve"> </v>
      </c>
      <c r="AG140" s="116" t="str">
        <f>IF(AE140=0," ",AF140-断面设计!$C$13)</f>
        <v xml:space="preserve"> </v>
      </c>
      <c r="AH140" s="116">
        <f t="shared" ca="1" si="61"/>
        <v>2381.4580426651814</v>
      </c>
      <c r="AI140" s="116">
        <f t="shared" ca="1" si="62"/>
        <v>2380.0777124586002</v>
      </c>
      <c r="AJ140" s="116">
        <f t="shared" ca="1" si="63"/>
        <v>2381.4575805410909</v>
      </c>
      <c r="AK140" s="116">
        <f t="shared" ca="1" si="64"/>
        <v>2380.0772503345097</v>
      </c>
      <c r="AL140" s="116">
        <f t="shared" ca="1" si="65"/>
        <v>2381.4578116031362</v>
      </c>
      <c r="AM140" s="116">
        <f t="shared" ca="1" si="66"/>
        <v>2380.077481396555</v>
      </c>
      <c r="AN140" s="178"/>
      <c r="AO140" s="92">
        <v>0</v>
      </c>
      <c r="AP140" s="42"/>
      <c r="AQ140" s="42"/>
      <c r="AR140" s="42"/>
      <c r="AS140" s="42"/>
      <c r="AT140" s="42"/>
      <c r="AU140" s="64" t="str">
        <f t="shared" ca="1" si="73"/>
        <v>15319.0298786707,2380.07748139655</v>
      </c>
      <c r="AV140" s="64" t="str">
        <f t="shared" ca="1" si="55"/>
        <v>15319.0298786707,2381.45781160314</v>
      </c>
      <c r="AW140" s="169" t="str">
        <f t="shared" si="56"/>
        <v xml:space="preserve">pl 15319.0298786707,0 15319.0298786707,76 </v>
      </c>
      <c r="AX140" s="161" t="str">
        <f t="shared" ca="1" si="52"/>
        <v>-text 15319.0298786707,48 3.5 90 2380.077</v>
      </c>
      <c r="AY140" s="161" t="str">
        <f t="shared" ca="1" si="53"/>
        <v>-text 15319.0298786707,62.5 3.5 90 2381.458</v>
      </c>
      <c r="AZ140" s="42" t="str">
        <f t="shared" si="54"/>
        <v>-text 15319.0298786707,23.5 3.5 90 马分15+319.03</v>
      </c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  <c r="FI140" s="42"/>
      <c r="FJ140" s="42"/>
      <c r="FK140" s="42"/>
      <c r="FL140" s="42"/>
      <c r="FM140" s="42"/>
      <c r="FN140" s="42"/>
      <c r="FO140" s="42"/>
      <c r="FP140" s="42"/>
      <c r="FQ140" s="42"/>
      <c r="FR140" s="42"/>
      <c r="FS140" s="42"/>
      <c r="FT140" s="42"/>
      <c r="FU140" s="42"/>
      <c r="FV140" s="42"/>
      <c r="FW140" s="42"/>
      <c r="FX140" s="42"/>
      <c r="FY140" s="42"/>
      <c r="FZ140" s="42"/>
      <c r="GA140" s="42"/>
      <c r="GB140" s="42"/>
      <c r="GC140" s="42"/>
      <c r="GD140" s="42"/>
      <c r="GE140" s="42"/>
      <c r="GF140" s="42"/>
      <c r="GG140" s="42"/>
      <c r="GH140" s="42"/>
      <c r="GI140" s="42"/>
      <c r="GJ140" s="42"/>
      <c r="GK140" s="42"/>
      <c r="GL140" s="42"/>
      <c r="GM140" s="42"/>
      <c r="GN140" s="42"/>
      <c r="GO140" s="42"/>
      <c r="GP140" s="42"/>
      <c r="GQ140" s="42"/>
      <c r="GR140" s="42"/>
      <c r="GS140" s="42"/>
      <c r="GT140" s="42"/>
      <c r="GU140" s="42"/>
      <c r="GV140" s="42"/>
      <c r="GW140" s="42"/>
      <c r="GX140" s="42"/>
    </row>
    <row r="141" spans="1:206" s="55" customFormat="1" x14ac:dyDescent="0.25">
      <c r="A141" s="92">
        <v>7</v>
      </c>
      <c r="B141" s="93" t="str">
        <f>线路!B138</f>
        <v>10#倒虹吸出</v>
      </c>
      <c r="C141" s="94">
        <f>线路!E138</f>
        <v>444330.84779999999</v>
      </c>
      <c r="D141" s="94">
        <f>线路!F138</f>
        <v>3037198.5203999998</v>
      </c>
      <c r="E141" s="95">
        <f>线路!G138</f>
        <v>0</v>
      </c>
      <c r="F141" s="95">
        <f>线路!H138</f>
        <v>0</v>
      </c>
      <c r="G141" s="96">
        <f>线路!L138</f>
        <v>15437.507007209546</v>
      </c>
      <c r="H141" s="96">
        <f>线路!M138</f>
        <v>15437.507007209546</v>
      </c>
      <c r="I141" s="96">
        <f>线路!N138</f>
        <v>15437.507007209546</v>
      </c>
      <c r="J141" s="115">
        <f t="shared" si="57"/>
        <v>0</v>
      </c>
      <c r="K141" s="115">
        <f t="shared" si="67"/>
        <v>118.47712853887242</v>
      </c>
      <c r="L141" s="115">
        <f>IF(A141=1,断面设计!$D$7,IF(A141=2,断面设计!$D$8,IF(A141=3,断面设计!$D$9,IF(A141=4,断面设计!$D$10,IF(A141=5,断面设计!$D$11,IF(A141=6,断面设计!$D$12,IF(A141=7,断面设计!$D$13,IF(A141=8,断面设计!$D$14,IF(A141=9,断面设计!$D$15,IF(A141=10,断面设计!$D$16))))))))))</f>
        <v>1</v>
      </c>
      <c r="M141" s="115">
        <f t="shared" si="68"/>
        <v>1.2</v>
      </c>
      <c r="N141" s="116">
        <f t="shared" si="74"/>
        <v>1.4999999999999999E-2</v>
      </c>
      <c r="O141" s="115">
        <f>IF(A141=1,断面设计!$J$7,IF(A141=2,断面设计!$J$8,IF(A141=3,断面设计!$J$9,IF(A141=4,断面设计!$J$10,IF(A141=5,断面设计!$J$11,IF(A141=6,断面设计!$J$12,IF(A141=7,断面设计!$J$13,IF(A141=8,断面设计!$J$14,IF(A141=9,断面设计!$J$15,IF(A141=10,断面设计!$J$16))))))))))</f>
        <v>5000</v>
      </c>
      <c r="P141" s="117">
        <f>IF(A141=1,断面设计!$K$7,IF(A141=2,断面设计!$K$8,IF(A141=3,断面设计!$K$9,IF(A141=4,断面设计!$K$10,IF(A141=5,断面设计!$K$11,IF(A141=6,断面设计!$K$12,IF(A141=7,断面设计!$K$13,IF(A141=8,断面设计!$K$14,IF(A141=9,断面设计!$K$15,IF(A141=10,断面设计!$K$16))))))))))</f>
        <v>2.6999911281428886</v>
      </c>
      <c r="Q141" s="116">
        <f>IF(A141=1,断面设计!$C$7,IF(A141=2,断面设计!$C$8,IF(A141=3,断面设计!$C$9,IF(A141=4,断面设计!$C$10,IF(A141=5,断面设计!$C$11,IF(A141=6,断面设计!$C$12,IF(A141=7,断面设计!$C$13,IF(A141=8,断面设计!$C$14,IF(A141=9,断面设计!$C$15,IF(A141=10,断面设计!$C$16))))))))))</f>
        <v>1.38033020658117</v>
      </c>
      <c r="R141" s="115">
        <f>IF(A141=1,断面设计!$F$7,IF(A141=2,断面设计!$F$8,IF(A141=3,断面设计!$F$9,IF(A141=4,断面设计!$F$10,IF(A141=5,断面设计!$F$11,IF(A141=6,断面设计!$F$12,IF(A141=7,断面设计!$F$13,IF(A141=8,断面设计!$F$14,IF(A141=9,断面设计!$F$15,IF(A141=10,断面设计!$F$16))))))))))</f>
        <v>3.6667039816216684</v>
      </c>
      <c r="S141" s="115">
        <f>IF(A141=1,断面设计!$G$7,IF(A141=2,断面设计!$G$8,IF(A141=3,断面设计!$G$9,IF(A141=4,断面设计!$G$10,IF(A141=5,断面设计!$G$11,IF(A141=6,断面设计!$G$12,IF(A141=7,断面设计!$G$13,IF(A141=8,断面设计!$G$14,IF(A141=9,断面设计!$G$15,IF(A141=10,断面设计!$G$16))))))))))</f>
        <v>5.3122894194378993</v>
      </c>
      <c r="T141" s="115">
        <f t="shared" si="69"/>
        <v>0.69023046225701445</v>
      </c>
      <c r="U141" s="115">
        <f t="shared" si="70"/>
        <v>0.73635372303732216</v>
      </c>
      <c r="V141" s="125"/>
      <c r="W141" s="178"/>
      <c r="X141" s="116">
        <f ca="1">倒虹管水头损失计算!D584</f>
        <v>1.9896833061844377</v>
      </c>
      <c r="Y141" s="139">
        <v>0</v>
      </c>
      <c r="Z141" s="140">
        <f t="shared" si="75"/>
        <v>0</v>
      </c>
      <c r="AA141" s="143"/>
      <c r="AB141" s="139">
        <f t="shared" si="58"/>
        <v>1.38033020658117</v>
      </c>
      <c r="AC141" s="116">
        <f t="shared" ca="1" si="59"/>
        <v>1.9896833061844377</v>
      </c>
      <c r="AD141" s="116">
        <f t="shared" ca="1" si="71"/>
        <v>2379.4681282969518</v>
      </c>
      <c r="AE141" s="141">
        <f t="shared" si="72"/>
        <v>0</v>
      </c>
      <c r="AF141" s="116" t="str">
        <f t="shared" si="60"/>
        <v xml:space="preserve"> </v>
      </c>
      <c r="AG141" s="116" t="str">
        <f>IF(AE141=0," ",AF141-断面设计!$C$7)</f>
        <v xml:space="preserve"> </v>
      </c>
      <c r="AH141" s="116" t="str">
        <f t="shared" si="61"/>
        <v xml:space="preserve"> </v>
      </c>
      <c r="AI141" s="116" t="str">
        <f t="shared" si="62"/>
        <v xml:space="preserve"> </v>
      </c>
      <c r="AJ141" s="116" t="str">
        <f t="shared" si="63"/>
        <v xml:space="preserve"> </v>
      </c>
      <c r="AK141" s="116" t="str">
        <f t="shared" si="64"/>
        <v xml:space="preserve"> </v>
      </c>
      <c r="AL141" s="116">
        <f t="shared" ca="1" si="65"/>
        <v>2379.4681282969518</v>
      </c>
      <c r="AM141" s="116">
        <f t="shared" ca="1" si="66"/>
        <v>2378.0877980903706</v>
      </c>
      <c r="AN141" s="178"/>
      <c r="AO141" s="92">
        <v>0</v>
      </c>
      <c r="AP141" s="42"/>
      <c r="AQ141" s="42"/>
      <c r="AR141" s="42"/>
      <c r="AS141" s="42"/>
      <c r="AT141" s="42"/>
      <c r="AU141" s="64" t="str">
        <f t="shared" ca="1" si="73"/>
        <v>15437.5070072095,2378.08779809037</v>
      </c>
      <c r="AV141" s="64" t="str">
        <f t="shared" ca="1" si="55"/>
        <v>15437.5070072095,2379.46812829695</v>
      </c>
      <c r="AW141" s="169" t="str">
        <f t="shared" si="56"/>
        <v xml:space="preserve">pl 15437.5070072095,0 15437.5070072095,76 </v>
      </c>
      <c r="AX141" s="161" t="str">
        <f t="shared" ca="1" si="52"/>
        <v>-text 15437.5070072095,48 3.5 90 2378.088</v>
      </c>
      <c r="AY141" s="161" t="str">
        <f t="shared" ca="1" si="53"/>
        <v>-text 15437.5070072095,62.5 3.5 90 2379.468</v>
      </c>
      <c r="AZ141" s="42" t="str">
        <f t="shared" si="54"/>
        <v>-text 15437.5070072095,23.5 3.5 90 马分15+437.51</v>
      </c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  <c r="FI141" s="42"/>
      <c r="FJ141" s="42"/>
      <c r="FK141" s="42"/>
      <c r="FL141" s="42"/>
      <c r="FM141" s="42"/>
      <c r="FN141" s="42"/>
      <c r="FO141" s="42"/>
      <c r="FP141" s="42"/>
      <c r="FQ141" s="42"/>
      <c r="FR141" s="42"/>
      <c r="FS141" s="42"/>
      <c r="FT141" s="42"/>
      <c r="FU141" s="42"/>
      <c r="FV141" s="42"/>
      <c r="FW141" s="42"/>
      <c r="FX141" s="42"/>
      <c r="FY141" s="42"/>
      <c r="FZ141" s="42"/>
      <c r="GA141" s="42"/>
      <c r="GB141" s="42"/>
      <c r="GC141" s="42"/>
      <c r="GD141" s="42"/>
      <c r="GE141" s="42"/>
      <c r="GF141" s="42"/>
      <c r="GG141" s="42"/>
      <c r="GH141" s="42"/>
      <c r="GI141" s="42"/>
      <c r="GJ141" s="42"/>
      <c r="GK141" s="42"/>
      <c r="GL141" s="42"/>
      <c r="GM141" s="42"/>
      <c r="GN141" s="42"/>
      <c r="GO141" s="42"/>
      <c r="GP141" s="42"/>
      <c r="GQ141" s="42"/>
      <c r="GR141" s="42"/>
      <c r="GS141" s="42"/>
      <c r="GT141" s="42"/>
      <c r="GU141" s="42"/>
      <c r="GV141" s="42"/>
      <c r="GW141" s="42"/>
      <c r="GX141" s="42"/>
    </row>
    <row r="142" spans="1:206" s="58" customFormat="1" x14ac:dyDescent="0.25">
      <c r="A142" s="170">
        <v>7</v>
      </c>
      <c r="B142" s="171" t="str">
        <f>线路!B139</f>
        <v>5#隧洞进</v>
      </c>
      <c r="C142" s="172">
        <f>线路!E139</f>
        <v>444321.26140000002</v>
      </c>
      <c r="D142" s="172">
        <f>线路!F139</f>
        <v>3037197.0507999999</v>
      </c>
      <c r="E142" s="173">
        <f>线路!G139</f>
        <v>0</v>
      </c>
      <c r="F142" s="173">
        <f>线路!H139</f>
        <v>0</v>
      </c>
      <c r="G142" s="174">
        <f>线路!L139</f>
        <v>15447.205398267824</v>
      </c>
      <c r="H142" s="174">
        <f>线路!M139</f>
        <v>15447.205398267824</v>
      </c>
      <c r="I142" s="174">
        <f>线路!N139</f>
        <v>15447.205398267824</v>
      </c>
      <c r="J142" s="175">
        <f t="shared" si="57"/>
        <v>0</v>
      </c>
      <c r="K142" s="175">
        <f t="shared" si="67"/>
        <v>9.6983910582785029</v>
      </c>
      <c r="L142" s="175">
        <f>IF(A142=1,断面设计!$D$7,IF(A142=2,断面设计!$D$8,IF(A142=3,断面设计!$D$9,IF(A142=4,断面设计!$D$10,IF(A142=5,断面设计!$D$11,IF(A142=6,断面设计!$D$12,IF(A142=7,断面设计!$D$13,IF(A142=8,断面设计!$D$14,IF(A142=9,断面设计!$D$15,IF(A142=10,断面设计!$D$16))))))))))</f>
        <v>1</v>
      </c>
      <c r="M142" s="175">
        <f t="shared" si="68"/>
        <v>0</v>
      </c>
      <c r="N142" s="176">
        <f t="shared" si="74"/>
        <v>1.4E-2</v>
      </c>
      <c r="O142" s="175">
        <f>IF(A142=5,断面设计!$O$37,IF(A142=6,断面设计!$O$38,IF(A142=7,断面设计!$O$39,IF(A142=9,断面设计!$O$40,IF(A142=10,断面设计!$O$41)))))</f>
        <v>2000</v>
      </c>
      <c r="P142" s="177">
        <f>IF(A142=1,断面设计!$K$7,IF(A142=2,断面设计!$K$8,IF(A142=3,断面设计!$K$9,IF(A142=4,断面设计!$K$10,IF(A142=5,断面设计!$K$11,IF(A142=6,断面设计!$K$12,IF(A142=7,断面设计!$K$13,IF(A142=8,断面设计!$K$14,IF(A142=9,断面设计!$K$15,IF(A142=10,断面设计!$K$16))))))))))</f>
        <v>2.6999911281428886</v>
      </c>
      <c r="Q142" s="176">
        <f>IF(A142=5,断面设计!$C$37,IF(A142=6,断面设计!$C$38,IF(A142=7,断面设计!$C$39,IF(A142=9,断面设计!$C$40,IF(A142=10,断面设计!$C$41)))))</f>
        <v>1.2505987457580501</v>
      </c>
      <c r="R142" s="175">
        <f>IF(A142=5,断面设计!$K$37,IF(A142=6,断面设计!$K$38,IF(A142=7,断面设计!$K$39,IF(A142=9,断面设计!$K$40,IF(A142=10,断面设计!$K$41)))))</f>
        <v>2.5011974915161002</v>
      </c>
      <c r="S142" s="175">
        <f>IF(A142=5,断面设计!$L$37,IF(A142=6,断面设计!$L$38,IF(A142=7,断面设计!$L$39,IF(A142=9,断面设计!$L$40,IF(A142=10,断面设计!$L$41)))))</f>
        <v>4.5011974915161002</v>
      </c>
      <c r="T142" s="175">
        <f t="shared" si="69"/>
        <v>0.55567379485800861</v>
      </c>
      <c r="U142" s="175">
        <f t="shared" si="70"/>
        <v>1.0794793842953558</v>
      </c>
      <c r="V142" s="179"/>
      <c r="W142" s="176">
        <f>1.15*(U142^2/2-U141^2/2)/9.81</f>
        <v>3.6519764324205825E-2</v>
      </c>
      <c r="X142" s="176">
        <f>IF(AN142=0,IF(AN141=2,(H142-H141-AE141)/O142,(H142-H141)/O142),IF(AN142=1,IF(AN141=2,IF(AE142&lt;9,(H142-H141-AE142-AE141)/断面设计!$J$7,(H142-H141-AE142-AE141)/断面设计!$J$7),(H142-H141-AE142)/O141),(H142-H141)/O142))</f>
        <v>1.0396782116557006E-3</v>
      </c>
      <c r="Y142" s="181">
        <v>0</v>
      </c>
      <c r="Z142" s="182">
        <f t="shared" si="75"/>
        <v>0</v>
      </c>
      <c r="AA142" s="183"/>
      <c r="AB142" s="181">
        <f t="shared" si="58"/>
        <v>1.2505987457580501</v>
      </c>
      <c r="AC142" s="176">
        <f t="shared" si="59"/>
        <v>3.7559442535861527E-2</v>
      </c>
      <c r="AD142" s="176">
        <f t="shared" ca="1" si="71"/>
        <v>2379.4305688544159</v>
      </c>
      <c r="AE142" s="185">
        <v>4.5</v>
      </c>
      <c r="AF142" s="176">
        <f t="shared" ca="1" si="60"/>
        <v>2379.46708861874</v>
      </c>
      <c r="AG142" s="176">
        <f ca="1">IF(AE142=0," ",AF142-断面设计!$C$7)</f>
        <v>2377.8671427823401</v>
      </c>
      <c r="AH142" s="176" t="str">
        <f t="shared" si="61"/>
        <v xml:space="preserve"> </v>
      </c>
      <c r="AI142" s="176" t="str">
        <f t="shared" si="62"/>
        <v xml:space="preserve"> </v>
      </c>
      <c r="AJ142" s="176" t="str">
        <f t="shared" si="63"/>
        <v xml:space="preserve"> </v>
      </c>
      <c r="AK142" s="176" t="str">
        <f t="shared" si="64"/>
        <v xml:space="preserve"> </v>
      </c>
      <c r="AL142" s="176">
        <f t="shared" ca="1" si="65"/>
        <v>2379.4305688544159</v>
      </c>
      <c r="AM142" s="176">
        <f t="shared" ca="1" si="66"/>
        <v>2378.1799701086579</v>
      </c>
      <c r="AN142" s="180">
        <v>1</v>
      </c>
      <c r="AO142" s="170">
        <v>1</v>
      </c>
      <c r="AP142" s="42"/>
      <c r="AQ142" s="42"/>
      <c r="AR142" s="42"/>
      <c r="AS142" s="161"/>
      <c r="AT142" s="42"/>
      <c r="AU142" s="64" t="str">
        <f t="shared" ca="1" si="73"/>
        <v>15447.2053982678,2378.17997010866</v>
      </c>
      <c r="AV142" s="64" t="str">
        <f t="shared" ca="1" si="55"/>
        <v>15447.2053982678,2379.43056885442</v>
      </c>
      <c r="AW142" s="169" t="str">
        <f t="shared" si="56"/>
        <v xml:space="preserve">pl 15447.2053982678,0 15447.2053982678,76 </v>
      </c>
      <c r="AX142" s="161" t="str">
        <f t="shared" ca="1" si="52"/>
        <v>-text 15447.2053982678,48 3.5 90 2378.180</v>
      </c>
      <c r="AY142" s="161" t="str">
        <f t="shared" ca="1" si="53"/>
        <v>-text 15447.2053982678,62.5 3.5 90 2379.431</v>
      </c>
      <c r="AZ142" s="42" t="str">
        <f t="shared" si="54"/>
        <v>-text 15447.2053982678,23.5 3.5 90 马分15+447.21</v>
      </c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  <c r="FI142" s="42"/>
      <c r="FJ142" s="42"/>
      <c r="FK142" s="42"/>
      <c r="FL142" s="42"/>
      <c r="FM142" s="42"/>
      <c r="FN142" s="42"/>
      <c r="FO142" s="42"/>
      <c r="FP142" s="42"/>
      <c r="FQ142" s="42"/>
      <c r="FR142" s="42"/>
      <c r="FS142" s="42"/>
      <c r="FT142" s="42"/>
      <c r="FU142" s="42"/>
      <c r="FV142" s="42"/>
      <c r="FW142" s="42"/>
      <c r="FX142" s="42"/>
      <c r="FY142" s="42"/>
      <c r="FZ142" s="42"/>
      <c r="GA142" s="42"/>
      <c r="GB142" s="42"/>
      <c r="GC142" s="42"/>
      <c r="GD142" s="42"/>
      <c r="GE142" s="42"/>
      <c r="GF142" s="42"/>
      <c r="GG142" s="42"/>
      <c r="GH142" s="42"/>
      <c r="GI142" s="42"/>
      <c r="GJ142" s="42"/>
      <c r="GK142" s="42"/>
      <c r="GL142" s="42"/>
      <c r="GM142" s="42"/>
      <c r="GN142" s="42"/>
      <c r="GO142" s="42"/>
      <c r="GP142" s="42"/>
      <c r="GQ142" s="42"/>
      <c r="GR142" s="42"/>
      <c r="GS142" s="42"/>
      <c r="GT142" s="42"/>
      <c r="GU142" s="42"/>
      <c r="GV142" s="42"/>
      <c r="GW142" s="42"/>
      <c r="GX142" s="42"/>
    </row>
    <row r="143" spans="1:206" s="58" customFormat="1" x14ac:dyDescent="0.25">
      <c r="A143" s="170">
        <v>7</v>
      </c>
      <c r="B143" s="171" t="str">
        <f>线路!B140</f>
        <v>IP91</v>
      </c>
      <c r="C143" s="172">
        <f>线路!E140</f>
        <v>444133.53499999997</v>
      </c>
      <c r="D143" s="172">
        <f>线路!F140</f>
        <v>3037168.2732000002</v>
      </c>
      <c r="E143" s="173">
        <f>线路!G140</f>
        <v>12</v>
      </c>
      <c r="F143" s="173">
        <f>线路!H140</f>
        <v>36.512999999999998</v>
      </c>
      <c r="G143" s="174">
        <f>线路!L140</f>
        <v>15633.166211237203</v>
      </c>
      <c r="H143" s="174">
        <f>线路!M140</f>
        <v>15636.989843655887</v>
      </c>
      <c r="I143" s="174">
        <f>线路!N140</f>
        <v>15640.813476074571</v>
      </c>
      <c r="J143" s="175">
        <f t="shared" si="57"/>
        <v>7.6472648373674019</v>
      </c>
      <c r="K143" s="175">
        <f t="shared" si="67"/>
        <v>189.78444538806252</v>
      </c>
      <c r="L143" s="175">
        <f>IF(A143=1,断面设计!$D$7,IF(A143=2,断面设计!$D$8,IF(A143=3,断面设计!$D$9,IF(A143=4,断面设计!$D$10,IF(A143=5,断面设计!$D$11,IF(A143=6,断面设计!$D$12,IF(A143=7,断面设计!$D$13,IF(A143=8,断面设计!$D$14,IF(A143=9,断面设计!$D$15,IF(A143=10,断面设计!$D$16))))))))))</f>
        <v>1</v>
      </c>
      <c r="M143" s="175">
        <f t="shared" si="68"/>
        <v>0</v>
      </c>
      <c r="N143" s="176">
        <f t="shared" si="74"/>
        <v>1.4E-2</v>
      </c>
      <c r="O143" s="175">
        <f>IF(A143=5,断面设计!$O$37,IF(A143=6,断面设计!$O$38,IF(A143=7,断面设计!$O$39,IF(A143=9,断面设计!$O$40,IF(A143=10,断面设计!$O$41)))))</f>
        <v>2000</v>
      </c>
      <c r="P143" s="177">
        <f>IF(A143=1,断面设计!$K$7,IF(A143=2,断面设计!$K$8,IF(A143=3,断面设计!$K$9,IF(A143=4,断面设计!$K$10,IF(A143=5,断面设计!$K$11,IF(A143=6,断面设计!$K$12,IF(A143=7,断面设计!$K$13,IF(A143=8,断面设计!$K$14,IF(A143=9,断面设计!$K$15,IF(A143=10,断面设计!$K$16))))))))))</f>
        <v>2.6999911281428886</v>
      </c>
      <c r="Q143" s="176">
        <f>IF(A143=5,断面设计!$C$37,IF(A143=6,断面设计!$C$38,IF(A143=7,断面设计!$C$39,IF(A143=9,断面设计!$C$40,IF(A143=10,断面设计!$C$41)))))</f>
        <v>1.2505987457580501</v>
      </c>
      <c r="R143" s="175">
        <f>IF(A143=5,断面设计!$K$37,IF(A143=6,断面设计!$K$38,IF(A143=7,断面设计!$K$39,IF(A143=9,断面设计!$K$40,IF(A143=10,断面设计!$K$41)))))</f>
        <v>2.5011974915161002</v>
      </c>
      <c r="S143" s="175">
        <f>IF(A143=5,断面设计!$L$37,IF(A143=6,断面设计!$L$38,IF(A143=7,断面设计!$L$39,IF(A143=9,断面设计!$L$40,IF(A143=10,断面设计!$L$41)))))</f>
        <v>4.5011974915161002</v>
      </c>
      <c r="T143" s="175">
        <f t="shared" si="69"/>
        <v>0.55567379485800861</v>
      </c>
      <c r="U143" s="175">
        <f t="shared" si="70"/>
        <v>1.0794793842953558</v>
      </c>
      <c r="V143" s="179">
        <f t="shared" ref="V143:V197" si="76">(I143-G143)*N143^2/T143^(4/3)*U143^2*3/4*((L143+Q143*M143*2*1.3)/E143)^0.5</f>
        <v>8.2775470784372308E-4</v>
      </c>
      <c r="W143" s="180"/>
      <c r="X143" s="176">
        <f>IF(AN143=0,IF(AN142=2,(H143-H142-AE142)/O143,(H143-H142)/O143),IF(AN143=1,IF(AN142=2,IF(AE143&lt;9,(H143-H142-AE143-AE142)/断面设计!$J$7,(H143-H142-AE143-AE142)/断面设计!$J$7),(H143-H142-AE143)/O142),(H143-H142)/O143))</f>
        <v>9.4892222694031261E-2</v>
      </c>
      <c r="Y143" s="181">
        <v>0</v>
      </c>
      <c r="Z143" s="182">
        <f t="shared" si="75"/>
        <v>0</v>
      </c>
      <c r="AA143" s="183"/>
      <c r="AB143" s="181">
        <f t="shared" si="58"/>
        <v>1.2505987457580501</v>
      </c>
      <c r="AC143" s="176">
        <f t="shared" si="59"/>
        <v>9.5719977401874989E-2</v>
      </c>
      <c r="AD143" s="176">
        <f t="shared" ca="1" si="71"/>
        <v>2379.3348488770139</v>
      </c>
      <c r="AE143" s="184">
        <f t="shared" si="72"/>
        <v>0</v>
      </c>
      <c r="AF143" s="176" t="str">
        <f t="shared" si="60"/>
        <v xml:space="preserve"> </v>
      </c>
      <c r="AG143" s="176" t="str">
        <f>IF(AE143=0," ",AF143-断面设计!$C$7)</f>
        <v xml:space="preserve"> </v>
      </c>
      <c r="AH143" s="176">
        <f t="shared" ca="1" si="61"/>
        <v>2379.337588447931</v>
      </c>
      <c r="AI143" s="176">
        <f t="shared" ca="1" si="62"/>
        <v>2378.086989702173</v>
      </c>
      <c r="AJ143" s="176">
        <f t="shared" ca="1" si="63"/>
        <v>2379.3329370608044</v>
      </c>
      <c r="AK143" s="176">
        <f t="shared" ca="1" si="64"/>
        <v>2378.0823383150464</v>
      </c>
      <c r="AL143" s="176">
        <f t="shared" ca="1" si="65"/>
        <v>2379.3352627543677</v>
      </c>
      <c r="AM143" s="176">
        <f t="shared" ca="1" si="66"/>
        <v>2378.0846640086097</v>
      </c>
      <c r="AN143" s="180"/>
      <c r="AO143" s="170">
        <v>1</v>
      </c>
      <c r="AP143" s="42"/>
      <c r="AQ143" s="42"/>
      <c r="AR143" s="42"/>
      <c r="AS143" s="42"/>
      <c r="AT143" s="42"/>
      <c r="AU143" s="64" t="str">
        <f t="shared" ca="1" si="73"/>
        <v>15636.9898436559,2378.08466400861</v>
      </c>
      <c r="AV143" s="64" t="str">
        <f t="shared" ca="1" si="55"/>
        <v>15636.9898436559,2379.33526275437</v>
      </c>
      <c r="AW143" s="169" t="str">
        <f t="shared" si="56"/>
        <v xml:space="preserve">pl 15636.9898436559,0 15636.9898436559,76 </v>
      </c>
      <c r="AX143" s="161" t="str">
        <f t="shared" ca="1" si="52"/>
        <v>-text 15636.9898436559,48 3.5 90 2378.085</v>
      </c>
      <c r="AY143" s="161" t="str">
        <f t="shared" ca="1" si="53"/>
        <v>-text 15636.9898436559,62.5 3.5 90 2379.335</v>
      </c>
      <c r="AZ143" s="42" t="str">
        <f t="shared" si="54"/>
        <v>-text 15636.9898436559,23.5 3.5 90 马分15+636.99</v>
      </c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  <c r="FI143" s="42"/>
      <c r="FJ143" s="42"/>
      <c r="FK143" s="42"/>
      <c r="FL143" s="42"/>
      <c r="FM143" s="42"/>
      <c r="FN143" s="42"/>
      <c r="FO143" s="42"/>
      <c r="FP143" s="42"/>
      <c r="FQ143" s="42"/>
      <c r="FR143" s="42"/>
      <c r="FS143" s="42"/>
      <c r="FT143" s="42"/>
      <c r="FU143" s="42"/>
      <c r="FV143" s="42"/>
      <c r="FW143" s="42"/>
      <c r="FX143" s="42"/>
      <c r="FY143" s="42"/>
      <c r="FZ143" s="42"/>
      <c r="GA143" s="42"/>
      <c r="GB143" s="42"/>
      <c r="GC143" s="42"/>
      <c r="GD143" s="42"/>
      <c r="GE143" s="42"/>
      <c r="GF143" s="42"/>
      <c r="GG143" s="42"/>
      <c r="GH143" s="42"/>
      <c r="GI143" s="42"/>
      <c r="GJ143" s="42"/>
      <c r="GK143" s="42"/>
      <c r="GL143" s="42"/>
      <c r="GM143" s="42"/>
      <c r="GN143" s="42"/>
      <c r="GO143" s="42"/>
      <c r="GP143" s="42"/>
      <c r="GQ143" s="42"/>
      <c r="GR143" s="42"/>
      <c r="GS143" s="42"/>
      <c r="GT143" s="42"/>
      <c r="GU143" s="42"/>
      <c r="GV143" s="42"/>
      <c r="GW143" s="42"/>
      <c r="GX143" s="42"/>
    </row>
    <row r="144" spans="1:206" s="58" customFormat="1" x14ac:dyDescent="0.25">
      <c r="A144" s="170">
        <v>7</v>
      </c>
      <c r="B144" s="171" t="str">
        <f>线路!B141</f>
        <v>5#隧洞出</v>
      </c>
      <c r="C144" s="172">
        <f>线路!E141</f>
        <v>444087.18939999997</v>
      </c>
      <c r="D144" s="172">
        <f>线路!F141</f>
        <v>3037192.7063000002</v>
      </c>
      <c r="E144" s="173">
        <f>线路!G141</f>
        <v>0</v>
      </c>
      <c r="F144" s="173">
        <f>线路!H141</f>
        <v>1E-3</v>
      </c>
      <c r="G144" s="174">
        <f>线路!L141</f>
        <v>15689.246667569851</v>
      </c>
      <c r="H144" s="174">
        <f>线路!M141</f>
        <v>15689.246667569851</v>
      </c>
      <c r="I144" s="174">
        <f>线路!N141</f>
        <v>15689.246667569851</v>
      </c>
      <c r="J144" s="175">
        <f t="shared" si="57"/>
        <v>0</v>
      </c>
      <c r="K144" s="175">
        <f t="shared" si="67"/>
        <v>52.256823913963672</v>
      </c>
      <c r="L144" s="175">
        <f>IF(A144=1,断面设计!$D$7,IF(A144=2,断面设计!$D$8,IF(A144=3,断面设计!$D$9,IF(A144=4,断面设计!$D$10,IF(A144=5,断面设计!$D$11,IF(A144=6,断面设计!$D$12,IF(A144=7,断面设计!$D$13,IF(A144=8,断面设计!$D$14,IF(A144=9,断面设计!$D$15,IF(A144=10,断面设计!$D$16))))))))))</f>
        <v>1</v>
      </c>
      <c r="M144" s="175">
        <f t="shared" si="68"/>
        <v>0</v>
      </c>
      <c r="N144" s="176">
        <f t="shared" si="74"/>
        <v>1.4E-2</v>
      </c>
      <c r="O144" s="175">
        <f>IF(A144=5,断面设计!$O$37,IF(A144=6,断面设计!$O$38,IF(A144=7,断面设计!$O$39,IF(A144=9,断面设计!$O$40,IF(A144=10,断面设计!$O$41)))))</f>
        <v>2000</v>
      </c>
      <c r="P144" s="177">
        <f>IF(A144=1,断面设计!$K$7,IF(A144=2,断面设计!$K$8,IF(A144=3,断面设计!$K$9,IF(A144=4,断面设计!$K$10,IF(A144=5,断面设计!$K$11,IF(A144=6,断面设计!$K$12,IF(A144=7,断面设计!$K$13,IF(A144=8,断面设计!$K$14,IF(A144=9,断面设计!$K$15,IF(A144=10,断面设计!$K$16))))))))))</f>
        <v>2.6999911281428886</v>
      </c>
      <c r="Q144" s="176">
        <f>IF(A144=5,断面设计!$C$37,IF(A144=6,断面设计!$C$38,IF(A144=7,断面设计!$C$39,IF(A144=9,断面设计!$C$40,IF(A144=10,断面设计!$C$41)))))</f>
        <v>1.2505987457580501</v>
      </c>
      <c r="R144" s="175">
        <f>IF(A144=5,断面设计!$K$37,IF(A144=6,断面设计!$K$38,IF(A144=7,断面设计!$K$39,IF(A144=9,断面设计!$K$40,IF(A144=10,断面设计!$K$41)))))</f>
        <v>2.5011974915161002</v>
      </c>
      <c r="S144" s="175">
        <f>IF(A144=5,断面设计!$L$37,IF(A144=6,断面设计!$L$38,IF(A144=7,断面设计!$L$39,IF(A144=9,断面设计!$L$40,IF(A144=10,断面设计!$L$41)))))</f>
        <v>4.5011974915161002</v>
      </c>
      <c r="T144" s="175">
        <f t="shared" si="69"/>
        <v>0.55567379485800861</v>
      </c>
      <c r="U144" s="175">
        <f t="shared" si="70"/>
        <v>1.0794793842953558</v>
      </c>
      <c r="V144" s="179"/>
      <c r="W144" s="176">
        <f>-0.6*(U144^2/2-U145^2/2)/9.81</f>
        <v>-1.9053790082194346E-2</v>
      </c>
      <c r="X144" s="176">
        <f>IF(AN144=0,IF(AN143=2,(H144-H143-AE143)/O144,(H144-H143)/O144),IF(AN144=1,IF(AN143=2,IF(AE144&lt;9,(H144-H143-AE144-AE143)/断面设计!$J$7,(H144-H143-AE144-AE143)/断面设计!$J$7),(H144-H143-AE144)/O143),(H144-H143)/O144))</f>
        <v>2.6128411956981835E-2</v>
      </c>
      <c r="Y144" s="181">
        <v>0</v>
      </c>
      <c r="Z144" s="182">
        <f t="shared" si="75"/>
        <v>0</v>
      </c>
      <c r="AA144" s="183"/>
      <c r="AB144" s="181">
        <f t="shared" si="58"/>
        <v>1.2505987457580501</v>
      </c>
      <c r="AC144" s="176">
        <f t="shared" si="59"/>
        <v>7.0746218747874887E-3</v>
      </c>
      <c r="AD144" s="176">
        <f t="shared" ca="1" si="71"/>
        <v>2379.327774255139</v>
      </c>
      <c r="AE144" s="184">
        <v>5</v>
      </c>
      <c r="AF144" s="176">
        <f t="shared" ca="1" si="60"/>
        <v>2379.327774255139</v>
      </c>
      <c r="AG144" s="176">
        <f ca="1">IF(AE144=0," ",AF144-断面设计!$C$7)</f>
        <v>2377.7278284187391</v>
      </c>
      <c r="AH144" s="176" t="str">
        <f t="shared" si="61"/>
        <v xml:space="preserve"> </v>
      </c>
      <c r="AI144" s="176" t="str">
        <f t="shared" si="62"/>
        <v xml:space="preserve"> </v>
      </c>
      <c r="AJ144" s="176" t="str">
        <f t="shared" si="63"/>
        <v xml:space="preserve"> </v>
      </c>
      <c r="AK144" s="176" t="str">
        <f t="shared" si="64"/>
        <v xml:space="preserve"> </v>
      </c>
      <c r="AL144" s="176">
        <f t="shared" ca="1" si="65"/>
        <v>2379.3087204650569</v>
      </c>
      <c r="AM144" s="176">
        <f t="shared" ca="1" si="66"/>
        <v>2378.0581217192989</v>
      </c>
      <c r="AN144" s="180">
        <v>2</v>
      </c>
      <c r="AO144" s="170">
        <v>1</v>
      </c>
      <c r="AP144" s="42"/>
      <c r="AQ144" s="42"/>
      <c r="AR144" s="42"/>
      <c r="AS144" s="42"/>
      <c r="AT144" s="42"/>
      <c r="AU144" s="64" t="str">
        <f t="shared" ca="1" si="73"/>
        <v>15689.2466675699,2378.0581217193</v>
      </c>
      <c r="AV144" s="64" t="str">
        <f t="shared" ca="1" si="55"/>
        <v>15689.2466675699,2379.30872046506</v>
      </c>
      <c r="AW144" s="169" t="str">
        <f t="shared" si="56"/>
        <v xml:space="preserve">pl 15689.2466675699,0 15689.2466675699,76 </v>
      </c>
      <c r="AX144" s="161" t="str">
        <f t="shared" ca="1" si="52"/>
        <v>-text 15689.2466675699,48 3.5 90 2378.058</v>
      </c>
      <c r="AY144" s="161" t="str">
        <f t="shared" ca="1" si="53"/>
        <v>-text 15689.2466675699,62.5 3.5 90 2379.309</v>
      </c>
      <c r="AZ144" s="42" t="str">
        <f t="shared" si="54"/>
        <v>-text 15689.2466675699,23.5 3.5 90 马分15+689.25</v>
      </c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  <c r="FI144" s="42"/>
      <c r="FJ144" s="42"/>
      <c r="FK144" s="42"/>
      <c r="FL144" s="42"/>
      <c r="FM144" s="42"/>
      <c r="FN144" s="42"/>
      <c r="FO144" s="42"/>
      <c r="FP144" s="42"/>
      <c r="FQ144" s="42"/>
      <c r="FR144" s="42"/>
      <c r="FS144" s="42"/>
      <c r="FT144" s="42"/>
      <c r="FU144" s="42"/>
      <c r="FV144" s="42"/>
      <c r="FW144" s="42"/>
      <c r="FX144" s="42"/>
      <c r="FY144" s="42"/>
      <c r="FZ144" s="42"/>
      <c r="GA144" s="42"/>
      <c r="GB144" s="42"/>
      <c r="GC144" s="42"/>
      <c r="GD144" s="42"/>
      <c r="GE144" s="42"/>
      <c r="GF144" s="42"/>
      <c r="GG144" s="42"/>
      <c r="GH144" s="42"/>
      <c r="GI144" s="42"/>
      <c r="GJ144" s="42"/>
      <c r="GK144" s="42"/>
      <c r="GL144" s="42"/>
      <c r="GM144" s="42"/>
      <c r="GN144" s="42"/>
      <c r="GO144" s="42"/>
      <c r="GP144" s="42"/>
      <c r="GQ144" s="42"/>
      <c r="GR144" s="42"/>
      <c r="GS144" s="42"/>
      <c r="GT144" s="42"/>
      <c r="GU144" s="42"/>
      <c r="GV144" s="42"/>
      <c r="GW144" s="42"/>
      <c r="GX144" s="42"/>
    </row>
    <row r="145" spans="1:206" s="55" customFormat="1" x14ac:dyDescent="0.25">
      <c r="A145" s="92">
        <v>7</v>
      </c>
      <c r="B145" s="93" t="str">
        <f>线路!B142</f>
        <v>11#倒虹吸进</v>
      </c>
      <c r="C145" s="94">
        <f>线路!E142</f>
        <v>444079.67070000002</v>
      </c>
      <c r="D145" s="94">
        <f>线路!F142</f>
        <v>3037196.6702000001</v>
      </c>
      <c r="E145" s="95">
        <f>线路!G142</f>
        <v>0</v>
      </c>
      <c r="F145" s="95">
        <f>线路!H142</f>
        <v>1E-3</v>
      </c>
      <c r="G145" s="96">
        <f>线路!L142</f>
        <v>15697.74627655487</v>
      </c>
      <c r="H145" s="96">
        <f>线路!M142</f>
        <v>15697.74627655487</v>
      </c>
      <c r="I145" s="96">
        <f>线路!N142</f>
        <v>15697.74627655487</v>
      </c>
      <c r="J145" s="115">
        <f t="shared" si="57"/>
        <v>0</v>
      </c>
      <c r="K145" s="115">
        <f t="shared" si="67"/>
        <v>8.499608985019222</v>
      </c>
      <c r="L145" s="115">
        <f>IF(A145=1,断面设计!$D$7,IF(A145=2,断面设计!$D$8,IF(A145=3,断面设计!$D$9,IF(A145=4,断面设计!$D$10,IF(A145=5,断面设计!$D$11,IF(A145=6,断面设计!$D$12,IF(A145=7,断面设计!$D$13,IF(A145=8,断面设计!$D$14,IF(A145=9,断面设计!$D$15,IF(A145=10,断面设计!$D$16))))))))))</f>
        <v>1</v>
      </c>
      <c r="M145" s="115">
        <f t="shared" si="68"/>
        <v>1.2</v>
      </c>
      <c r="N145" s="116">
        <f t="shared" si="74"/>
        <v>1.4999999999999999E-2</v>
      </c>
      <c r="O145" s="115">
        <f>IF(A145=1,断面设计!$J$7,IF(A145=2,断面设计!$J$8,IF(A145=3,断面设计!$J$9,IF(A145=4,断面设计!$J$10,IF(A145=5,断面设计!$J$11,IF(A145=6,断面设计!$J$12,IF(A145=7,断面设计!$J$13,IF(A145=8,断面设计!$J$14,IF(A145=9,断面设计!$J$15,IF(A145=10,断面设计!$J$16))))))))))</f>
        <v>5000</v>
      </c>
      <c r="P145" s="117">
        <f>IF(A145=1,断面设计!$K$7,IF(A145=2,断面设计!$K$8,IF(A145=3,断面设计!$K$9,IF(A145=4,断面设计!$K$10,IF(A145=5,断面设计!$K$11,IF(A145=6,断面设计!$K$12,IF(A145=7,断面设计!$K$13,IF(A145=8,断面设计!$K$14,IF(A145=9,断面设计!$K$15,IF(A145=10,断面设计!$K$16))))))))))</f>
        <v>2.6999911281428886</v>
      </c>
      <c r="Q145" s="116">
        <f>IF(A145=1,断面设计!$C$7,IF(A145=2,断面设计!$C$8,IF(A145=3,断面设计!$C$9,IF(A145=4,断面设计!$C$10,IF(A145=5,断面设计!$C$11,IF(A145=6,断面设计!$C$12,IF(A145=7,断面设计!$C$13,IF(A145=8,断面设计!$C$14,IF(A145=9,断面设计!$C$15,IF(A145=10,断面设计!$C$16))))))))))</f>
        <v>1.38033020658117</v>
      </c>
      <c r="R145" s="115">
        <f>IF(A145=1,断面设计!$F$7,IF(A145=2,断面设计!$F$8,IF(A145=3,断面设计!$F$9,IF(A145=4,断面设计!$F$10,IF(A145=5,断面设计!$F$11,IF(A145=6,断面设计!$F$12,IF(A145=7,断面设计!$F$13,IF(A145=8,断面设计!$F$14,IF(A145=9,断面设计!$F$15,IF(A145=10,断面设计!$F$16))))))))))</f>
        <v>3.6667039816216684</v>
      </c>
      <c r="S145" s="115">
        <f>IF(A145=1,断面设计!$G$7,IF(A145=2,断面设计!$G$8,IF(A145=3,断面设计!$G$9,IF(A145=4,断面设计!$G$10,IF(A145=5,断面设计!$G$11,IF(A145=6,断面设计!$G$12,IF(A145=7,断面设计!$G$13,IF(A145=8,断面设计!$G$14,IF(A145=9,断面设计!$G$15,IF(A145=10,断面设计!$G$16))))))))))</f>
        <v>5.3122894194378993</v>
      </c>
      <c r="T145" s="115">
        <f t="shared" si="69"/>
        <v>0.69023046225701445</v>
      </c>
      <c r="U145" s="115">
        <f t="shared" si="70"/>
        <v>0.73635372303732216</v>
      </c>
      <c r="V145" s="125"/>
      <c r="W145" s="178"/>
      <c r="X145" s="116"/>
      <c r="Y145" s="139">
        <v>0</v>
      </c>
      <c r="Z145" s="140">
        <f t="shared" si="75"/>
        <v>0</v>
      </c>
      <c r="AA145" s="143"/>
      <c r="AB145" s="139">
        <f t="shared" si="58"/>
        <v>1.38033020658117</v>
      </c>
      <c r="AC145" s="116">
        <f t="shared" si="59"/>
        <v>0</v>
      </c>
      <c r="AD145" s="116">
        <f t="shared" ca="1" si="71"/>
        <v>2379.327774255139</v>
      </c>
      <c r="AE145" s="141">
        <f t="shared" si="72"/>
        <v>0</v>
      </c>
      <c r="AF145" s="116" t="str">
        <f t="shared" si="60"/>
        <v xml:space="preserve"> </v>
      </c>
      <c r="AG145" s="116" t="str">
        <f>IF(AE145=0," ",AF145-断面设计!$C$7)</f>
        <v xml:space="preserve"> </v>
      </c>
      <c r="AH145" s="116" t="str">
        <f t="shared" si="61"/>
        <v xml:space="preserve"> </v>
      </c>
      <c r="AI145" s="116" t="str">
        <f t="shared" si="62"/>
        <v xml:space="preserve"> </v>
      </c>
      <c r="AJ145" s="116" t="str">
        <f t="shared" si="63"/>
        <v xml:space="preserve"> </v>
      </c>
      <c r="AK145" s="116" t="str">
        <f t="shared" si="64"/>
        <v xml:space="preserve"> </v>
      </c>
      <c r="AL145" s="116">
        <f t="shared" ca="1" si="65"/>
        <v>2379.327774255139</v>
      </c>
      <c r="AM145" s="116">
        <f t="shared" ca="1" si="66"/>
        <v>2377.9474440485578</v>
      </c>
      <c r="AN145" s="178"/>
      <c r="AO145" s="92">
        <v>0</v>
      </c>
      <c r="AP145" s="42"/>
      <c r="AQ145" s="42"/>
      <c r="AR145" s="42"/>
      <c r="AS145" s="42"/>
      <c r="AT145" s="42"/>
      <c r="AU145" s="64" t="str">
        <f t="shared" ca="1" si="73"/>
        <v>15697.7462765549,2377.94744404856</v>
      </c>
      <c r="AV145" s="64" t="str">
        <f t="shared" ca="1" si="55"/>
        <v>15697.7462765549,2379.32777425514</v>
      </c>
      <c r="AW145" s="169" t="str">
        <f t="shared" si="56"/>
        <v xml:space="preserve">pl 15697.7462765549,0 15697.7462765549,76 </v>
      </c>
      <c r="AX145" s="161" t="str">
        <f t="shared" ca="1" si="52"/>
        <v>-text 15697.7462765549,48 3.5 90 2377.947</v>
      </c>
      <c r="AY145" s="161" t="str">
        <f t="shared" ca="1" si="53"/>
        <v>-text 15697.7462765549,62.5 3.5 90 2379.328</v>
      </c>
      <c r="AZ145" s="42" t="str">
        <f t="shared" si="54"/>
        <v>-text 15697.7462765549,23.5 3.5 90 马分15+697.75</v>
      </c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  <c r="FI145" s="42"/>
      <c r="FJ145" s="42"/>
      <c r="FK145" s="42"/>
      <c r="FL145" s="42"/>
      <c r="FM145" s="42"/>
      <c r="FN145" s="42"/>
      <c r="FO145" s="42"/>
      <c r="FP145" s="42"/>
      <c r="FQ145" s="42"/>
      <c r="FR145" s="42"/>
      <c r="FS145" s="42"/>
      <c r="FT145" s="42"/>
      <c r="FU145" s="42"/>
      <c r="FV145" s="42"/>
      <c r="FW145" s="42"/>
      <c r="FX145" s="42"/>
      <c r="FY145" s="42"/>
      <c r="FZ145" s="42"/>
      <c r="GA145" s="42"/>
      <c r="GB145" s="42"/>
      <c r="GC145" s="42"/>
      <c r="GD145" s="42"/>
      <c r="GE145" s="42"/>
      <c r="GF145" s="42"/>
      <c r="GG145" s="42"/>
      <c r="GH145" s="42"/>
      <c r="GI145" s="42"/>
      <c r="GJ145" s="42"/>
      <c r="GK145" s="42"/>
      <c r="GL145" s="42"/>
      <c r="GM145" s="42"/>
      <c r="GN145" s="42"/>
      <c r="GO145" s="42"/>
      <c r="GP145" s="42"/>
      <c r="GQ145" s="42"/>
      <c r="GR145" s="42"/>
      <c r="GS145" s="42"/>
      <c r="GT145" s="42"/>
      <c r="GU145" s="42"/>
      <c r="GV145" s="42"/>
      <c r="GW145" s="42"/>
      <c r="GX145" s="42"/>
    </row>
    <row r="146" spans="1:206" s="55" customFormat="1" x14ac:dyDescent="0.25">
      <c r="A146" s="92">
        <v>7</v>
      </c>
      <c r="B146" s="93" t="str">
        <f>线路!B143</f>
        <v>IP92</v>
      </c>
      <c r="C146" s="94">
        <f>线路!E143</f>
        <v>443919.37219999998</v>
      </c>
      <c r="D146" s="94">
        <f>线路!F143</f>
        <v>3037281.1784000001</v>
      </c>
      <c r="E146" s="95">
        <f>线路!G143</f>
        <v>4.8</v>
      </c>
      <c r="F146" s="95">
        <f>线路!H143</f>
        <v>38.725000000000001</v>
      </c>
      <c r="G146" s="96">
        <f>线路!L143</f>
        <v>15877.269959160843</v>
      </c>
      <c r="H146" s="96">
        <f>线路!M143</f>
        <v>15878.892068167646</v>
      </c>
      <c r="I146" s="96">
        <f>线路!N143</f>
        <v>15880.514177174451</v>
      </c>
      <c r="J146" s="115">
        <f t="shared" si="57"/>
        <v>3.2442180136076786</v>
      </c>
      <c r="K146" s="115">
        <f t="shared" si="67"/>
        <v>181.14579161277652</v>
      </c>
      <c r="L146" s="115">
        <f>IF(A146=1,断面设计!$D$7,IF(A146=2,断面设计!$D$8,IF(A146=3,断面设计!$D$9,IF(A146=4,断面设计!$D$10,IF(A146=5,断面设计!$D$11,IF(A146=6,断面设计!$D$12,IF(A146=7,断面设计!$D$13,IF(A146=8,断面设计!$D$14,IF(A146=9,断面设计!$D$15,IF(A146=10,断面设计!$D$16))))))))))</f>
        <v>1</v>
      </c>
      <c r="M146" s="115">
        <f t="shared" si="68"/>
        <v>1.2</v>
      </c>
      <c r="N146" s="116">
        <f t="shared" si="74"/>
        <v>1.4999999999999999E-2</v>
      </c>
      <c r="O146" s="115">
        <f>IF(A146=1,断面设计!$J$7,IF(A146=2,断面设计!$J$8,IF(A146=3,断面设计!$J$9,IF(A146=4,断面设计!$J$10,IF(A146=5,断面设计!$J$11,IF(A146=6,断面设计!$J$12,IF(A146=7,断面设计!$J$13,IF(A146=8,断面设计!$J$14,IF(A146=9,断面设计!$J$15,IF(A146=10,断面设计!$J$16))))))))))</f>
        <v>5000</v>
      </c>
      <c r="P146" s="117">
        <f>IF(A146=1,断面设计!$K$7,IF(A146=2,断面设计!$K$8,IF(A146=3,断面设计!$K$9,IF(A146=4,断面设计!$K$10,IF(A146=5,断面设计!$K$11,IF(A146=6,断面设计!$K$12,IF(A146=7,断面设计!$K$13,IF(A146=8,断面设计!$K$14,IF(A146=9,断面设计!$K$15,IF(A146=10,断面设计!$K$16))))))))))</f>
        <v>2.6999911281428886</v>
      </c>
      <c r="Q146" s="116">
        <f>IF(A146=1,断面设计!$C$7,IF(A146=2,断面设计!$C$8,IF(A146=3,断面设计!$C$9,IF(A146=4,断面设计!$C$10,IF(A146=5,断面设计!$C$11,IF(A146=6,断面设计!$C$12,IF(A146=7,断面设计!$C$13,IF(A146=8,断面设计!$C$14,IF(A146=9,断面设计!$C$15,IF(A146=10,断面设计!$C$16))))))))))</f>
        <v>1.38033020658117</v>
      </c>
      <c r="R146" s="115">
        <f>IF(A146=1,断面设计!$F$7,IF(A146=2,断面设计!$F$8,IF(A146=3,断面设计!$F$9,IF(A146=4,断面设计!$F$10,IF(A146=5,断面设计!$F$11,IF(A146=6,断面设计!$F$12,IF(A146=7,断面设计!$F$13,IF(A146=8,断面设计!$F$14,IF(A146=9,断面设计!$F$15,IF(A146=10,断面设计!$F$16))))))))))</f>
        <v>3.6667039816216684</v>
      </c>
      <c r="S146" s="115">
        <f>IF(A146=1,断面设计!$G$7,IF(A146=2,断面设计!$G$8,IF(A146=3,断面设计!$G$9,IF(A146=4,断面设计!$G$10,IF(A146=5,断面设计!$G$11,IF(A146=6,断面设计!$G$12,IF(A146=7,断面设计!$G$13,IF(A146=8,断面设计!$G$14,IF(A146=9,断面设计!$G$15,IF(A146=10,断面设计!$G$16))))))))))</f>
        <v>5.3122894194378993</v>
      </c>
      <c r="T146" s="115">
        <f t="shared" si="69"/>
        <v>0.69023046225701445</v>
      </c>
      <c r="U146" s="115">
        <f t="shared" si="70"/>
        <v>0.73635372303732216</v>
      </c>
      <c r="V146" s="125"/>
      <c r="W146" s="178"/>
      <c r="X146" s="116"/>
      <c r="Y146" s="139">
        <v>0</v>
      </c>
      <c r="Z146" s="140">
        <f t="shared" si="75"/>
        <v>0</v>
      </c>
      <c r="AA146" s="143"/>
      <c r="AB146" s="139">
        <f t="shared" si="58"/>
        <v>1.38033020658117</v>
      </c>
      <c r="AC146" s="116">
        <f t="shared" si="59"/>
        <v>0</v>
      </c>
      <c r="AD146" s="116">
        <f t="shared" ca="1" si="71"/>
        <v>2379.327774255139</v>
      </c>
      <c r="AE146" s="141">
        <f t="shared" si="72"/>
        <v>0</v>
      </c>
      <c r="AF146" s="116" t="str">
        <f t="shared" si="60"/>
        <v xml:space="preserve"> </v>
      </c>
      <c r="AG146" s="116" t="str">
        <f>IF(AE146=0," ",AF146-断面设计!$C$7)</f>
        <v xml:space="preserve"> </v>
      </c>
      <c r="AH146" s="116">
        <f t="shared" ca="1" si="61"/>
        <v>2379.3280986769405</v>
      </c>
      <c r="AI146" s="116">
        <f t="shared" ca="1" si="62"/>
        <v>2377.9477684703593</v>
      </c>
      <c r="AJ146" s="116">
        <f t="shared" ca="1" si="63"/>
        <v>2379.3274498333376</v>
      </c>
      <c r="AK146" s="116">
        <f t="shared" ca="1" si="64"/>
        <v>2377.9471196267564</v>
      </c>
      <c r="AL146" s="116">
        <f t="shared" ca="1" si="65"/>
        <v>2379.327774255139</v>
      </c>
      <c r="AM146" s="116">
        <f t="shared" ca="1" si="66"/>
        <v>2377.9474440485578</v>
      </c>
      <c r="AN146" s="178"/>
      <c r="AO146" s="92">
        <v>0</v>
      </c>
      <c r="AP146" s="42"/>
      <c r="AQ146" s="42"/>
      <c r="AR146" s="42"/>
      <c r="AS146" s="42"/>
      <c r="AT146" s="42"/>
      <c r="AU146" s="64" t="str">
        <f t="shared" ca="1" si="73"/>
        <v>15878.8920681676,2377.94744404856</v>
      </c>
      <c r="AV146" s="64" t="str">
        <f t="shared" ca="1" si="55"/>
        <v>15878.8920681676,2379.32777425514</v>
      </c>
      <c r="AW146" s="169" t="str">
        <f t="shared" si="56"/>
        <v xml:space="preserve">pl 15878.8920681676,0 15878.8920681676,76 </v>
      </c>
      <c r="AX146" s="161" t="str">
        <f t="shared" ca="1" si="52"/>
        <v>-text 15878.8920681676,48 3.5 90 2377.947</v>
      </c>
      <c r="AY146" s="161" t="str">
        <f t="shared" ca="1" si="53"/>
        <v>-text 15878.8920681676,62.5 3.5 90 2379.328</v>
      </c>
      <c r="AZ146" s="42" t="str">
        <f t="shared" si="54"/>
        <v>-text 15878.8920681676,23.5 3.5 90 马分15+878.89</v>
      </c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  <c r="FI146" s="42"/>
      <c r="FJ146" s="42"/>
      <c r="FK146" s="42"/>
      <c r="FL146" s="42"/>
      <c r="FM146" s="42"/>
      <c r="FN146" s="42"/>
      <c r="FO146" s="42"/>
      <c r="FP146" s="42"/>
      <c r="FQ146" s="42"/>
      <c r="FR146" s="42"/>
      <c r="FS146" s="42"/>
      <c r="FT146" s="42"/>
      <c r="FU146" s="42"/>
      <c r="FV146" s="42"/>
      <c r="FW146" s="42"/>
      <c r="FX146" s="42"/>
      <c r="FY146" s="42"/>
      <c r="FZ146" s="42"/>
      <c r="GA146" s="42"/>
      <c r="GB146" s="42"/>
      <c r="GC146" s="42"/>
      <c r="GD146" s="42"/>
      <c r="GE146" s="42"/>
      <c r="GF146" s="42"/>
      <c r="GG146" s="42"/>
      <c r="GH146" s="42"/>
      <c r="GI146" s="42"/>
      <c r="GJ146" s="42"/>
      <c r="GK146" s="42"/>
      <c r="GL146" s="42"/>
      <c r="GM146" s="42"/>
      <c r="GN146" s="42"/>
      <c r="GO146" s="42"/>
      <c r="GP146" s="42"/>
      <c r="GQ146" s="42"/>
      <c r="GR146" s="42"/>
      <c r="GS146" s="42"/>
      <c r="GT146" s="42"/>
      <c r="GU146" s="42"/>
      <c r="GV146" s="42"/>
      <c r="GW146" s="42"/>
      <c r="GX146" s="42"/>
    </row>
    <row r="147" spans="1:206" s="55" customFormat="1" x14ac:dyDescent="0.25">
      <c r="A147" s="92">
        <v>7</v>
      </c>
      <c r="B147" s="93" t="str">
        <f>线路!B144</f>
        <v>11#倒虹吸出</v>
      </c>
      <c r="C147" s="94">
        <f>线路!E144</f>
        <v>443828.40779999999</v>
      </c>
      <c r="D147" s="94">
        <f>线路!F144</f>
        <v>3037263.6168</v>
      </c>
      <c r="E147" s="95">
        <f>线路!G144</f>
        <v>0</v>
      </c>
      <c r="F147" s="95">
        <f>线路!H144</f>
        <v>1E-3</v>
      </c>
      <c r="G147" s="96">
        <f>线路!L144</f>
        <v>15971.471474737224</v>
      </c>
      <c r="H147" s="96">
        <f>线路!M144</f>
        <v>15971.471474737224</v>
      </c>
      <c r="I147" s="96">
        <f>线路!N144</f>
        <v>15971.471474737224</v>
      </c>
      <c r="J147" s="115">
        <f t="shared" si="57"/>
        <v>0</v>
      </c>
      <c r="K147" s="115">
        <f t="shared" si="67"/>
        <v>92.579406569577259</v>
      </c>
      <c r="L147" s="115">
        <f>IF(A147=1,断面设计!$D$7,IF(A147=2,断面设计!$D$8,IF(A147=3,断面设计!$D$9,IF(A147=4,断面设计!$D$10,IF(A147=5,断面设计!$D$11,IF(A147=6,断面设计!$D$12,IF(A147=7,断面设计!$D$13,IF(A147=8,断面设计!$D$14,IF(A147=9,断面设计!$D$15,IF(A147=10,断面设计!$D$16))))))))))</f>
        <v>1</v>
      </c>
      <c r="M147" s="115">
        <f t="shared" si="68"/>
        <v>1.2</v>
      </c>
      <c r="N147" s="116">
        <f t="shared" si="74"/>
        <v>1.4999999999999999E-2</v>
      </c>
      <c r="O147" s="115">
        <f>IF(A147=1,断面设计!$J$7,IF(A147=2,断面设计!$J$8,IF(A147=3,断面设计!$J$9,IF(A147=4,断面设计!$J$10,IF(A147=5,断面设计!$J$11,IF(A147=6,断面设计!$J$12,IF(A147=7,断面设计!$J$13,IF(A147=8,断面设计!$J$14,IF(A147=9,断面设计!$J$15,IF(A147=10,断面设计!$J$16))))))))))</f>
        <v>5000</v>
      </c>
      <c r="P147" s="117">
        <f>IF(A147=1,断面设计!$K$7,IF(A147=2,断面设计!$K$8,IF(A147=3,断面设计!$K$9,IF(A147=4,断面设计!$K$10,IF(A147=5,断面设计!$K$11,IF(A147=6,断面设计!$K$12,IF(A147=7,断面设计!$K$13,IF(A147=8,断面设计!$K$14,IF(A147=9,断面设计!$K$15,IF(A147=10,断面设计!$K$16))))))))))</f>
        <v>2.6999911281428886</v>
      </c>
      <c r="Q147" s="116">
        <f>IF(A147=1,断面设计!$C$7,IF(A147=2,断面设计!$C$8,IF(A147=3,断面设计!$C$9,IF(A147=4,断面设计!$C$10,IF(A147=5,断面设计!$C$11,IF(A147=6,断面设计!$C$12,IF(A147=7,断面设计!$C$13,IF(A147=8,断面设计!$C$14,IF(A147=9,断面设计!$C$15,IF(A147=10,断面设计!$C$16))))))))))</f>
        <v>1.38033020658117</v>
      </c>
      <c r="R147" s="115">
        <f>IF(A147=1,断面设计!$F$7,IF(A147=2,断面设计!$F$8,IF(A147=3,断面设计!$F$9,IF(A147=4,断面设计!$F$10,IF(A147=5,断面设计!$F$11,IF(A147=6,断面设计!$F$12,IF(A147=7,断面设计!$F$13,IF(A147=8,断面设计!$F$14,IF(A147=9,断面设计!$F$15,IF(A147=10,断面设计!$F$16))))))))))</f>
        <v>3.6667039816216684</v>
      </c>
      <c r="S147" s="115">
        <f>IF(A147=1,断面设计!$G$7,IF(A147=2,断面设计!$G$8,IF(A147=3,断面设计!$G$9,IF(A147=4,断面设计!$G$10,IF(A147=5,断面设计!$G$11,IF(A147=6,断面设计!$G$12,IF(A147=7,断面设计!$G$13,IF(A147=8,断面设计!$G$14,IF(A147=9,断面设计!$G$15,IF(A147=10,断面设计!$G$16))))))))))</f>
        <v>5.3122894194378993</v>
      </c>
      <c r="T147" s="115">
        <f t="shared" si="69"/>
        <v>0.69023046225701445</v>
      </c>
      <c r="U147" s="115">
        <f t="shared" si="70"/>
        <v>0.73635372303732216</v>
      </c>
      <c r="V147" s="125"/>
      <c r="W147" s="178"/>
      <c r="X147" s="116">
        <f ca="1">倒虹管水头损失计算!D660</f>
        <v>0.5744598497042096</v>
      </c>
      <c r="Y147" s="139">
        <v>0</v>
      </c>
      <c r="Z147" s="140">
        <f t="shared" si="75"/>
        <v>0</v>
      </c>
      <c r="AA147" s="143"/>
      <c r="AB147" s="139">
        <f t="shared" si="58"/>
        <v>1.38033020658117</v>
      </c>
      <c r="AC147" s="116">
        <f t="shared" ca="1" si="59"/>
        <v>0.5744598497042096</v>
      </c>
      <c r="AD147" s="116">
        <f t="shared" ca="1" si="71"/>
        <v>2378.753314405435</v>
      </c>
      <c r="AE147" s="141">
        <f t="shared" si="72"/>
        <v>0</v>
      </c>
      <c r="AF147" s="116" t="str">
        <f t="shared" si="60"/>
        <v xml:space="preserve"> </v>
      </c>
      <c r="AG147" s="116" t="str">
        <f>IF(AE147=0," ",AF147-断面设计!$C$7)</f>
        <v xml:space="preserve"> </v>
      </c>
      <c r="AH147" s="116" t="str">
        <f t="shared" si="61"/>
        <v xml:space="preserve"> </v>
      </c>
      <c r="AI147" s="116" t="str">
        <f t="shared" si="62"/>
        <v xml:space="preserve"> </v>
      </c>
      <c r="AJ147" s="116" t="str">
        <f t="shared" si="63"/>
        <v xml:space="preserve"> </v>
      </c>
      <c r="AK147" s="116" t="str">
        <f t="shared" si="64"/>
        <v xml:space="preserve"> </v>
      </c>
      <c r="AL147" s="116">
        <f t="shared" ca="1" si="65"/>
        <v>2378.753314405435</v>
      </c>
      <c r="AM147" s="116">
        <f t="shared" ca="1" si="66"/>
        <v>2377.3729841988538</v>
      </c>
      <c r="AN147" s="178"/>
      <c r="AO147" s="92">
        <v>0</v>
      </c>
      <c r="AP147" s="42"/>
      <c r="AQ147" s="42"/>
      <c r="AR147" s="42"/>
      <c r="AS147" s="42"/>
      <c r="AT147" s="42"/>
      <c r="AU147" s="64" t="str">
        <f t="shared" ca="1" si="73"/>
        <v>15971.4714747372,2377.37298419885</v>
      </c>
      <c r="AV147" s="64" t="str">
        <f t="shared" ca="1" si="55"/>
        <v>15971.4714747372,2378.75331440544</v>
      </c>
      <c r="AW147" s="169" t="str">
        <f t="shared" si="56"/>
        <v xml:space="preserve">pl 15971.4714747372,0 15971.4714747372,76 </v>
      </c>
      <c r="AX147" s="161" t="str">
        <f t="shared" ca="1" si="52"/>
        <v>-text 15971.4714747372,48 3.5 90 2377.373</v>
      </c>
      <c r="AY147" s="161" t="str">
        <f t="shared" ca="1" si="53"/>
        <v>-text 15971.4714747372,62.5 3.5 90 2378.753</v>
      </c>
      <c r="AZ147" s="42" t="str">
        <f t="shared" si="54"/>
        <v>-text 15971.4714747372,23.5 3.5 90 马分15+971.47</v>
      </c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  <c r="FI147" s="42"/>
      <c r="FJ147" s="42"/>
      <c r="FK147" s="42"/>
      <c r="FL147" s="42"/>
      <c r="FM147" s="42"/>
      <c r="FN147" s="42"/>
      <c r="FO147" s="42"/>
      <c r="FP147" s="42"/>
      <c r="FQ147" s="42"/>
      <c r="FR147" s="42"/>
      <c r="FS147" s="42"/>
      <c r="FT147" s="42"/>
      <c r="FU147" s="42"/>
      <c r="FV147" s="42"/>
      <c r="FW147" s="42"/>
      <c r="FX147" s="42"/>
      <c r="FY147" s="42"/>
      <c r="FZ147" s="42"/>
      <c r="GA147" s="42"/>
      <c r="GB147" s="42"/>
      <c r="GC147" s="42"/>
      <c r="GD147" s="42"/>
      <c r="GE147" s="42"/>
      <c r="GF147" s="42"/>
      <c r="GG147" s="42"/>
      <c r="GH147" s="42"/>
      <c r="GI147" s="42"/>
      <c r="GJ147" s="42"/>
      <c r="GK147" s="42"/>
      <c r="GL147" s="42"/>
      <c r="GM147" s="42"/>
      <c r="GN147" s="42"/>
      <c r="GO147" s="42"/>
      <c r="GP147" s="42"/>
      <c r="GQ147" s="42"/>
      <c r="GR147" s="42"/>
      <c r="GS147" s="42"/>
      <c r="GT147" s="42"/>
      <c r="GU147" s="42"/>
      <c r="GV147" s="42"/>
      <c r="GW147" s="42"/>
      <c r="GX147" s="42"/>
    </row>
    <row r="148" spans="1:206" s="58" customFormat="1" x14ac:dyDescent="0.25">
      <c r="A148" s="170">
        <v>7</v>
      </c>
      <c r="B148" s="171" t="str">
        <f>线路!B145</f>
        <v>6#隧洞进</v>
      </c>
      <c r="C148" s="172">
        <f>线路!E145</f>
        <v>443816.48719999997</v>
      </c>
      <c r="D148" s="172">
        <f>线路!F145</f>
        <v>3037261.3150999998</v>
      </c>
      <c r="E148" s="173">
        <f>线路!G145</f>
        <v>0</v>
      </c>
      <c r="F148" s="173">
        <f>线路!H145</f>
        <v>2E-3</v>
      </c>
      <c r="G148" s="174">
        <f>线路!L145</f>
        <v>15983.612254253019</v>
      </c>
      <c r="H148" s="174">
        <f>线路!M145</f>
        <v>15983.612254253019</v>
      </c>
      <c r="I148" s="174">
        <f>线路!N145</f>
        <v>15983.612254253019</v>
      </c>
      <c r="J148" s="175">
        <f t="shared" si="57"/>
        <v>0</v>
      </c>
      <c r="K148" s="175">
        <f t="shared" si="67"/>
        <v>12.140779515795657</v>
      </c>
      <c r="L148" s="175">
        <f>IF(A148=1,断面设计!$D$7,IF(A148=2,断面设计!$D$8,IF(A148=3,断面设计!$D$9,IF(A148=4,断面设计!$D$10,IF(A148=5,断面设计!$D$11,IF(A148=6,断面设计!$D$12,IF(A148=7,断面设计!$D$13,IF(A148=8,断面设计!$D$14,IF(A148=9,断面设计!$D$15,IF(A148=10,断面设计!$D$16))))))))))</f>
        <v>1</v>
      </c>
      <c r="M148" s="175">
        <f t="shared" si="68"/>
        <v>0</v>
      </c>
      <c r="N148" s="176">
        <f t="shared" si="74"/>
        <v>1.4E-2</v>
      </c>
      <c r="O148" s="175">
        <f>IF(A148=5,断面设计!$O$37,IF(A148=6,断面设计!$O$38,IF(A148=7,断面设计!$O$39,IF(A148=9,断面设计!$O$40,IF(A148=10,断面设计!$O$41)))))</f>
        <v>2000</v>
      </c>
      <c r="P148" s="177">
        <f>IF(A148=1,断面设计!$K$7,IF(A148=2,断面设计!$K$8,IF(A148=3,断面设计!$K$9,IF(A148=4,断面设计!$K$10,IF(A148=5,断面设计!$K$11,IF(A148=6,断面设计!$K$12,IF(A148=7,断面设计!$K$13,IF(A148=8,断面设计!$K$14,IF(A148=9,断面设计!$K$15,IF(A148=10,断面设计!$K$16))))))))))</f>
        <v>2.6999911281428886</v>
      </c>
      <c r="Q148" s="176">
        <f>IF(A148=5,断面设计!$C$37,IF(A148=6,断面设计!$C$38,IF(A148=7,断面设计!$C$39,IF(A148=9,断面设计!$C$40,IF(A148=10,断面设计!$C$41)))))</f>
        <v>1.2505987457580501</v>
      </c>
      <c r="R148" s="175">
        <f>IF(A148=5,断面设计!$K$37,IF(A148=6,断面设计!$K$38,IF(A148=7,断面设计!$K$39,IF(A148=9,断面设计!$K$40,IF(A148=10,断面设计!$K$41)))))</f>
        <v>2.5011974915161002</v>
      </c>
      <c r="S148" s="175">
        <f>IF(A148=5,断面设计!$L$37,IF(A148=6,断面设计!$L$38,IF(A148=7,断面设计!$L$39,IF(A148=9,断面设计!$L$40,IF(A148=10,断面设计!$L$41)))))</f>
        <v>4.5011974915161002</v>
      </c>
      <c r="T148" s="175">
        <f t="shared" si="69"/>
        <v>0.55567379485800861</v>
      </c>
      <c r="U148" s="175">
        <f t="shared" si="70"/>
        <v>1.0794793842953558</v>
      </c>
      <c r="V148" s="179"/>
      <c r="W148" s="176">
        <f>1.15*(U148^2/2-U147^2/2)/9.81</f>
        <v>3.6519764324205825E-2</v>
      </c>
      <c r="X148" s="176">
        <f>IF(AN148=0,IF(AN147=2,(H148-H147-AE147)/O148,(H148-H147)/O148),IF(AN148=1,IF(AN147=2,IF(AE148&lt;9,(H148-H147-AE148-AE147)/断面设计!$J$7,(H148-H147-AE148-AE147)/断面设计!$J$7),(H148-H147-AE148)/O147),(H148-H147)/O148))</f>
        <v>1.5281559031591315E-3</v>
      </c>
      <c r="Y148" s="181">
        <v>0</v>
      </c>
      <c r="Z148" s="182">
        <f t="shared" si="75"/>
        <v>0</v>
      </c>
      <c r="AA148" s="183"/>
      <c r="AB148" s="181">
        <f t="shared" si="58"/>
        <v>1.2505987457580501</v>
      </c>
      <c r="AC148" s="176">
        <f t="shared" si="59"/>
        <v>3.8047920227364959E-2</v>
      </c>
      <c r="AD148" s="176">
        <f t="shared" ca="1" si="71"/>
        <v>2378.7152664852078</v>
      </c>
      <c r="AE148" s="185">
        <v>4.5</v>
      </c>
      <c r="AF148" s="176">
        <f t="shared" ca="1" si="60"/>
        <v>2378.751786249532</v>
      </c>
      <c r="AG148" s="176">
        <f ca="1">IF(AE148=0," ",AF148-断面设计!$C$7)</f>
        <v>2377.151840413132</v>
      </c>
      <c r="AH148" s="176" t="str">
        <f t="shared" si="61"/>
        <v xml:space="preserve"> </v>
      </c>
      <c r="AI148" s="176" t="str">
        <f t="shared" si="62"/>
        <v xml:space="preserve"> </v>
      </c>
      <c r="AJ148" s="176" t="str">
        <f t="shared" si="63"/>
        <v xml:space="preserve"> </v>
      </c>
      <c r="AK148" s="176" t="str">
        <f t="shared" si="64"/>
        <v xml:space="preserve"> </v>
      </c>
      <c r="AL148" s="176">
        <f t="shared" ca="1" si="65"/>
        <v>2378.7152664852078</v>
      </c>
      <c r="AM148" s="176">
        <f t="shared" ca="1" si="66"/>
        <v>2377.4646677394499</v>
      </c>
      <c r="AN148" s="180">
        <v>1</v>
      </c>
      <c r="AO148" s="170">
        <v>1</v>
      </c>
      <c r="AP148" s="42"/>
      <c r="AQ148" s="42"/>
      <c r="AR148" s="42"/>
      <c r="AS148" s="42"/>
      <c r="AT148" s="42"/>
      <c r="AU148" s="64" t="str">
        <f t="shared" ca="1" si="73"/>
        <v>15983.612254253,2377.46466773945</v>
      </c>
      <c r="AV148" s="64" t="str">
        <f t="shared" ca="1" si="55"/>
        <v>15983.612254253,2378.71526648521</v>
      </c>
      <c r="AW148" s="169" t="str">
        <f t="shared" si="56"/>
        <v xml:space="preserve">pl 15983.612254253,0 15983.612254253,76 </v>
      </c>
      <c r="AX148" s="161" t="str">
        <f t="shared" ca="1" si="52"/>
        <v>-text 15983.612254253,48 3.5 90 2377.465</v>
      </c>
      <c r="AY148" s="161" t="str">
        <f t="shared" ca="1" si="53"/>
        <v>-text 15983.612254253,62.5 3.5 90 2378.715</v>
      </c>
      <c r="AZ148" s="42" t="str">
        <f t="shared" si="54"/>
        <v>-text 15983.612254253,23.5 3.5 90 马分15+983.61</v>
      </c>
      <c r="BA148" s="42"/>
      <c r="BB148" s="42"/>
      <c r="BC148" s="42"/>
      <c r="BD148" s="42"/>
      <c r="BE148" s="42"/>
      <c r="BF148" s="42"/>
      <c r="BG148" s="42"/>
      <c r="BH148" s="42"/>
      <c r="BI148" s="42"/>
      <c r="BJ148" s="42"/>
      <c r="BK148" s="42"/>
      <c r="BL148" s="42"/>
      <c r="BM148" s="42"/>
      <c r="BN148" s="42"/>
      <c r="BO148" s="42"/>
      <c r="BP148" s="42"/>
      <c r="BQ148" s="42"/>
      <c r="BR148" s="42"/>
      <c r="BS148" s="42"/>
      <c r="BT148" s="42"/>
      <c r="BU148" s="42"/>
      <c r="BV148" s="42"/>
      <c r="BW148" s="42"/>
      <c r="BX148" s="42"/>
      <c r="BY148" s="42"/>
      <c r="BZ148" s="42"/>
      <c r="CA148" s="42"/>
      <c r="CB148" s="42"/>
      <c r="CC148" s="42"/>
      <c r="CD148" s="42"/>
      <c r="CE148" s="42"/>
      <c r="CF148" s="42"/>
      <c r="CG148" s="42"/>
      <c r="CH148" s="42"/>
      <c r="CI148" s="42"/>
      <c r="CJ148" s="42"/>
      <c r="CK148" s="42"/>
      <c r="CL148" s="42"/>
      <c r="CM148" s="42"/>
      <c r="CN148" s="42"/>
      <c r="CO148" s="42"/>
      <c r="CP148" s="42"/>
      <c r="CQ148" s="42"/>
      <c r="CR148" s="42"/>
      <c r="CS148" s="42"/>
      <c r="CT148" s="42"/>
      <c r="CU148" s="42"/>
      <c r="CV148" s="42"/>
      <c r="CW148" s="42"/>
      <c r="CX148" s="42"/>
      <c r="CY148" s="42"/>
      <c r="CZ148" s="42"/>
      <c r="DA148" s="42"/>
      <c r="DB148" s="42"/>
      <c r="DC148" s="42"/>
      <c r="DD148" s="42"/>
      <c r="DE148" s="42"/>
      <c r="DF148" s="42"/>
      <c r="DG148" s="42"/>
      <c r="DH148" s="42"/>
      <c r="DI148" s="42"/>
      <c r="DJ148" s="42"/>
      <c r="DK148" s="42"/>
      <c r="DL148" s="42"/>
      <c r="DM148" s="42"/>
      <c r="DN148" s="42"/>
      <c r="DO148" s="42"/>
      <c r="DP148" s="42"/>
      <c r="DQ148" s="42"/>
      <c r="DR148" s="42"/>
      <c r="DS148" s="42"/>
      <c r="DT148" s="42"/>
      <c r="DU148" s="42"/>
      <c r="DV148" s="42"/>
      <c r="DW148" s="42"/>
      <c r="DX148" s="42"/>
      <c r="DY148" s="42"/>
      <c r="DZ148" s="42"/>
      <c r="EA148" s="42"/>
      <c r="EB148" s="42"/>
      <c r="EC148" s="42"/>
      <c r="ED148" s="42"/>
      <c r="EE148" s="42"/>
      <c r="EF148" s="42"/>
      <c r="EG148" s="42"/>
      <c r="EH148" s="42"/>
      <c r="EI148" s="42"/>
      <c r="EJ148" s="42"/>
      <c r="EK148" s="42"/>
      <c r="EL148" s="42"/>
      <c r="EM148" s="42"/>
      <c r="EN148" s="42"/>
      <c r="EO148" s="42"/>
      <c r="EP148" s="42"/>
      <c r="EQ148" s="42"/>
      <c r="ER148" s="42"/>
      <c r="ES148" s="42"/>
      <c r="ET148" s="42"/>
      <c r="EU148" s="42"/>
      <c r="EV148" s="42"/>
      <c r="EW148" s="42"/>
      <c r="EX148" s="42"/>
      <c r="EY148" s="42"/>
      <c r="EZ148" s="42"/>
      <c r="FA148" s="42"/>
      <c r="FB148" s="42"/>
      <c r="FC148" s="42"/>
      <c r="FD148" s="42"/>
      <c r="FE148" s="42"/>
      <c r="FF148" s="42"/>
      <c r="FG148" s="42"/>
      <c r="FH148" s="42"/>
      <c r="FI148" s="42"/>
      <c r="FJ148" s="42"/>
      <c r="FK148" s="42"/>
      <c r="FL148" s="42"/>
      <c r="FM148" s="42"/>
      <c r="FN148" s="42"/>
      <c r="FO148" s="42"/>
      <c r="FP148" s="42"/>
      <c r="FQ148" s="42"/>
      <c r="FR148" s="42"/>
      <c r="FS148" s="42"/>
      <c r="FT148" s="42"/>
      <c r="FU148" s="42"/>
      <c r="FV148" s="42"/>
      <c r="FW148" s="42"/>
      <c r="FX148" s="42"/>
      <c r="FY148" s="42"/>
      <c r="FZ148" s="42"/>
      <c r="GA148" s="42"/>
      <c r="GB148" s="42"/>
      <c r="GC148" s="42"/>
      <c r="GD148" s="42"/>
      <c r="GE148" s="42"/>
      <c r="GF148" s="42"/>
      <c r="GG148" s="42"/>
      <c r="GH148" s="42"/>
      <c r="GI148" s="42"/>
      <c r="GJ148" s="42"/>
      <c r="GK148" s="42"/>
      <c r="GL148" s="42"/>
      <c r="GM148" s="42"/>
      <c r="GN148" s="42"/>
      <c r="GO148" s="42"/>
      <c r="GP148" s="42"/>
      <c r="GQ148" s="42"/>
      <c r="GR148" s="42"/>
      <c r="GS148" s="42"/>
      <c r="GT148" s="42"/>
      <c r="GU148" s="42"/>
      <c r="GV148" s="42"/>
      <c r="GW148" s="42"/>
      <c r="GX148" s="42"/>
    </row>
    <row r="149" spans="1:206" s="58" customFormat="1" x14ac:dyDescent="0.25">
      <c r="A149" s="170">
        <v>7</v>
      </c>
      <c r="B149" s="171" t="str">
        <f>线路!B146</f>
        <v>IP93</v>
      </c>
      <c r="C149" s="172">
        <f>线路!E146</f>
        <v>443672.37650000001</v>
      </c>
      <c r="D149" s="172">
        <f>线路!F146</f>
        <v>3037233.4950999999</v>
      </c>
      <c r="E149" s="173">
        <f>线路!G146</f>
        <v>12</v>
      </c>
      <c r="F149" s="173">
        <f>线路!H146</f>
        <v>35.904000000000003</v>
      </c>
      <c r="G149" s="174">
        <f>线路!L146</f>
        <v>16126.495737470468</v>
      </c>
      <c r="H149" s="174">
        <f>线路!M146</f>
        <v>16130.255595558285</v>
      </c>
      <c r="I149" s="174">
        <f>线路!N146</f>
        <v>16134.015453646101</v>
      </c>
      <c r="J149" s="175">
        <f t="shared" si="57"/>
        <v>7.5197161756332207</v>
      </c>
      <c r="K149" s="175">
        <f t="shared" si="67"/>
        <v>146.64334130526549</v>
      </c>
      <c r="L149" s="175">
        <f>IF(A149=1,断面设计!$D$7,IF(A149=2,断面设计!$D$8,IF(A149=3,断面设计!$D$9,IF(A149=4,断面设计!$D$10,IF(A149=5,断面设计!$D$11,IF(A149=6,断面设计!$D$12,IF(A149=7,断面设计!$D$13,IF(A149=8,断面设计!$D$14,IF(A149=9,断面设计!$D$15,IF(A149=10,断面设计!$D$16))))))))))</f>
        <v>1</v>
      </c>
      <c r="M149" s="175">
        <f t="shared" si="68"/>
        <v>0</v>
      </c>
      <c r="N149" s="176">
        <f t="shared" si="74"/>
        <v>1.4E-2</v>
      </c>
      <c r="O149" s="175">
        <f>IF(A149=5,断面设计!$O$37,IF(A149=6,断面设计!$O$38,IF(A149=7,断面设计!$O$39,IF(A149=9,断面设计!$O$40,IF(A149=10,断面设计!$O$41)))))</f>
        <v>2000</v>
      </c>
      <c r="P149" s="177">
        <f>IF(A149=1,断面设计!$K$7,IF(A149=2,断面设计!$K$8,IF(A149=3,断面设计!$K$9,IF(A149=4,断面设计!$K$10,IF(A149=5,断面设计!$K$11,IF(A149=6,断面设计!$K$12,IF(A149=7,断面设计!$K$13,IF(A149=8,断面设计!$K$14,IF(A149=9,断面设计!$K$15,IF(A149=10,断面设计!$K$16))))))))))</f>
        <v>2.6999911281428886</v>
      </c>
      <c r="Q149" s="176">
        <f>IF(A149=5,断面设计!$C$37,IF(A149=6,断面设计!$C$38,IF(A149=7,断面设计!$C$39,IF(A149=9,断面设计!$C$40,IF(A149=10,断面设计!$C$41)))))</f>
        <v>1.2505987457580501</v>
      </c>
      <c r="R149" s="175">
        <f>IF(A149=5,断面设计!$K$37,IF(A149=6,断面设计!$K$38,IF(A149=7,断面设计!$K$39,IF(A149=9,断面设计!$K$40,IF(A149=10,断面设计!$K$41)))))</f>
        <v>2.5011974915161002</v>
      </c>
      <c r="S149" s="175">
        <f>IF(A149=5,断面设计!$L$37,IF(A149=6,断面设计!$L$38,IF(A149=7,断面设计!$L$39,IF(A149=9,断面设计!$L$40,IF(A149=10,断面设计!$L$41)))))</f>
        <v>4.5011974915161002</v>
      </c>
      <c r="T149" s="175">
        <f t="shared" si="69"/>
        <v>0.55567379485800861</v>
      </c>
      <c r="U149" s="175">
        <f t="shared" si="70"/>
        <v>1.0794793842953558</v>
      </c>
      <c r="V149" s="179">
        <f t="shared" si="76"/>
        <v>8.1394859448490021E-4</v>
      </c>
      <c r="W149" s="180"/>
      <c r="X149" s="176">
        <f>IF(AN149=0,IF(AN148=2,(H149-H148-AE148)/O149,(H149-H148)/O149),IF(AN149=1,IF(AN148=2,IF(AE149&lt;9,(H149-H148-AE149-AE148)/断面设计!$J$7,(H149-H148-AE149-AE148)/断面设计!$J$7),(H149-H148-AE149)/O148),(H149-H148)/O149))</f>
        <v>7.3321670652632745E-2</v>
      </c>
      <c r="Y149" s="181">
        <v>0</v>
      </c>
      <c r="Z149" s="182">
        <f t="shared" si="75"/>
        <v>0</v>
      </c>
      <c r="AA149" s="183"/>
      <c r="AB149" s="181">
        <f t="shared" si="58"/>
        <v>1.2505987457580501</v>
      </c>
      <c r="AC149" s="176">
        <f t="shared" si="59"/>
        <v>7.4135619247117646E-2</v>
      </c>
      <c r="AD149" s="176">
        <f t="shared" ca="1" si="71"/>
        <v>2378.6411308659608</v>
      </c>
      <c r="AE149" s="184">
        <f t="shared" si="72"/>
        <v>0</v>
      </c>
      <c r="AF149" s="176" t="str">
        <f t="shared" si="60"/>
        <v xml:space="preserve"> </v>
      </c>
      <c r="AG149" s="176" t="str">
        <f>IF(AE149=0," ",AF149-断面设计!$C$7)</f>
        <v xml:space="preserve"> </v>
      </c>
      <c r="AH149" s="176">
        <f t="shared" ca="1" si="61"/>
        <v>2378.643824743599</v>
      </c>
      <c r="AI149" s="176">
        <f t="shared" ca="1" si="62"/>
        <v>2377.393225997841</v>
      </c>
      <c r="AJ149" s="176">
        <f t="shared" ca="1" si="63"/>
        <v>2378.6392509369171</v>
      </c>
      <c r="AK149" s="176">
        <f t="shared" ca="1" si="64"/>
        <v>2377.3886521911591</v>
      </c>
      <c r="AL149" s="176">
        <f t="shared" ca="1" si="65"/>
        <v>2378.641537840258</v>
      </c>
      <c r="AM149" s="176">
        <f t="shared" ca="1" si="66"/>
        <v>2377.3909390945</v>
      </c>
      <c r="AN149" s="180"/>
      <c r="AO149" s="170">
        <v>1</v>
      </c>
      <c r="AP149" s="42"/>
      <c r="AQ149" s="42"/>
      <c r="AR149" s="42"/>
      <c r="AS149" s="42"/>
      <c r="AT149" s="42"/>
      <c r="AU149" s="64" t="str">
        <f t="shared" ca="1" si="73"/>
        <v>16130.2555955583,2377.3909390945</v>
      </c>
      <c r="AV149" s="64" t="str">
        <f t="shared" ca="1" si="55"/>
        <v>16130.2555955583,2378.64153784026</v>
      </c>
      <c r="AW149" s="169" t="str">
        <f t="shared" si="56"/>
        <v xml:space="preserve">pl 16130.2555955583,0 16130.2555955583,76 </v>
      </c>
      <c r="AX149" s="161" t="str">
        <f t="shared" ca="1" si="52"/>
        <v>-text 16130.2555955583,48 3.5 90 2377.391</v>
      </c>
      <c r="AY149" s="161" t="str">
        <f t="shared" ca="1" si="53"/>
        <v>-text 16130.2555955583,62.5 3.5 90 2378.642</v>
      </c>
      <c r="AZ149" s="42" t="str">
        <f t="shared" si="54"/>
        <v>-text 16130.2555955583,23.5 3.5 90 马分16+130.26</v>
      </c>
      <c r="BA149" s="42"/>
      <c r="BB149" s="42"/>
      <c r="BC149" s="42"/>
      <c r="BD149" s="42"/>
      <c r="BE149" s="42"/>
      <c r="BF149" s="42"/>
      <c r="BG149" s="42"/>
      <c r="BH149" s="42"/>
      <c r="BI149" s="42"/>
      <c r="BJ149" s="42"/>
      <c r="BK149" s="42"/>
      <c r="BL149" s="42"/>
      <c r="BM149" s="42"/>
      <c r="BN149" s="42"/>
      <c r="BO149" s="42"/>
      <c r="BP149" s="42"/>
      <c r="BQ149" s="42"/>
      <c r="BR149" s="42"/>
      <c r="BS149" s="42"/>
      <c r="BT149" s="42"/>
      <c r="BU149" s="42"/>
      <c r="BV149" s="42"/>
      <c r="BW149" s="42"/>
      <c r="BX149" s="42"/>
      <c r="BY149" s="42"/>
      <c r="BZ149" s="42"/>
      <c r="CA149" s="42"/>
      <c r="CB149" s="42"/>
      <c r="CC149" s="42"/>
      <c r="CD149" s="42"/>
      <c r="CE149" s="42"/>
      <c r="CF149" s="42"/>
      <c r="CG149" s="42"/>
      <c r="CH149" s="42"/>
      <c r="CI149" s="42"/>
      <c r="CJ149" s="42"/>
      <c r="CK149" s="42"/>
      <c r="CL149" s="42"/>
      <c r="CM149" s="42"/>
      <c r="CN149" s="42"/>
      <c r="CO149" s="42"/>
      <c r="CP149" s="42"/>
      <c r="CQ149" s="42"/>
      <c r="CR149" s="42"/>
      <c r="CS149" s="42"/>
      <c r="CT149" s="42"/>
      <c r="CU149" s="42"/>
      <c r="CV149" s="42"/>
      <c r="CW149" s="42"/>
      <c r="CX149" s="42"/>
      <c r="CY149" s="42"/>
      <c r="CZ149" s="42"/>
      <c r="DA149" s="42"/>
      <c r="DB149" s="42"/>
      <c r="DC149" s="42"/>
      <c r="DD149" s="42"/>
      <c r="DE149" s="42"/>
      <c r="DF149" s="42"/>
      <c r="DG149" s="42"/>
      <c r="DH149" s="42"/>
      <c r="DI149" s="42"/>
      <c r="DJ149" s="42"/>
      <c r="DK149" s="42"/>
      <c r="DL149" s="42"/>
      <c r="DM149" s="42"/>
      <c r="DN149" s="42"/>
      <c r="DO149" s="42"/>
      <c r="DP149" s="42"/>
      <c r="DQ149" s="42"/>
      <c r="DR149" s="42"/>
      <c r="DS149" s="42"/>
      <c r="DT149" s="42"/>
      <c r="DU149" s="42"/>
      <c r="DV149" s="42"/>
      <c r="DW149" s="42"/>
      <c r="DX149" s="42"/>
      <c r="DY149" s="42"/>
      <c r="DZ149" s="42"/>
      <c r="EA149" s="42"/>
      <c r="EB149" s="42"/>
      <c r="EC149" s="42"/>
      <c r="ED149" s="42"/>
      <c r="EE149" s="42"/>
      <c r="EF149" s="42"/>
      <c r="EG149" s="42"/>
      <c r="EH149" s="42"/>
      <c r="EI149" s="42"/>
      <c r="EJ149" s="42"/>
      <c r="EK149" s="42"/>
      <c r="EL149" s="42"/>
      <c r="EM149" s="42"/>
      <c r="EN149" s="42"/>
      <c r="EO149" s="42"/>
      <c r="EP149" s="42"/>
      <c r="EQ149" s="42"/>
      <c r="ER149" s="42"/>
      <c r="ES149" s="42"/>
      <c r="ET149" s="42"/>
      <c r="EU149" s="42"/>
      <c r="EV149" s="42"/>
      <c r="EW149" s="42"/>
      <c r="EX149" s="42"/>
      <c r="EY149" s="42"/>
      <c r="EZ149" s="42"/>
      <c r="FA149" s="42"/>
      <c r="FB149" s="42"/>
      <c r="FC149" s="42"/>
      <c r="FD149" s="42"/>
      <c r="FE149" s="42"/>
      <c r="FF149" s="42"/>
      <c r="FG149" s="42"/>
      <c r="FH149" s="42"/>
      <c r="FI149" s="42"/>
      <c r="FJ149" s="42"/>
      <c r="FK149" s="42"/>
      <c r="FL149" s="42"/>
      <c r="FM149" s="42"/>
      <c r="FN149" s="42"/>
      <c r="FO149" s="42"/>
      <c r="FP149" s="42"/>
      <c r="FQ149" s="42"/>
      <c r="FR149" s="42"/>
      <c r="FS149" s="42"/>
      <c r="FT149" s="42"/>
      <c r="FU149" s="42"/>
      <c r="FV149" s="42"/>
      <c r="FW149" s="42"/>
      <c r="FX149" s="42"/>
      <c r="FY149" s="42"/>
      <c r="FZ149" s="42"/>
      <c r="GA149" s="42"/>
      <c r="GB149" s="42"/>
      <c r="GC149" s="42"/>
      <c r="GD149" s="42"/>
      <c r="GE149" s="42"/>
      <c r="GF149" s="42"/>
      <c r="GG149" s="42"/>
      <c r="GH149" s="42"/>
      <c r="GI149" s="42"/>
      <c r="GJ149" s="42"/>
      <c r="GK149" s="42"/>
      <c r="GL149" s="42"/>
      <c r="GM149" s="42"/>
      <c r="GN149" s="42"/>
      <c r="GO149" s="42"/>
      <c r="GP149" s="42"/>
      <c r="GQ149" s="42"/>
      <c r="GR149" s="42"/>
      <c r="GS149" s="42"/>
      <c r="GT149" s="42"/>
      <c r="GU149" s="42"/>
      <c r="GV149" s="42"/>
      <c r="GW149" s="42"/>
      <c r="GX149" s="42"/>
    </row>
    <row r="150" spans="1:206" s="58" customFormat="1" x14ac:dyDescent="0.25">
      <c r="A150" s="170">
        <v>7</v>
      </c>
      <c r="B150" s="171" t="str">
        <f>线路!B147</f>
        <v>IP94</v>
      </c>
      <c r="C150" s="172">
        <f>线路!E147</f>
        <v>443571.66230000003</v>
      </c>
      <c r="D150" s="172">
        <f>线路!F147</f>
        <v>3037126.1301000002</v>
      </c>
      <c r="E150" s="173">
        <f>线路!G147</f>
        <v>12</v>
      </c>
      <c r="F150" s="173">
        <f>线路!H147</f>
        <v>37.090000000000003</v>
      </c>
      <c r="G150" s="174">
        <f>线路!L147</f>
        <v>16273.311254155858</v>
      </c>
      <c r="H150" s="174">
        <f>线路!M147</f>
        <v>16277.195309873247</v>
      </c>
      <c r="I150" s="174">
        <f>线路!N147</f>
        <v>16281.079365590635</v>
      </c>
      <c r="J150" s="175">
        <f t="shared" si="57"/>
        <v>7.768111434776074</v>
      </c>
      <c r="K150" s="175">
        <f t="shared" si="67"/>
        <v>146.93971431496175</v>
      </c>
      <c r="L150" s="175">
        <f>IF(A150=1,断面设计!$D$7,IF(A150=2,断面设计!$D$8,IF(A150=3,断面设计!$D$9,IF(A150=4,断面设计!$D$10,IF(A150=5,断面设计!$D$11,IF(A150=6,断面设计!$D$12,IF(A150=7,断面设计!$D$13,IF(A150=8,断面设计!$D$14,IF(A150=9,断面设计!$D$15,IF(A150=10,断面设计!$D$16))))))))))</f>
        <v>1</v>
      </c>
      <c r="M150" s="175">
        <f t="shared" si="68"/>
        <v>0</v>
      </c>
      <c r="N150" s="176">
        <f t="shared" si="74"/>
        <v>1.4E-2</v>
      </c>
      <c r="O150" s="175">
        <f>IF(A150=5,断面设计!$O$37,IF(A150=6,断面设计!$O$38,IF(A150=7,断面设计!$O$39,IF(A150=9,断面设计!$O$40,IF(A150=10,断面设计!$O$41)))))</f>
        <v>2000</v>
      </c>
      <c r="P150" s="177">
        <f>IF(A150=1,断面设计!$K$7,IF(A150=2,断面设计!$K$8,IF(A150=3,断面设计!$K$9,IF(A150=4,断面设计!$K$10,IF(A150=5,断面设计!$K$11,IF(A150=6,断面设计!$K$12,IF(A150=7,断面设计!$K$13,IF(A150=8,断面设计!$K$14,IF(A150=9,断面设计!$K$15,IF(A150=10,断面设计!$K$16))))))))))</f>
        <v>2.6999911281428886</v>
      </c>
      <c r="Q150" s="176">
        <f>IF(A150=5,断面设计!$C$37,IF(A150=6,断面设计!$C$38,IF(A150=7,断面设计!$C$39,IF(A150=9,断面设计!$C$40,IF(A150=10,断面设计!$C$41)))))</f>
        <v>1.2505987457580501</v>
      </c>
      <c r="R150" s="175">
        <f>IF(A150=5,断面设计!$K$37,IF(A150=6,断面设计!$K$38,IF(A150=7,断面设计!$K$39,IF(A150=9,断面设计!$K$40,IF(A150=10,断面设计!$K$41)))))</f>
        <v>2.5011974915161002</v>
      </c>
      <c r="S150" s="175">
        <f>IF(A150=5,断面设计!$L$37,IF(A150=6,断面设计!$L$38,IF(A150=7,断面设计!$L$39,IF(A150=9,断面设计!$L$40,IF(A150=10,断面设计!$L$41)))))</f>
        <v>4.5011974915161002</v>
      </c>
      <c r="T150" s="175">
        <f t="shared" si="69"/>
        <v>0.55567379485800861</v>
      </c>
      <c r="U150" s="175">
        <f t="shared" si="70"/>
        <v>1.0794793842953558</v>
      </c>
      <c r="V150" s="179">
        <f t="shared" si="76"/>
        <v>8.4083537682266732E-4</v>
      </c>
      <c r="W150" s="180"/>
      <c r="X150" s="176">
        <f>IF(AN150=0,IF(AN149=2,(H150-H149-AE149)/O150,(H150-H149)/O150),IF(AN150=1,IF(AN149=2,IF(AE150&lt;9,(H150-H149-AE150-AE149)/断面设计!$J$7,(H150-H149-AE150-AE149)/断面设计!$J$7),(H150-H149-AE150)/O149),(H150-H149)/O150))</f>
        <v>7.3469857157480875E-2</v>
      </c>
      <c r="Y150" s="181">
        <v>0</v>
      </c>
      <c r="Z150" s="182">
        <f t="shared" si="75"/>
        <v>0</v>
      </c>
      <c r="AA150" s="183"/>
      <c r="AB150" s="181">
        <f t="shared" si="58"/>
        <v>1.2505987457580501</v>
      </c>
      <c r="AC150" s="176">
        <f t="shared" si="59"/>
        <v>7.4310692534303543E-2</v>
      </c>
      <c r="AD150" s="176">
        <f t="shared" ca="1" si="71"/>
        <v>2378.5668201734265</v>
      </c>
      <c r="AE150" s="184">
        <f t="shared" si="72"/>
        <v>0</v>
      </c>
      <c r="AF150" s="176" t="str">
        <f t="shared" si="60"/>
        <v xml:space="preserve"> </v>
      </c>
      <c r="AG150" s="176" t="str">
        <f>IF(AE150=0," ",AF150-断面设计!$C$7)</f>
        <v xml:space="preserve"> </v>
      </c>
      <c r="AH150" s="176">
        <f t="shared" ca="1" si="61"/>
        <v>2378.5696030366621</v>
      </c>
      <c r="AI150" s="176">
        <f t="shared" ca="1" si="62"/>
        <v>2377.3190042909041</v>
      </c>
      <c r="AJ150" s="176">
        <f t="shared" ca="1" si="63"/>
        <v>2378.5648781455679</v>
      </c>
      <c r="AK150" s="176">
        <f t="shared" ca="1" si="64"/>
        <v>2377.3142793998099</v>
      </c>
      <c r="AL150" s="176">
        <f t="shared" ca="1" si="65"/>
        <v>2378.567240591115</v>
      </c>
      <c r="AM150" s="176">
        <f t="shared" ca="1" si="66"/>
        <v>2377.316641845357</v>
      </c>
      <c r="AN150" s="180"/>
      <c r="AO150" s="170">
        <v>1</v>
      </c>
      <c r="AP150" s="42"/>
      <c r="AQ150" s="42"/>
      <c r="AR150" s="42"/>
      <c r="AS150" s="42"/>
      <c r="AT150" s="42"/>
      <c r="AU150" s="64" t="str">
        <f t="shared" ca="1" si="73"/>
        <v>16277.1953098732,2377.31664184536</v>
      </c>
      <c r="AV150" s="64" t="str">
        <f t="shared" ca="1" si="55"/>
        <v>16277.1953098732,2378.56724059112</v>
      </c>
      <c r="AW150" s="169" t="str">
        <f t="shared" si="56"/>
        <v xml:space="preserve">pl 16277.1953098732,0 16277.1953098732,76 </v>
      </c>
      <c r="AX150" s="161" t="str">
        <f t="shared" ca="1" si="52"/>
        <v>-text 16277.1953098732,48 3.5 90 2377.317</v>
      </c>
      <c r="AY150" s="161" t="str">
        <f t="shared" ca="1" si="53"/>
        <v>-text 16277.1953098732,62.5 3.5 90 2378.567</v>
      </c>
      <c r="AZ150" s="42" t="str">
        <f t="shared" si="54"/>
        <v>-text 16277.1953098732,23.5 3.5 90 马分16+277.20</v>
      </c>
      <c r="BA150" s="42"/>
      <c r="BB150" s="42"/>
      <c r="BC150" s="42"/>
      <c r="BD150" s="42"/>
      <c r="BE150" s="42"/>
      <c r="BF150" s="42"/>
      <c r="BG150" s="42"/>
      <c r="BH150" s="42"/>
      <c r="BI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2"/>
      <c r="CH150" s="42"/>
      <c r="CI150" s="42"/>
      <c r="CJ150" s="42"/>
      <c r="CK150" s="42"/>
      <c r="CL150" s="42"/>
      <c r="CM150" s="42"/>
      <c r="CN150" s="42"/>
      <c r="CO150" s="42"/>
      <c r="CP150" s="42"/>
      <c r="CQ150" s="42"/>
      <c r="CR150" s="42"/>
      <c r="CS150" s="42"/>
      <c r="CT150" s="42"/>
      <c r="CU150" s="42"/>
      <c r="CV150" s="42"/>
      <c r="CW150" s="42"/>
      <c r="CX150" s="42"/>
      <c r="CY150" s="42"/>
      <c r="CZ150" s="42"/>
      <c r="DA150" s="42"/>
      <c r="DB150" s="42"/>
      <c r="DC150" s="42"/>
      <c r="DD150" s="42"/>
      <c r="DE150" s="42"/>
      <c r="DF150" s="42"/>
      <c r="DG150" s="42"/>
      <c r="DH150" s="42"/>
      <c r="DI150" s="42"/>
      <c r="DJ150" s="42"/>
      <c r="DK150" s="42"/>
      <c r="DL150" s="42"/>
      <c r="DM150" s="42"/>
      <c r="DN150" s="42"/>
      <c r="DO150" s="42"/>
      <c r="DP150" s="42"/>
      <c r="DQ150" s="42"/>
      <c r="DR150" s="42"/>
      <c r="DS150" s="42"/>
      <c r="DT150" s="42"/>
      <c r="DU150" s="42"/>
      <c r="DV150" s="42"/>
      <c r="DW150" s="42"/>
      <c r="DX150" s="42"/>
      <c r="DY150" s="42"/>
      <c r="DZ150" s="42"/>
      <c r="EA150" s="42"/>
      <c r="EB150" s="42"/>
      <c r="EC150" s="42"/>
      <c r="ED150" s="42"/>
      <c r="EE150" s="42"/>
      <c r="EF150" s="42"/>
      <c r="EG150" s="42"/>
      <c r="EH150" s="42"/>
      <c r="EI150" s="42"/>
      <c r="EJ150" s="42"/>
      <c r="EK150" s="42"/>
      <c r="EL150" s="42"/>
      <c r="EM150" s="42"/>
      <c r="EN150" s="42"/>
      <c r="EO150" s="42"/>
      <c r="EP150" s="42"/>
      <c r="EQ150" s="42"/>
      <c r="ER150" s="42"/>
      <c r="ES150" s="42"/>
      <c r="ET150" s="42"/>
      <c r="EU150" s="42"/>
      <c r="EV150" s="42"/>
      <c r="EW150" s="42"/>
      <c r="EX150" s="42"/>
      <c r="EY150" s="42"/>
      <c r="EZ150" s="42"/>
      <c r="FA150" s="42"/>
      <c r="FB150" s="42"/>
      <c r="FC150" s="42"/>
      <c r="FD150" s="42"/>
      <c r="FE150" s="42"/>
      <c r="FF150" s="42"/>
      <c r="FG150" s="42"/>
      <c r="FH150" s="42"/>
      <c r="FI150" s="42"/>
      <c r="FJ150" s="42"/>
      <c r="FK150" s="42"/>
      <c r="FL150" s="42"/>
      <c r="FM150" s="42"/>
      <c r="FN150" s="42"/>
      <c r="FO150" s="42"/>
      <c r="FP150" s="42"/>
      <c r="FQ150" s="42"/>
      <c r="FR150" s="42"/>
      <c r="FS150" s="42"/>
      <c r="FT150" s="42"/>
      <c r="FU150" s="42"/>
      <c r="FV150" s="42"/>
      <c r="FW150" s="42"/>
      <c r="FX150" s="42"/>
      <c r="FY150" s="42"/>
      <c r="FZ150" s="42"/>
      <c r="GA150" s="42"/>
      <c r="GB150" s="42"/>
      <c r="GC150" s="42"/>
      <c r="GD150" s="42"/>
      <c r="GE150" s="42"/>
      <c r="GF150" s="42"/>
      <c r="GG150" s="42"/>
      <c r="GH150" s="42"/>
      <c r="GI150" s="42"/>
      <c r="GJ150" s="42"/>
      <c r="GK150" s="42"/>
      <c r="GL150" s="42"/>
      <c r="GM150" s="42"/>
      <c r="GN150" s="42"/>
      <c r="GO150" s="42"/>
      <c r="GP150" s="42"/>
      <c r="GQ150" s="42"/>
      <c r="GR150" s="42"/>
      <c r="GS150" s="42"/>
      <c r="GT150" s="42"/>
      <c r="GU150" s="42"/>
      <c r="GV150" s="42"/>
      <c r="GW150" s="42"/>
      <c r="GX150" s="42"/>
    </row>
    <row r="151" spans="1:206" s="58" customFormat="1" x14ac:dyDescent="0.25">
      <c r="A151" s="170">
        <v>7</v>
      </c>
      <c r="B151" s="171" t="str">
        <f>线路!B148</f>
        <v>6#隧洞出</v>
      </c>
      <c r="C151" s="172">
        <f>线路!E148</f>
        <v>443217.93949999998</v>
      </c>
      <c r="D151" s="172">
        <f>线路!F148</f>
        <v>3037065.4057999998</v>
      </c>
      <c r="E151" s="173">
        <f>线路!G148</f>
        <v>0</v>
      </c>
      <c r="F151" s="173">
        <f>线路!H148</f>
        <v>0</v>
      </c>
      <c r="G151" s="174">
        <f>线路!L148</f>
        <v>16635.951022227044</v>
      </c>
      <c r="H151" s="174">
        <f>线路!M148</f>
        <v>16635.951022227044</v>
      </c>
      <c r="I151" s="174">
        <f>线路!N148</f>
        <v>16635.951022227044</v>
      </c>
      <c r="J151" s="175">
        <f t="shared" si="57"/>
        <v>0</v>
      </c>
      <c r="K151" s="175">
        <f t="shared" si="67"/>
        <v>358.75571235379721</v>
      </c>
      <c r="L151" s="175">
        <f>IF(A151=1,断面设计!$D$7,IF(A151=2,断面设计!$D$8,IF(A151=3,断面设计!$D$9,IF(A151=4,断面设计!$D$10,IF(A151=5,断面设计!$D$11,IF(A151=6,断面设计!$D$12,IF(A151=7,断面设计!$D$13,IF(A151=8,断面设计!$D$14,IF(A151=9,断面设计!$D$15,IF(A151=10,断面设计!$D$16))))))))))</f>
        <v>1</v>
      </c>
      <c r="M151" s="175">
        <f t="shared" si="68"/>
        <v>0</v>
      </c>
      <c r="N151" s="176">
        <f t="shared" si="74"/>
        <v>1.4E-2</v>
      </c>
      <c r="O151" s="175">
        <f>IF(A151=5,断面设计!$O$37,IF(A151=6,断面设计!$O$38,IF(A151=7,断面设计!$O$39,IF(A151=9,断面设计!$O$40,IF(A151=10,断面设计!$O$41)))))</f>
        <v>2000</v>
      </c>
      <c r="P151" s="177">
        <f>IF(A151=1,断面设计!$K$7,IF(A151=2,断面设计!$K$8,IF(A151=3,断面设计!$K$9,IF(A151=4,断面设计!$K$10,IF(A151=5,断面设计!$K$11,IF(A151=6,断面设计!$K$12,IF(A151=7,断面设计!$K$13,IF(A151=8,断面设计!$K$14,IF(A151=9,断面设计!$K$15,IF(A151=10,断面设计!$K$16))))))))))</f>
        <v>2.6999911281428886</v>
      </c>
      <c r="Q151" s="176">
        <f>IF(A151=5,断面设计!$C$37,IF(A151=6,断面设计!$C$38,IF(A151=7,断面设计!$C$39,IF(A151=9,断面设计!$C$40,IF(A151=10,断面设计!$C$41)))))</f>
        <v>1.2505987457580501</v>
      </c>
      <c r="R151" s="175">
        <f>IF(A151=5,断面设计!$K$37,IF(A151=6,断面设计!$K$38,IF(A151=7,断面设计!$K$39,IF(A151=9,断面设计!$K$40,IF(A151=10,断面设计!$K$41)))))</f>
        <v>2.5011974915161002</v>
      </c>
      <c r="S151" s="175">
        <f>IF(A151=5,断面设计!$L$37,IF(A151=6,断面设计!$L$38,IF(A151=7,断面设计!$L$39,IF(A151=9,断面设计!$L$40,IF(A151=10,断面设计!$L$41)))))</f>
        <v>4.5011974915161002</v>
      </c>
      <c r="T151" s="175">
        <f t="shared" si="69"/>
        <v>0.55567379485800861</v>
      </c>
      <c r="U151" s="175">
        <f t="shared" si="70"/>
        <v>1.0794793842953558</v>
      </c>
      <c r="V151" s="179"/>
      <c r="W151" s="176">
        <f>-0.6*(U151^2/2-U152^2/2)/9.81</f>
        <v>-1.9053790082194346E-2</v>
      </c>
      <c r="X151" s="176">
        <f>IF(AN151=0,IF(AN150=2,(H151-H150-AE150)/O151,(H151-H150)/O151),IF(AN151=1,IF(AN150=2,IF(AE151&lt;9,(H151-H150-AE151-AE150)/断面设计!$J$7,(H151-H150-AE151-AE150)/断面设计!$J$7),(H151-H150-AE151)/O150),(H151-H150)/O151))</f>
        <v>0.17937785617689861</v>
      </c>
      <c r="Y151" s="181">
        <v>0</v>
      </c>
      <c r="Z151" s="182">
        <f t="shared" si="75"/>
        <v>0</v>
      </c>
      <c r="AA151" s="183"/>
      <c r="AB151" s="181">
        <f t="shared" si="58"/>
        <v>1.2505987457580501</v>
      </c>
      <c r="AC151" s="176">
        <f t="shared" si="59"/>
        <v>0.16032406609470426</v>
      </c>
      <c r="AD151" s="176">
        <f t="shared" ca="1" si="71"/>
        <v>2378.4064961073318</v>
      </c>
      <c r="AE151" s="184">
        <v>5</v>
      </c>
      <c r="AF151" s="176">
        <f t="shared" ca="1" si="60"/>
        <v>2378.4064961073318</v>
      </c>
      <c r="AG151" s="176">
        <f ca="1">IF(AE151=0," ",AF151-断面设计!$C$7)</f>
        <v>2376.8065502709319</v>
      </c>
      <c r="AH151" s="176" t="str">
        <f t="shared" si="61"/>
        <v xml:space="preserve"> </v>
      </c>
      <c r="AI151" s="176" t="str">
        <f t="shared" si="62"/>
        <v xml:space="preserve"> </v>
      </c>
      <c r="AJ151" s="176" t="str">
        <f t="shared" si="63"/>
        <v xml:space="preserve"> </v>
      </c>
      <c r="AK151" s="176" t="str">
        <f t="shared" si="64"/>
        <v xml:space="preserve"> </v>
      </c>
      <c r="AL151" s="176">
        <f t="shared" ca="1" si="65"/>
        <v>2378.3874423172497</v>
      </c>
      <c r="AM151" s="176">
        <f t="shared" ca="1" si="66"/>
        <v>2377.1368435714917</v>
      </c>
      <c r="AN151" s="180">
        <v>2</v>
      </c>
      <c r="AO151" s="170">
        <v>1</v>
      </c>
      <c r="AP151" s="42"/>
      <c r="AQ151" s="42"/>
      <c r="AR151" s="42"/>
      <c r="AS151" s="42"/>
      <c r="AT151" s="42"/>
      <c r="AU151" s="64" t="str">
        <f t="shared" ca="1" si="73"/>
        <v>16635.951022227,2377.13684357149</v>
      </c>
      <c r="AV151" s="64" t="str">
        <f t="shared" ca="1" si="55"/>
        <v>16635.951022227,2378.38744231725</v>
      </c>
      <c r="AW151" s="169" t="str">
        <f t="shared" si="56"/>
        <v xml:space="preserve">pl 16635.951022227,0 16635.951022227,76 </v>
      </c>
      <c r="AX151" s="161" t="str">
        <f t="shared" ca="1" si="52"/>
        <v>-text 16635.951022227,48 3.5 90 2377.137</v>
      </c>
      <c r="AY151" s="161" t="str">
        <f t="shared" ca="1" si="53"/>
        <v>-text 16635.951022227,62.5 3.5 90 2378.387</v>
      </c>
      <c r="AZ151" s="42" t="str">
        <f t="shared" si="54"/>
        <v>-text 16635.951022227,23.5 3.5 90 马分16+635.95</v>
      </c>
      <c r="BA151" s="42"/>
      <c r="BB151" s="42"/>
      <c r="BC151" s="42"/>
      <c r="BD151" s="42"/>
      <c r="BE151" s="42"/>
      <c r="BF151" s="42"/>
      <c r="BG151" s="42"/>
      <c r="BH151" s="42"/>
      <c r="BI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2"/>
      <c r="CH151" s="42"/>
      <c r="CI151" s="42"/>
      <c r="CJ151" s="42"/>
      <c r="CK151" s="42"/>
      <c r="CL151" s="42"/>
      <c r="CM151" s="42"/>
      <c r="CN151" s="42"/>
      <c r="CO151" s="42"/>
      <c r="CP151" s="42"/>
      <c r="CQ151" s="42"/>
      <c r="CR151" s="42"/>
      <c r="CS151" s="42"/>
      <c r="CT151" s="42"/>
      <c r="CU151" s="42"/>
      <c r="CV151" s="42"/>
      <c r="CW151" s="42"/>
      <c r="CX151" s="42"/>
      <c r="CY151" s="42"/>
      <c r="CZ151" s="42"/>
      <c r="DA151" s="42"/>
      <c r="DB151" s="42"/>
      <c r="DC151" s="42"/>
      <c r="DD151" s="42"/>
      <c r="DE151" s="42"/>
      <c r="DF151" s="42"/>
      <c r="DG151" s="42"/>
      <c r="DH151" s="42"/>
      <c r="DI151" s="42"/>
      <c r="DJ151" s="42"/>
      <c r="DK151" s="42"/>
      <c r="DL151" s="42"/>
      <c r="DM151" s="42"/>
      <c r="DN151" s="42"/>
      <c r="DO151" s="42"/>
      <c r="DP151" s="42"/>
      <c r="DQ151" s="42"/>
      <c r="DR151" s="42"/>
      <c r="DS151" s="42"/>
      <c r="DT151" s="42"/>
      <c r="DU151" s="42"/>
      <c r="DV151" s="42"/>
      <c r="DW151" s="42"/>
      <c r="DX151" s="42"/>
      <c r="DY151" s="42"/>
      <c r="DZ151" s="42"/>
      <c r="EA151" s="42"/>
      <c r="EB151" s="42"/>
      <c r="EC151" s="42"/>
      <c r="ED151" s="42"/>
      <c r="EE151" s="42"/>
      <c r="EF151" s="42"/>
      <c r="EG151" s="42"/>
      <c r="EH151" s="42"/>
      <c r="EI151" s="42"/>
      <c r="EJ151" s="42"/>
      <c r="EK151" s="42"/>
      <c r="EL151" s="42"/>
      <c r="EM151" s="42"/>
      <c r="EN151" s="42"/>
      <c r="EO151" s="42"/>
      <c r="EP151" s="42"/>
      <c r="EQ151" s="42"/>
      <c r="ER151" s="42"/>
      <c r="ES151" s="42"/>
      <c r="ET151" s="42"/>
      <c r="EU151" s="42"/>
      <c r="EV151" s="42"/>
      <c r="EW151" s="42"/>
      <c r="EX151" s="42"/>
      <c r="EY151" s="42"/>
      <c r="EZ151" s="42"/>
      <c r="FA151" s="42"/>
      <c r="FB151" s="42"/>
      <c r="FC151" s="42"/>
      <c r="FD151" s="42"/>
      <c r="FE151" s="42"/>
      <c r="FF151" s="42"/>
      <c r="FG151" s="42"/>
      <c r="FH151" s="42"/>
      <c r="FI151" s="42"/>
      <c r="FJ151" s="42"/>
      <c r="FK151" s="42"/>
      <c r="FL151" s="42"/>
      <c r="FM151" s="42"/>
      <c r="FN151" s="42"/>
      <c r="FO151" s="42"/>
      <c r="FP151" s="42"/>
      <c r="FQ151" s="42"/>
      <c r="FR151" s="42"/>
      <c r="FS151" s="42"/>
      <c r="FT151" s="42"/>
      <c r="FU151" s="42"/>
      <c r="FV151" s="42"/>
      <c r="FW151" s="42"/>
      <c r="FX151" s="42"/>
      <c r="FY151" s="42"/>
      <c r="FZ151" s="42"/>
      <c r="GA151" s="42"/>
      <c r="GB151" s="42"/>
      <c r="GC151" s="42"/>
      <c r="GD151" s="42"/>
      <c r="GE151" s="42"/>
      <c r="GF151" s="42"/>
      <c r="GG151" s="42"/>
      <c r="GH151" s="42"/>
      <c r="GI151" s="42"/>
      <c r="GJ151" s="42"/>
      <c r="GK151" s="42"/>
      <c r="GL151" s="42"/>
      <c r="GM151" s="42"/>
      <c r="GN151" s="42"/>
      <c r="GO151" s="42"/>
      <c r="GP151" s="42"/>
      <c r="GQ151" s="42"/>
      <c r="GR151" s="42"/>
      <c r="GS151" s="42"/>
      <c r="GT151" s="42"/>
      <c r="GU151" s="42"/>
      <c r="GV151" s="42"/>
      <c r="GW151" s="42"/>
      <c r="GX151" s="42"/>
    </row>
    <row r="152" spans="1:206" s="42" customFormat="1" x14ac:dyDescent="0.25">
      <c r="A152" s="80">
        <v>7</v>
      </c>
      <c r="B152" s="76" t="str">
        <f>线路!B149</f>
        <v>IP95</v>
      </c>
      <c r="C152" s="81">
        <f>线路!E149</f>
        <v>443206.44510000001</v>
      </c>
      <c r="D152" s="81">
        <f>线路!F149</f>
        <v>3037063.4325000001</v>
      </c>
      <c r="E152" s="85">
        <f>线路!G149</f>
        <v>12</v>
      </c>
      <c r="F152" s="85">
        <f>线路!H149</f>
        <v>41.860999999999997</v>
      </c>
      <c r="G152" s="86">
        <f>线路!L149</f>
        <v>16643.023900020489</v>
      </c>
      <c r="H152" s="86">
        <f>线路!M149</f>
        <v>16647.407573689554</v>
      </c>
      <c r="I152" s="86">
        <f>线路!N149</f>
        <v>16651.791247358618</v>
      </c>
      <c r="J152" s="83">
        <f t="shared" si="57"/>
        <v>8.7673473381291842</v>
      </c>
      <c r="K152" s="83">
        <f t="shared" si="67"/>
        <v>11.456551462510106</v>
      </c>
      <c r="L152" s="83">
        <f>IF(A152=1,断面设计!$D$7,IF(A152=2,断面设计!$D$8,IF(A152=3,断面设计!$D$9,IF(A152=4,断面设计!$D$10,IF(A152=5,断面设计!$D$11,IF(A152=6,断面设计!$D$12,IF(A152=7,断面设计!$D$13,IF(A152=8,断面设计!$D$14,IF(A152=9,断面设计!$D$15,IF(A152=10,断面设计!$D$16))))))))))</f>
        <v>1</v>
      </c>
      <c r="M152" s="83">
        <f t="shared" si="68"/>
        <v>1.2</v>
      </c>
      <c r="N152" s="110">
        <f t="shared" si="74"/>
        <v>1.4999999999999999E-2</v>
      </c>
      <c r="O152" s="83">
        <f>IF(A152=1,断面设计!$J$7,IF(A152=2,断面设计!$J$8,IF(A152=3,断面设计!$J$9,IF(A152=4,断面设计!$J$10,IF(A152=5,断面设计!$J$11,IF(A152=6,断面设计!$J$12,IF(A152=7,断面设计!$J$13,IF(A152=8,断面设计!$J$14,IF(A152=9,断面设计!$J$15,IF(A152=10,断面设计!$J$16))))))))))</f>
        <v>5000</v>
      </c>
      <c r="P152" s="111">
        <f>IF(A152=1,断面设计!$K$7,IF(A152=2,断面设计!$K$8,IF(A152=3,断面设计!$K$9,IF(A152=4,断面设计!$K$10,IF(A152=5,断面设计!$K$11,IF(A152=6,断面设计!$K$12,IF(A152=7,断面设计!$K$13,IF(A152=8,断面设计!$K$14,IF(A152=9,断面设计!$K$15,IF(A152=10,断面设计!$K$16))))))))))</f>
        <v>2.6999911281428886</v>
      </c>
      <c r="Q152" s="110">
        <f>IF(A152=1,断面设计!$C$7,IF(A152=2,断面设计!$C$8,IF(A152=3,断面设计!$C$9,IF(A152=4,断面设计!$C$10,IF(A152=5,断面设计!$C$11,IF(A152=6,断面设计!$C$12,IF(A152=7,断面设计!$C$13,IF(A152=8,断面设计!$C$14,IF(A152=9,断面设计!$C$15,IF(A152=10,断面设计!$C$16))))))))))</f>
        <v>1.38033020658117</v>
      </c>
      <c r="R152" s="83">
        <f>IF(A152=1,断面设计!$F$7,IF(A152=2,断面设计!$F$8,IF(A152=3,断面设计!$F$9,IF(A152=4,断面设计!$F$10,IF(A152=5,断面设计!$F$11,IF(A152=6,断面设计!$F$12,IF(A152=7,断面设计!$F$13,IF(A152=8,断面设计!$F$14,IF(A152=9,断面设计!$F$15,IF(A152=10,断面设计!$F$16))))))))))</f>
        <v>3.6667039816216684</v>
      </c>
      <c r="S152" s="83">
        <f>IF(A152=1,断面设计!$G$7,IF(A152=2,断面设计!$G$8,IF(A152=3,断面设计!$G$9,IF(A152=4,断面设计!$G$10,IF(A152=5,断面设计!$G$11,IF(A152=6,断面设计!$G$12,IF(A152=7,断面设计!$G$13,IF(A152=8,断面设计!$G$14,IF(A152=9,断面设计!$G$15,IF(A152=10,断面设计!$G$16))))))))))</f>
        <v>5.3122894194378993</v>
      </c>
      <c r="T152" s="83">
        <f t="shared" si="69"/>
        <v>0.69023046225701445</v>
      </c>
      <c r="U152" s="83">
        <f t="shared" si="70"/>
        <v>0.73635372303732216</v>
      </c>
      <c r="V152" s="123">
        <f t="shared" si="76"/>
        <v>8.7453714911733794E-4</v>
      </c>
      <c r="W152" s="127"/>
      <c r="X152" s="110">
        <f>IF(AN152=0,IF(AN151=2,(H152-H151-AE151)/O152,(H152-H151)/O152),IF(AN152=1,IF(AN151=2,IF(AE152&lt;9,(H152-H151-AE152-AE151)/断面设计!$J$7,(H152-H151-AE152-AE151)/断面设计!$J$7),(H152-H151-AE152)/O151),(H152-H151)/O152))</f>
        <v>1.2913102925020212E-3</v>
      </c>
      <c r="Y152" s="133">
        <v>0</v>
      </c>
      <c r="Z152" s="134">
        <f t="shared" si="75"/>
        <v>0</v>
      </c>
      <c r="AA152" s="142"/>
      <c r="AB152" s="133">
        <f t="shared" si="58"/>
        <v>1.38033020658117</v>
      </c>
      <c r="AC152" s="110">
        <f t="shared" si="59"/>
        <v>2.1658474416193594E-3</v>
      </c>
      <c r="AD152" s="110">
        <f t="shared" ca="1" si="71"/>
        <v>2378.4043302598902</v>
      </c>
      <c r="AE152" s="82">
        <f t="shared" si="72"/>
        <v>0</v>
      </c>
      <c r="AF152" s="110" t="str">
        <f t="shared" si="60"/>
        <v xml:space="preserve"> </v>
      </c>
      <c r="AG152" s="110" t="str">
        <f>IF(AE152=0," ",AF152-断面设计!$C$7)</f>
        <v xml:space="preserve"> </v>
      </c>
      <c r="AH152" s="110">
        <f t="shared" ca="1" si="61"/>
        <v>2378.4060815317735</v>
      </c>
      <c r="AI152" s="110">
        <f t="shared" ca="1" si="62"/>
        <v>2377.0257513251922</v>
      </c>
      <c r="AJ152" s="110">
        <f t="shared" ca="1" si="63"/>
        <v>2378.4034535251562</v>
      </c>
      <c r="AK152" s="110">
        <f t="shared" ca="1" si="64"/>
        <v>2377.023123318575</v>
      </c>
      <c r="AL152" s="110">
        <f t="shared" ca="1" si="65"/>
        <v>2378.4047675284646</v>
      </c>
      <c r="AM152" s="110">
        <f t="shared" ca="1" si="66"/>
        <v>2377.0244373218834</v>
      </c>
      <c r="AN152" s="127"/>
      <c r="AO152" s="80">
        <v>0</v>
      </c>
      <c r="AQ152" s="127"/>
      <c r="AR152" s="162" t="s">
        <v>710</v>
      </c>
      <c r="AU152" s="64" t="str">
        <f t="shared" ca="1" si="73"/>
        <v>16647.4075736896,2377.02443732188</v>
      </c>
      <c r="AV152" s="64" t="str">
        <f t="shared" ca="1" si="55"/>
        <v>16647.4075736896,2378.40476752846</v>
      </c>
      <c r="AW152" s="169" t="str">
        <f t="shared" si="56"/>
        <v xml:space="preserve">pl 16647.4075736896,0 16647.4075736896,76 </v>
      </c>
      <c r="AX152" s="161" t="str">
        <f t="shared" ca="1" si="52"/>
        <v>-text 16647.4075736896,48 3.5 90 2377.024</v>
      </c>
      <c r="AY152" s="161" t="str">
        <f t="shared" ca="1" si="53"/>
        <v>-text 16647.4075736896,62.5 3.5 90 2378.405</v>
      </c>
      <c r="AZ152" s="42" t="str">
        <f t="shared" si="54"/>
        <v>-text 16647.4075736896,23.5 3.5 90 马分16+647.41</v>
      </c>
    </row>
    <row r="153" spans="1:206" s="57" customFormat="1" ht="28.2" customHeight="1" x14ac:dyDescent="0.25">
      <c r="A153" s="102">
        <v>7</v>
      </c>
      <c r="B153" s="88" t="str">
        <f>线路!B150</f>
        <v>梅雨一支渠节制闸(七流量段末)</v>
      </c>
      <c r="C153" s="89">
        <f>线路!E150</f>
        <v>443197.26</v>
      </c>
      <c r="D153" s="89">
        <f>线路!F150</f>
        <v>3037051.8429</v>
      </c>
      <c r="E153" s="90">
        <f>线路!G150</f>
        <v>0</v>
      </c>
      <c r="F153" s="90">
        <f>线路!H150</f>
        <v>0</v>
      </c>
      <c r="G153" s="91">
        <f>线路!L150</f>
        <v>16661.989570256163</v>
      </c>
      <c r="H153" s="91">
        <f>线路!M150</f>
        <v>16661.989570256163</v>
      </c>
      <c r="I153" s="91">
        <f>线路!N150</f>
        <v>16661.989570256163</v>
      </c>
      <c r="J153" s="112">
        <f t="shared" si="57"/>
        <v>0</v>
      </c>
      <c r="K153" s="112">
        <f t="shared" si="67"/>
        <v>14.581996566608723</v>
      </c>
      <c r="L153" s="112">
        <f>IF(A153=1,断面设计!$D$7,IF(A153=2,断面设计!$D$8,IF(A153=3,断面设计!$D$9,IF(A153=4,断面设计!$D$10,IF(A153=5,断面设计!$D$11,IF(A153=6,断面设计!$D$12,IF(A153=7,断面设计!$D$13,IF(A153=8,断面设计!$D$14,IF(A153=9,断面设计!$D$15,IF(A153=10,断面设计!$D$16))))))))))</f>
        <v>1</v>
      </c>
      <c r="M153" s="112">
        <f t="shared" si="68"/>
        <v>1.2</v>
      </c>
      <c r="N153" s="113">
        <f t="shared" si="74"/>
        <v>1.4999999999999999E-2</v>
      </c>
      <c r="O153" s="112">
        <f>IF(A153=1,断面设计!$J$7,IF(A153=2,断面设计!$J$8,IF(A153=3,断面设计!$J$9,IF(A153=4,断面设计!$J$10,IF(A153=5,断面设计!$J$11,IF(A153=6,断面设计!$J$12,IF(A153=7,断面设计!$J$13,IF(A153=8,断面设计!$J$14,IF(A153=9,断面设计!$J$15,IF(A153=10,断面设计!$J$16))))))))))</f>
        <v>5000</v>
      </c>
      <c r="P153" s="114">
        <f>IF(A153=1,断面设计!$K$7,IF(A153=2,断面设计!$K$8,IF(A153=3,断面设计!$K$9,IF(A153=4,断面设计!$K$10,IF(A153=5,断面设计!$K$11,IF(A153=6,断面设计!$K$12,IF(A153=7,断面设计!$K$13,IF(A153=8,断面设计!$K$14,IF(A153=9,断面设计!$K$15,IF(A153=10,断面设计!$K$16))))))))))</f>
        <v>2.6999911281428886</v>
      </c>
      <c r="Q153" s="113">
        <f>IF(A153=1,断面设计!$C$7,IF(A153=2,断面设计!$C$8,IF(A153=3,断面设计!$C$9,IF(A153=4,断面设计!$C$10,IF(A153=5,断面设计!$C$11,IF(A153=6,断面设计!$C$12,IF(A153=7,断面设计!$C$13,IF(A153=8,断面设计!$C$14,IF(A153=9,断面设计!$C$15,IF(A153=10,断面设计!$C$16))))))))))</f>
        <v>1.38033020658117</v>
      </c>
      <c r="R153" s="112">
        <f>IF(A153=1,断面设计!$F$7,IF(A153=2,断面设计!$F$8,IF(A153=3,断面设计!$F$9,IF(A153=4,断面设计!$F$10,IF(A153=5,断面设计!$F$11,IF(A153=6,断面设计!$F$12,IF(A153=7,断面设计!$F$13,IF(A153=8,断面设计!$F$14,IF(A153=9,断面设计!$F$15,IF(A153=10,断面设计!$F$16))))))))))</f>
        <v>3.6667039816216684</v>
      </c>
      <c r="S153" s="112">
        <f>IF(A153=1,断面设计!$G$7,IF(A153=2,断面设计!$G$8,IF(A153=3,断面设计!$G$9,IF(A153=4,断面设计!$G$10,IF(A153=5,断面设计!$G$11,IF(A153=6,断面设计!$G$12,IF(A153=7,断面设计!$G$13,IF(A153=8,断面设计!$G$14,IF(A153=9,断面设计!$G$15,IF(A153=10,断面设计!$G$16))))))))))</f>
        <v>5.3122894194378993</v>
      </c>
      <c r="T153" s="112">
        <f t="shared" si="69"/>
        <v>0.69023046225701445</v>
      </c>
      <c r="U153" s="112">
        <f t="shared" si="70"/>
        <v>0.73635372303732216</v>
      </c>
      <c r="V153" s="124"/>
      <c r="W153" s="128"/>
      <c r="X153" s="113">
        <f>IF(AN153=0,IF(AN152=2,(H153-H152-AE152)/O153,(H153-H152)/O153),IF(AN153=1,IF(AN152=2,IF(AE153&lt;9,(H153-H152-AE153-AE152)/断面设计!$J$7,(H153-H152-AE153-AE152)/断面设计!$J$7),(H153-H152-AE153)/O152),(H153-H152)/O153))</f>
        <v>2.9163993133217445E-3</v>
      </c>
      <c r="Y153" s="136">
        <v>0</v>
      </c>
      <c r="Z153" s="137">
        <f t="shared" si="75"/>
        <v>0</v>
      </c>
      <c r="AA153" s="148">
        <v>0.05</v>
      </c>
      <c r="AB153" s="136">
        <f t="shared" si="58"/>
        <v>1.38033020658117</v>
      </c>
      <c r="AC153" s="113">
        <f t="shared" si="59"/>
        <v>5.2916399313321746E-2</v>
      </c>
      <c r="AD153" s="113">
        <f t="shared" ca="1" si="71"/>
        <v>2378.3514138605769</v>
      </c>
      <c r="AE153" s="138">
        <f t="shared" si="72"/>
        <v>0</v>
      </c>
      <c r="AF153" s="113" t="str">
        <f t="shared" si="60"/>
        <v xml:space="preserve"> </v>
      </c>
      <c r="AG153" s="113" t="str">
        <f>IF(AE153=0," ",AF153-断面设计!$C$7)</f>
        <v xml:space="preserve"> </v>
      </c>
      <c r="AH153" s="113" t="str">
        <f t="shared" si="61"/>
        <v xml:space="preserve"> </v>
      </c>
      <c r="AI153" s="113" t="str">
        <f t="shared" si="62"/>
        <v xml:space="preserve"> </v>
      </c>
      <c r="AJ153" s="113" t="str">
        <f t="shared" si="63"/>
        <v xml:space="preserve"> </v>
      </c>
      <c r="AK153" s="113" t="str">
        <f t="shared" si="64"/>
        <v xml:space="preserve"> </v>
      </c>
      <c r="AL153" s="113">
        <f t="shared" ca="1" si="65"/>
        <v>2378.3514138605769</v>
      </c>
      <c r="AM153" s="113">
        <f t="shared" ca="1" si="66"/>
        <v>2376.9710836539957</v>
      </c>
      <c r="AN153" s="128"/>
      <c r="AO153" s="102">
        <v>0</v>
      </c>
      <c r="AP153" s="42"/>
      <c r="AQ153" s="162" t="s">
        <v>711</v>
      </c>
      <c r="AR153" s="127">
        <v>2378.39</v>
      </c>
      <c r="AS153" s="42"/>
      <c r="AT153" s="42"/>
      <c r="AU153" s="64" t="str">
        <f t="shared" ca="1" si="73"/>
        <v>16661.9895702562,2376.971083654</v>
      </c>
      <c r="AV153" s="64" t="str">
        <f t="shared" ca="1" si="55"/>
        <v>16661.9895702562,2378.35141386058</v>
      </c>
      <c r="AW153" s="169" t="str">
        <f t="shared" si="56"/>
        <v xml:space="preserve">pl 16661.9895702562,0 16661.9895702562,76 </v>
      </c>
      <c r="AX153" s="161" t="str">
        <f t="shared" ca="1" si="52"/>
        <v>-text 16661.9895702562,48 3.5 90 2376.971</v>
      </c>
      <c r="AY153" s="161" t="str">
        <f t="shared" ca="1" si="53"/>
        <v>-text 16661.9895702562,62.5 3.5 90 2378.351</v>
      </c>
      <c r="AZ153" s="42" t="str">
        <f t="shared" si="54"/>
        <v>-text 16661.9895702562,23.5 3.5 90 马分16+661.99</v>
      </c>
      <c r="BA153" s="42"/>
      <c r="BB153" s="42"/>
      <c r="BC153" s="42"/>
      <c r="BD153" s="42"/>
      <c r="BE153" s="42"/>
      <c r="BF153" s="42"/>
      <c r="BG153" s="42"/>
      <c r="BH153" s="42"/>
      <c r="BI153" s="42"/>
      <c r="BJ153" s="42"/>
      <c r="BK153" s="42"/>
      <c r="BL153" s="42"/>
      <c r="BM153" s="42"/>
      <c r="BN153" s="42"/>
      <c r="BO153" s="42"/>
      <c r="BP153" s="42"/>
      <c r="BQ153" s="42"/>
      <c r="BR153" s="42"/>
      <c r="BS153" s="42"/>
      <c r="BT153" s="42"/>
      <c r="BU153" s="42"/>
      <c r="BV153" s="42"/>
      <c r="BW153" s="42"/>
      <c r="BX153" s="42"/>
      <c r="BY153" s="42"/>
      <c r="BZ153" s="42"/>
      <c r="CA153" s="42"/>
      <c r="CB153" s="42"/>
      <c r="CC153" s="42"/>
      <c r="CD153" s="42"/>
      <c r="CE153" s="42"/>
      <c r="CF153" s="42"/>
      <c r="CG153" s="42"/>
      <c r="CH153" s="42"/>
      <c r="CI153" s="42"/>
      <c r="CJ153" s="42"/>
      <c r="CK153" s="42"/>
      <c r="CL153" s="42"/>
      <c r="CM153" s="42"/>
      <c r="CN153" s="42"/>
      <c r="CO153" s="42"/>
      <c r="CP153" s="42"/>
      <c r="CQ153" s="42"/>
      <c r="CR153" s="42"/>
      <c r="CS153" s="42"/>
      <c r="CT153" s="42"/>
      <c r="CU153" s="42"/>
      <c r="CV153" s="42"/>
      <c r="CW153" s="42"/>
      <c r="CX153" s="42"/>
      <c r="CY153" s="42"/>
      <c r="CZ153" s="42"/>
      <c r="DA153" s="42"/>
      <c r="DB153" s="42"/>
      <c r="DC153" s="42"/>
      <c r="DD153" s="42"/>
      <c r="DE153" s="42"/>
      <c r="DF153" s="42"/>
      <c r="DG153" s="42"/>
      <c r="DH153" s="42"/>
      <c r="DI153" s="42"/>
      <c r="DJ153" s="42"/>
      <c r="DK153" s="42"/>
      <c r="DL153" s="42"/>
      <c r="DM153" s="42"/>
      <c r="DN153" s="42"/>
      <c r="DO153" s="42"/>
      <c r="DP153" s="42"/>
      <c r="DQ153" s="42"/>
      <c r="DR153" s="42"/>
      <c r="DS153" s="42"/>
      <c r="DT153" s="42"/>
      <c r="DU153" s="42"/>
      <c r="DV153" s="42"/>
      <c r="DW153" s="42"/>
      <c r="DX153" s="42"/>
      <c r="DY153" s="42"/>
      <c r="DZ153" s="42"/>
      <c r="EA153" s="42"/>
      <c r="EB153" s="42"/>
      <c r="EC153" s="42"/>
      <c r="ED153" s="42"/>
      <c r="EE153" s="42"/>
      <c r="EF153" s="42"/>
      <c r="EG153" s="42"/>
      <c r="EH153" s="42"/>
      <c r="EI153" s="42"/>
      <c r="EJ153" s="42"/>
      <c r="EK153" s="42"/>
      <c r="EL153" s="42"/>
      <c r="EM153" s="42"/>
      <c r="EN153" s="42"/>
      <c r="EO153" s="42"/>
      <c r="EP153" s="42"/>
      <c r="EQ153" s="42"/>
      <c r="ER153" s="42"/>
      <c r="ES153" s="42"/>
      <c r="ET153" s="42"/>
      <c r="EU153" s="42"/>
      <c r="EV153" s="42"/>
      <c r="EW153" s="42"/>
      <c r="EX153" s="42"/>
      <c r="EY153" s="42"/>
      <c r="EZ153" s="42"/>
      <c r="FA153" s="42"/>
      <c r="FB153" s="42"/>
      <c r="FC153" s="42"/>
      <c r="FD153" s="42"/>
      <c r="FE153" s="42"/>
      <c r="FF153" s="42"/>
      <c r="FG153" s="42"/>
      <c r="FH153" s="42"/>
      <c r="FI153" s="42"/>
      <c r="FJ153" s="42"/>
      <c r="FK153" s="42"/>
      <c r="FL153" s="42"/>
      <c r="FM153" s="42"/>
      <c r="FN153" s="42"/>
      <c r="FO153" s="42"/>
      <c r="FP153" s="42"/>
      <c r="FQ153" s="42"/>
      <c r="FR153" s="42"/>
      <c r="FS153" s="42"/>
      <c r="FT153" s="42"/>
      <c r="FU153" s="42"/>
      <c r="FV153" s="42"/>
      <c r="FW153" s="42"/>
      <c r="FX153" s="42"/>
      <c r="FY153" s="42"/>
      <c r="FZ153" s="42"/>
      <c r="GA153" s="42"/>
      <c r="GB153" s="42"/>
      <c r="GC153" s="42"/>
      <c r="GD153" s="42"/>
      <c r="GE153" s="42"/>
      <c r="GF153" s="42"/>
      <c r="GG153" s="42"/>
      <c r="GH153" s="42"/>
      <c r="GI153" s="42"/>
      <c r="GJ153" s="42"/>
      <c r="GK153" s="42"/>
      <c r="GL153" s="42"/>
      <c r="GM153" s="42"/>
      <c r="GN153" s="42"/>
      <c r="GO153" s="42"/>
      <c r="GP153" s="42"/>
      <c r="GQ153" s="42"/>
      <c r="GR153" s="42"/>
      <c r="GS153" s="42"/>
      <c r="GT153" s="42"/>
      <c r="GU153" s="42"/>
      <c r="GV153" s="42"/>
      <c r="GW153" s="42"/>
      <c r="GX153" s="42"/>
    </row>
    <row r="154" spans="1:206" s="55" customFormat="1" x14ac:dyDescent="0.25">
      <c r="A154" s="92">
        <v>8</v>
      </c>
      <c r="B154" s="93" t="str">
        <f>线路!B151</f>
        <v>12#倒虹吸进</v>
      </c>
      <c r="C154" s="94">
        <f>线路!E151</f>
        <v>443186.67599999998</v>
      </c>
      <c r="D154" s="94">
        <f>线路!F151</f>
        <v>3037038.4882999999</v>
      </c>
      <c r="E154" s="95">
        <f>线路!G151</f>
        <v>0</v>
      </c>
      <c r="F154" s="95">
        <f>线路!H151</f>
        <v>0</v>
      </c>
      <c r="G154" s="96">
        <f>线路!L151</f>
        <v>16679.029711017491</v>
      </c>
      <c r="H154" s="96">
        <f>线路!M151</f>
        <v>16679.029711017491</v>
      </c>
      <c r="I154" s="96">
        <f>线路!N151</f>
        <v>16679.029711017491</v>
      </c>
      <c r="J154" s="115">
        <f t="shared" si="57"/>
        <v>0</v>
      </c>
      <c r="K154" s="115">
        <f t="shared" si="67"/>
        <v>17.040140761328075</v>
      </c>
      <c r="L154" s="115">
        <f>IF(A154=1,断面设计!$D$7,IF(A154=2,断面设计!$D$8,IF(A154=3,断面设计!$D$9,IF(A154=4,断面设计!$D$10,IF(A154=5,断面设计!$D$11,IF(A154=6,断面设计!$D$12,IF(A154=7,断面设计!$D$13,IF(A154=8,断面设计!$D$14,IF(A154=9,断面设计!$D$15,IF(A154=10,断面设计!$D$16))))))))))</f>
        <v>1</v>
      </c>
      <c r="M154" s="115">
        <f t="shared" si="68"/>
        <v>1.2</v>
      </c>
      <c r="N154" s="116">
        <f t="shared" si="74"/>
        <v>1.4999999999999999E-2</v>
      </c>
      <c r="O154" s="115">
        <f>IF(A154=1,断面设计!$J$7,IF(A154=2,断面设计!$J$8,IF(A154=3,断面设计!$J$9,IF(A154=4,断面设计!$J$10,IF(A154=5,断面设计!$J$11,IF(A154=6,断面设计!$J$12,IF(A154=7,断面设计!$J$13,IF(A154=8,断面设计!$J$14,IF(A154=9,断面设计!$J$15,IF(A154=10,断面设计!$J$16))))))))))</f>
        <v>5000</v>
      </c>
      <c r="P154" s="117">
        <f>IF(A154=1,断面设计!$K$7,IF(A154=2,断面设计!$K$8,IF(A154=3,断面设计!$K$9,IF(A154=4,断面设计!$K$10,IF(A154=5,断面设计!$K$11,IF(A154=6,断面设计!$K$12,IF(A154=7,断面设计!$K$13,IF(A154=8,断面设计!$K$14,IF(A154=9,断面设计!$K$15,IF(A154=10,断面设计!$K$16))))))))))</f>
        <v>2.1008495889219181</v>
      </c>
      <c r="Q154" s="116">
        <f>IF(A154=1,断面设计!$C$7,IF(A154=2,断面设计!$C$8,IF(A154=3,断面设计!$C$9,IF(A154=4,断面设计!$C$10,IF(A154=5,断面设计!$C$11,IF(A154=6,断面设计!$C$12,IF(A154=7,断面设计!$C$13,IF(A154=8,断面设计!$C$14,IF(A154=9,断面设计!$C$15,IF(A154=10,断面设计!$C$16))))))))))</f>
        <v>1.22814064333749</v>
      </c>
      <c r="R154" s="115">
        <f>IF(A154=1,断面设计!$F$7,IF(A154=2,断面设计!$F$8,IF(A154=3,断面设计!$F$9,IF(A154=4,断面设计!$F$10,IF(A154=5,断面设计!$F$11,IF(A154=6,断面设计!$F$12,IF(A154=7,断面设计!$F$13,IF(A154=8,断面设计!$F$14,IF(A154=9,断面设计!$F$15,IF(A154=10,断面设计!$F$16))))))))))</f>
        <v>3.0381359711183982</v>
      </c>
      <c r="S154" s="115">
        <f>IF(A154=1,断面设计!$G$7,IF(A154=2,断面设计!$G$8,IF(A154=3,断面设计!$G$9,IF(A154=4,断面设计!$G$10,IF(A154=5,断面设计!$G$11,IF(A154=6,断面设计!$G$12,IF(A154=7,断面设计!$G$13,IF(A154=8,断面设计!$G$14,IF(A154=9,断面设计!$G$15,IF(A154=10,断面设计!$G$16))))))))))</f>
        <v>4.8368340246377688</v>
      </c>
      <c r="T154" s="115">
        <f t="shared" si="69"/>
        <v>0.62812491717573971</v>
      </c>
      <c r="U154" s="115">
        <f t="shared" si="70"/>
        <v>0.69149294465203071</v>
      </c>
      <c r="V154" s="125"/>
      <c r="W154" s="178"/>
      <c r="X154" s="116"/>
      <c r="Y154" s="139">
        <v>0</v>
      </c>
      <c r="Z154" s="140">
        <f t="shared" si="75"/>
        <v>0</v>
      </c>
      <c r="AA154" s="143"/>
      <c r="AB154" s="139">
        <f t="shared" si="58"/>
        <v>1.22814064333749</v>
      </c>
      <c r="AC154" s="116">
        <f t="shared" si="59"/>
        <v>0</v>
      </c>
      <c r="AD154" s="116">
        <f t="shared" ca="1" si="71"/>
        <v>2378.3514138605769</v>
      </c>
      <c r="AE154" s="141">
        <f t="shared" si="72"/>
        <v>0</v>
      </c>
      <c r="AF154" s="116" t="str">
        <f t="shared" si="60"/>
        <v xml:space="preserve"> </v>
      </c>
      <c r="AG154" s="116" t="str">
        <f>IF(AE154=0," ",AF154-断面设计!$C$7)</f>
        <v xml:space="preserve"> </v>
      </c>
      <c r="AH154" s="116" t="str">
        <f t="shared" si="61"/>
        <v xml:space="preserve"> </v>
      </c>
      <c r="AI154" s="116" t="str">
        <f t="shared" si="62"/>
        <v xml:space="preserve"> </v>
      </c>
      <c r="AJ154" s="116" t="str">
        <f t="shared" si="63"/>
        <v xml:space="preserve"> </v>
      </c>
      <c r="AK154" s="116" t="str">
        <f t="shared" si="64"/>
        <v xml:space="preserve"> </v>
      </c>
      <c r="AL154" s="116">
        <f t="shared" ca="1" si="65"/>
        <v>2378.3514138605769</v>
      </c>
      <c r="AM154" s="116">
        <f t="shared" ca="1" si="66"/>
        <v>2377.1232732172393</v>
      </c>
      <c r="AN154" s="178"/>
      <c r="AO154" s="92">
        <v>0</v>
      </c>
      <c r="AP154" s="42"/>
      <c r="AQ154" s="42"/>
      <c r="AR154" s="42"/>
      <c r="AS154" s="42"/>
      <c r="AT154" s="42"/>
      <c r="AU154" s="64" t="str">
        <f t="shared" ca="1" si="73"/>
        <v>16679.0297110175,2377.12327321724</v>
      </c>
      <c r="AV154" s="64" t="str">
        <f t="shared" ca="1" si="55"/>
        <v>16679.0297110175,2378.35141386058</v>
      </c>
      <c r="AW154" s="169" t="str">
        <f t="shared" si="56"/>
        <v xml:space="preserve">pl 16679.0297110175,0 16679.0297110175,76 </v>
      </c>
      <c r="AX154" s="161" t="str">
        <f t="shared" ca="1" si="52"/>
        <v>-text 16679.0297110175,48 3.5 90 2377.123</v>
      </c>
      <c r="AY154" s="161" t="str">
        <f t="shared" ca="1" si="53"/>
        <v>-text 16679.0297110175,62.5 3.5 90 2378.351</v>
      </c>
      <c r="AZ154" s="42" t="str">
        <f t="shared" si="54"/>
        <v>-text 16679.0297110175,23.5 3.5 90 马分16+679.03</v>
      </c>
      <c r="BA154" s="42"/>
      <c r="BB154" s="42"/>
      <c r="BC154" s="42"/>
      <c r="BD154" s="42"/>
      <c r="BE154" s="42"/>
      <c r="BF154" s="42"/>
      <c r="BG154" s="42"/>
      <c r="BH154" s="42"/>
      <c r="BI154" s="42"/>
      <c r="BJ154" s="42"/>
      <c r="BK154" s="42"/>
      <c r="BL154" s="42"/>
      <c r="BM154" s="42"/>
      <c r="BN154" s="42"/>
      <c r="BO154" s="42"/>
      <c r="BP154" s="42"/>
      <c r="BQ154" s="42"/>
      <c r="BR154" s="42"/>
      <c r="BS154" s="42"/>
      <c r="BT154" s="42"/>
      <c r="BU154" s="42"/>
      <c r="BV154" s="42"/>
      <c r="BW154" s="42"/>
      <c r="BX154" s="42"/>
      <c r="BY154" s="42"/>
      <c r="BZ154" s="42"/>
      <c r="CA154" s="42"/>
      <c r="CB154" s="42"/>
      <c r="CC154" s="42"/>
      <c r="CD154" s="42"/>
      <c r="CE154" s="42"/>
      <c r="CF154" s="42"/>
      <c r="CG154" s="42"/>
      <c r="CH154" s="42"/>
      <c r="CI154" s="42"/>
      <c r="CJ154" s="42"/>
      <c r="CK154" s="42"/>
      <c r="CL154" s="42"/>
      <c r="CM154" s="42"/>
      <c r="CN154" s="42"/>
      <c r="CO154" s="42"/>
      <c r="CP154" s="42"/>
      <c r="CQ154" s="42"/>
      <c r="CR154" s="42"/>
      <c r="CS154" s="42"/>
      <c r="CT154" s="42"/>
      <c r="CU154" s="42"/>
      <c r="CV154" s="42"/>
      <c r="CW154" s="42"/>
      <c r="CX154" s="42"/>
      <c r="CY154" s="42"/>
      <c r="CZ154" s="42"/>
      <c r="DA154" s="42"/>
      <c r="DB154" s="42"/>
      <c r="DC154" s="42"/>
      <c r="DD154" s="42"/>
      <c r="DE154" s="42"/>
      <c r="DF154" s="42"/>
      <c r="DG154" s="42"/>
      <c r="DH154" s="42"/>
      <c r="DI154" s="42"/>
      <c r="DJ154" s="42"/>
      <c r="DK154" s="42"/>
      <c r="DL154" s="42"/>
      <c r="DM154" s="42"/>
      <c r="DN154" s="42"/>
      <c r="DO154" s="42"/>
      <c r="DP154" s="42"/>
      <c r="DQ154" s="42"/>
      <c r="DR154" s="42"/>
      <c r="DS154" s="42"/>
      <c r="DT154" s="42"/>
      <c r="DU154" s="42"/>
      <c r="DV154" s="42"/>
      <c r="DW154" s="42"/>
      <c r="DX154" s="42"/>
      <c r="DY154" s="42"/>
      <c r="DZ154" s="42"/>
      <c r="EA154" s="42"/>
      <c r="EB154" s="42"/>
      <c r="EC154" s="42"/>
      <c r="ED154" s="42"/>
      <c r="EE154" s="42"/>
      <c r="EF154" s="42"/>
      <c r="EG154" s="42"/>
      <c r="EH154" s="42"/>
      <c r="EI154" s="42"/>
      <c r="EJ154" s="42"/>
      <c r="EK154" s="42"/>
      <c r="EL154" s="42"/>
      <c r="EM154" s="42"/>
      <c r="EN154" s="42"/>
      <c r="EO154" s="42"/>
      <c r="EP154" s="42"/>
      <c r="EQ154" s="42"/>
      <c r="ER154" s="42"/>
      <c r="ES154" s="42"/>
      <c r="ET154" s="42"/>
      <c r="EU154" s="42"/>
      <c r="EV154" s="42"/>
      <c r="EW154" s="42"/>
      <c r="EX154" s="42"/>
      <c r="EY154" s="42"/>
      <c r="EZ154" s="42"/>
      <c r="FA154" s="42"/>
      <c r="FB154" s="42"/>
      <c r="FC154" s="42"/>
      <c r="FD154" s="42"/>
      <c r="FE154" s="42"/>
      <c r="FF154" s="42"/>
      <c r="FG154" s="42"/>
      <c r="FH154" s="42"/>
      <c r="FI154" s="42"/>
      <c r="FJ154" s="42"/>
      <c r="FK154" s="42"/>
      <c r="FL154" s="42"/>
      <c r="FM154" s="42"/>
      <c r="FN154" s="42"/>
      <c r="FO154" s="42"/>
      <c r="FP154" s="42"/>
      <c r="FQ154" s="42"/>
      <c r="FR154" s="42"/>
      <c r="FS154" s="42"/>
      <c r="FT154" s="42"/>
      <c r="FU154" s="42"/>
      <c r="FV154" s="42"/>
      <c r="FW154" s="42"/>
      <c r="FX154" s="42"/>
      <c r="FY154" s="42"/>
      <c r="FZ154" s="42"/>
      <c r="GA154" s="42"/>
      <c r="GB154" s="42"/>
      <c r="GC154" s="42"/>
      <c r="GD154" s="42"/>
      <c r="GE154" s="42"/>
      <c r="GF154" s="42"/>
      <c r="GG154" s="42"/>
      <c r="GH154" s="42"/>
      <c r="GI154" s="42"/>
      <c r="GJ154" s="42"/>
      <c r="GK154" s="42"/>
      <c r="GL154" s="42"/>
      <c r="GM154" s="42"/>
      <c r="GN154" s="42"/>
      <c r="GO154" s="42"/>
      <c r="GP154" s="42"/>
      <c r="GQ154" s="42"/>
      <c r="GR154" s="42"/>
      <c r="GS154" s="42"/>
      <c r="GT154" s="42"/>
      <c r="GU154" s="42"/>
      <c r="GV154" s="42"/>
      <c r="GW154" s="42"/>
      <c r="GX154" s="42"/>
    </row>
    <row r="155" spans="1:206" s="55" customFormat="1" x14ac:dyDescent="0.25">
      <c r="A155" s="92">
        <v>8</v>
      </c>
      <c r="B155" s="93" t="str">
        <f>线路!B152</f>
        <v>IP96</v>
      </c>
      <c r="C155" s="94">
        <f>线路!E152</f>
        <v>442924.7634</v>
      </c>
      <c r="D155" s="94">
        <f>线路!F152</f>
        <v>3036708.0103000002</v>
      </c>
      <c r="E155" s="95">
        <f>线路!G152</f>
        <v>4.8</v>
      </c>
      <c r="F155" s="95">
        <f>线路!H152</f>
        <v>10.055999999999999</v>
      </c>
      <c r="G155" s="96">
        <f>线路!L152</f>
        <v>17100.287278483014</v>
      </c>
      <c r="H155" s="96">
        <f>线路!M152</f>
        <v>17100.708503226007</v>
      </c>
      <c r="I155" s="96">
        <f>线路!N152</f>
        <v>17101.129727969001</v>
      </c>
      <c r="J155" s="115">
        <f t="shared" si="57"/>
        <v>0.84244948598643532</v>
      </c>
      <c r="K155" s="115">
        <f t="shared" si="67"/>
        <v>421.67879220851682</v>
      </c>
      <c r="L155" s="115">
        <f>IF(A155=1,断面设计!$D$7,IF(A155=2,断面设计!$D$8,IF(A155=3,断面设计!$D$9,IF(A155=4,断面设计!$D$10,IF(A155=5,断面设计!$D$11,IF(A155=6,断面设计!$D$12,IF(A155=7,断面设计!$D$13,IF(A155=8,断面设计!$D$14,IF(A155=9,断面设计!$D$15,IF(A155=10,断面设计!$D$16))))))))))</f>
        <v>1</v>
      </c>
      <c r="M155" s="115">
        <f t="shared" si="68"/>
        <v>1.2</v>
      </c>
      <c r="N155" s="116">
        <f t="shared" si="74"/>
        <v>1.4999999999999999E-2</v>
      </c>
      <c r="O155" s="115">
        <f>IF(A155=1,断面设计!$J$7,IF(A155=2,断面设计!$J$8,IF(A155=3,断面设计!$J$9,IF(A155=4,断面设计!$J$10,IF(A155=5,断面设计!$J$11,IF(A155=6,断面设计!$J$12,IF(A155=7,断面设计!$J$13,IF(A155=8,断面设计!$J$14,IF(A155=9,断面设计!$J$15,IF(A155=10,断面设计!$J$16))))))))))</f>
        <v>5000</v>
      </c>
      <c r="P155" s="117">
        <f>IF(A155=1,断面设计!$K$7,IF(A155=2,断面设计!$K$8,IF(A155=3,断面设计!$K$9,IF(A155=4,断面设计!$K$10,IF(A155=5,断面设计!$K$11,IF(A155=6,断面设计!$K$12,IF(A155=7,断面设计!$K$13,IF(A155=8,断面设计!$K$14,IF(A155=9,断面设计!$K$15,IF(A155=10,断面设计!$K$16))))))))))</f>
        <v>2.1008495889219181</v>
      </c>
      <c r="Q155" s="116">
        <f>IF(A155=1,断面设计!$C$7,IF(A155=2,断面设计!$C$8,IF(A155=3,断面设计!$C$9,IF(A155=4,断面设计!$C$10,IF(A155=5,断面设计!$C$11,IF(A155=6,断面设计!$C$12,IF(A155=7,断面设计!$C$13,IF(A155=8,断面设计!$C$14,IF(A155=9,断面设计!$C$15,IF(A155=10,断面设计!$C$16))))))))))</f>
        <v>1.22814064333749</v>
      </c>
      <c r="R155" s="115">
        <f>IF(A155=1,断面设计!$F$7,IF(A155=2,断面设计!$F$8,IF(A155=3,断面设计!$F$9,IF(A155=4,断面设计!$F$10,IF(A155=5,断面设计!$F$11,IF(A155=6,断面设计!$F$12,IF(A155=7,断面设计!$F$13,IF(A155=8,断面设计!$F$14,IF(A155=9,断面设计!$F$15,IF(A155=10,断面设计!$F$16))))))))))</f>
        <v>3.0381359711183982</v>
      </c>
      <c r="S155" s="115">
        <f>IF(A155=1,断面设计!$G$7,IF(A155=2,断面设计!$G$8,IF(A155=3,断面设计!$G$9,IF(A155=4,断面设计!$G$10,IF(A155=5,断面设计!$G$11,IF(A155=6,断面设计!$G$12,IF(A155=7,断面设计!$G$13,IF(A155=8,断面设计!$G$14,IF(A155=9,断面设计!$G$15,IF(A155=10,断面设计!$G$16))))))))))</f>
        <v>4.8368340246377688</v>
      </c>
      <c r="T155" s="115">
        <f t="shared" si="69"/>
        <v>0.62812491717573971</v>
      </c>
      <c r="U155" s="115">
        <f t="shared" si="70"/>
        <v>0.69149294465203071</v>
      </c>
      <c r="V155" s="125"/>
      <c r="W155" s="178"/>
      <c r="X155" s="116"/>
      <c r="Y155" s="139">
        <v>0</v>
      </c>
      <c r="Z155" s="140">
        <f t="shared" si="75"/>
        <v>0</v>
      </c>
      <c r="AA155" s="143"/>
      <c r="AB155" s="139">
        <f t="shared" si="58"/>
        <v>1.22814064333749</v>
      </c>
      <c r="AC155" s="116">
        <f t="shared" si="59"/>
        <v>0</v>
      </c>
      <c r="AD155" s="116">
        <f t="shared" ca="1" si="71"/>
        <v>2378.3514138605769</v>
      </c>
      <c r="AE155" s="141">
        <f t="shared" si="72"/>
        <v>0</v>
      </c>
      <c r="AF155" s="116" t="str">
        <f t="shared" si="60"/>
        <v xml:space="preserve"> </v>
      </c>
      <c r="AG155" s="116" t="str">
        <f>IF(AE155=0," ",AF155-断面设计!$C$7)</f>
        <v xml:space="preserve"> </v>
      </c>
      <c r="AH155" s="116">
        <f t="shared" ca="1" si="61"/>
        <v>2378.3514981055255</v>
      </c>
      <c r="AI155" s="116">
        <f t="shared" ca="1" si="62"/>
        <v>2377.1233574621879</v>
      </c>
      <c r="AJ155" s="116">
        <f t="shared" ca="1" si="63"/>
        <v>2378.3513296156284</v>
      </c>
      <c r="AK155" s="116">
        <f t="shared" ca="1" si="64"/>
        <v>2377.1231889722908</v>
      </c>
      <c r="AL155" s="116">
        <f t="shared" ca="1" si="65"/>
        <v>2378.3514138605769</v>
      </c>
      <c r="AM155" s="116">
        <f t="shared" ca="1" si="66"/>
        <v>2377.1232732172393</v>
      </c>
      <c r="AN155" s="178"/>
      <c r="AO155" s="92">
        <v>0</v>
      </c>
      <c r="AP155" s="42"/>
      <c r="AQ155" s="42"/>
      <c r="AR155" s="42"/>
      <c r="AS155" s="42"/>
      <c r="AT155" s="42"/>
      <c r="AU155" s="64" t="str">
        <f t="shared" ca="1" si="73"/>
        <v>17100.708503226,2377.12327321724</v>
      </c>
      <c r="AV155" s="64" t="str">
        <f t="shared" ca="1" si="55"/>
        <v>17100.708503226,2378.35141386058</v>
      </c>
      <c r="AW155" s="169" t="str">
        <f t="shared" si="56"/>
        <v xml:space="preserve">pl 17100.708503226,0 17100.708503226,76 </v>
      </c>
      <c r="AX155" s="161" t="str">
        <f t="shared" ca="1" si="52"/>
        <v>-text 17100.708503226,48 3.5 90 2377.123</v>
      </c>
      <c r="AY155" s="161" t="str">
        <f t="shared" ca="1" si="53"/>
        <v>-text 17100.708503226,62.5 3.5 90 2378.351</v>
      </c>
      <c r="AZ155" s="42" t="str">
        <f t="shared" si="54"/>
        <v>-text 17100.708503226,23.5 3.5 90 马分17+100.71</v>
      </c>
      <c r="BA155" s="42"/>
      <c r="BB155" s="42"/>
      <c r="BC155" s="42"/>
      <c r="BD155" s="42"/>
      <c r="BE155" s="42"/>
      <c r="BF155" s="42"/>
      <c r="BG155" s="42"/>
      <c r="BH155" s="42"/>
      <c r="BI155" s="42"/>
      <c r="BJ155" s="42"/>
      <c r="BK155" s="42"/>
      <c r="BL155" s="42"/>
      <c r="BM155" s="42"/>
      <c r="BN155" s="42"/>
      <c r="BO155" s="42"/>
      <c r="BP155" s="42"/>
      <c r="BQ155" s="42"/>
      <c r="BR155" s="42"/>
      <c r="BS155" s="42"/>
      <c r="BT155" s="42"/>
      <c r="BU155" s="42"/>
      <c r="BV155" s="42"/>
      <c r="BW155" s="42"/>
      <c r="BX155" s="42"/>
      <c r="BY155" s="42"/>
      <c r="BZ155" s="42"/>
      <c r="CA155" s="42"/>
      <c r="CB155" s="42"/>
      <c r="CC155" s="42"/>
      <c r="CD155" s="42"/>
      <c r="CE155" s="42"/>
      <c r="CF155" s="42"/>
      <c r="CG155" s="42"/>
      <c r="CH155" s="42"/>
      <c r="CI155" s="42"/>
      <c r="CJ155" s="42"/>
      <c r="CK155" s="42"/>
      <c r="CL155" s="42"/>
      <c r="CM155" s="42"/>
      <c r="CN155" s="42"/>
      <c r="CO155" s="42"/>
      <c r="CP155" s="42"/>
      <c r="CQ155" s="42"/>
      <c r="CR155" s="42"/>
      <c r="CS155" s="42"/>
      <c r="CT155" s="42"/>
      <c r="CU155" s="42"/>
      <c r="CV155" s="42"/>
      <c r="CW155" s="42"/>
      <c r="CX155" s="42"/>
      <c r="CY155" s="42"/>
      <c r="CZ155" s="42"/>
      <c r="DA155" s="42"/>
      <c r="DB155" s="42"/>
      <c r="DC155" s="42"/>
      <c r="DD155" s="42"/>
      <c r="DE155" s="42"/>
      <c r="DF155" s="42"/>
      <c r="DG155" s="42"/>
      <c r="DH155" s="42"/>
      <c r="DI155" s="42"/>
      <c r="DJ155" s="42"/>
      <c r="DK155" s="42"/>
      <c r="DL155" s="42"/>
      <c r="DM155" s="42"/>
      <c r="DN155" s="42"/>
      <c r="DO155" s="42"/>
      <c r="DP155" s="42"/>
      <c r="DQ155" s="42"/>
      <c r="DR155" s="42"/>
      <c r="DS155" s="42"/>
      <c r="DT155" s="42"/>
      <c r="DU155" s="42"/>
      <c r="DV155" s="42"/>
      <c r="DW155" s="42"/>
      <c r="DX155" s="42"/>
      <c r="DY155" s="42"/>
      <c r="DZ155" s="42"/>
      <c r="EA155" s="42"/>
      <c r="EB155" s="42"/>
      <c r="EC155" s="42"/>
      <c r="ED155" s="42"/>
      <c r="EE155" s="42"/>
      <c r="EF155" s="42"/>
      <c r="EG155" s="42"/>
      <c r="EH155" s="42"/>
      <c r="EI155" s="42"/>
      <c r="EJ155" s="42"/>
      <c r="EK155" s="42"/>
      <c r="EL155" s="42"/>
      <c r="EM155" s="42"/>
      <c r="EN155" s="42"/>
      <c r="EO155" s="42"/>
      <c r="EP155" s="42"/>
      <c r="EQ155" s="42"/>
      <c r="ER155" s="42"/>
      <c r="ES155" s="42"/>
      <c r="ET155" s="42"/>
      <c r="EU155" s="42"/>
      <c r="EV155" s="42"/>
      <c r="EW155" s="42"/>
      <c r="EX155" s="42"/>
      <c r="EY155" s="42"/>
      <c r="EZ155" s="42"/>
      <c r="FA155" s="42"/>
      <c r="FB155" s="42"/>
      <c r="FC155" s="42"/>
      <c r="FD155" s="42"/>
      <c r="FE155" s="42"/>
      <c r="FF155" s="42"/>
      <c r="FG155" s="42"/>
      <c r="FH155" s="42"/>
      <c r="FI155" s="42"/>
      <c r="FJ155" s="42"/>
      <c r="FK155" s="42"/>
      <c r="FL155" s="42"/>
      <c r="FM155" s="42"/>
      <c r="FN155" s="42"/>
      <c r="FO155" s="42"/>
      <c r="FP155" s="42"/>
      <c r="FQ155" s="42"/>
      <c r="FR155" s="42"/>
      <c r="FS155" s="42"/>
      <c r="FT155" s="42"/>
      <c r="FU155" s="42"/>
      <c r="FV155" s="42"/>
      <c r="FW155" s="42"/>
      <c r="FX155" s="42"/>
      <c r="FY155" s="42"/>
      <c r="FZ155" s="42"/>
      <c r="GA155" s="42"/>
      <c r="GB155" s="42"/>
      <c r="GC155" s="42"/>
      <c r="GD155" s="42"/>
      <c r="GE155" s="42"/>
      <c r="GF155" s="42"/>
      <c r="GG155" s="42"/>
      <c r="GH155" s="42"/>
      <c r="GI155" s="42"/>
      <c r="GJ155" s="42"/>
      <c r="GK155" s="42"/>
      <c r="GL155" s="42"/>
      <c r="GM155" s="42"/>
      <c r="GN155" s="42"/>
      <c r="GO155" s="42"/>
      <c r="GP155" s="42"/>
      <c r="GQ155" s="42"/>
      <c r="GR155" s="42"/>
      <c r="GS155" s="42"/>
      <c r="GT155" s="42"/>
      <c r="GU155" s="42"/>
      <c r="GV155" s="42"/>
      <c r="GW155" s="42"/>
      <c r="GX155" s="42"/>
    </row>
    <row r="156" spans="1:206" s="55" customFormat="1" x14ac:dyDescent="0.25">
      <c r="A156" s="92">
        <v>8</v>
      </c>
      <c r="B156" s="93" t="str">
        <f>线路!B153</f>
        <v>IP97</v>
      </c>
      <c r="C156" s="94">
        <f>线路!E153</f>
        <v>442639.58039999998</v>
      </c>
      <c r="D156" s="94">
        <f>线路!F153</f>
        <v>3036455.2892999998</v>
      </c>
      <c r="E156" s="95">
        <f>线路!G153</f>
        <v>4.8</v>
      </c>
      <c r="F156" s="95">
        <f>线路!H153</f>
        <v>11.881</v>
      </c>
      <c r="G156" s="96">
        <f>线路!L153</f>
        <v>17481.255523159081</v>
      </c>
      <c r="H156" s="96">
        <f>线路!M153</f>
        <v>17481.753193323311</v>
      </c>
      <c r="I156" s="96">
        <f>线路!N153</f>
        <v>17482.250863487541</v>
      </c>
      <c r="J156" s="115">
        <f t="shared" si="57"/>
        <v>0.99534032845986076</v>
      </c>
      <c r="K156" s="115">
        <f t="shared" si="67"/>
        <v>381.04469009730383</v>
      </c>
      <c r="L156" s="115">
        <f>IF(A156=1,断面设计!$D$7,IF(A156=2,断面设计!$D$8,IF(A156=3,断面设计!$D$9,IF(A156=4,断面设计!$D$10,IF(A156=5,断面设计!$D$11,IF(A156=6,断面设计!$D$12,IF(A156=7,断面设计!$D$13,IF(A156=8,断面设计!$D$14,IF(A156=9,断面设计!$D$15,IF(A156=10,断面设计!$D$16))))))))))</f>
        <v>1</v>
      </c>
      <c r="M156" s="115">
        <f t="shared" si="68"/>
        <v>1.2</v>
      </c>
      <c r="N156" s="116">
        <f t="shared" si="74"/>
        <v>1.4999999999999999E-2</v>
      </c>
      <c r="O156" s="115">
        <f>IF(A156=1,断面设计!$J$7,IF(A156=2,断面设计!$J$8,IF(A156=3,断面设计!$J$9,IF(A156=4,断面设计!$J$10,IF(A156=5,断面设计!$J$11,IF(A156=6,断面设计!$J$12,IF(A156=7,断面设计!$J$13,IF(A156=8,断面设计!$J$14,IF(A156=9,断面设计!$J$15,IF(A156=10,断面设计!$J$16))))))))))</f>
        <v>5000</v>
      </c>
      <c r="P156" s="117">
        <f>IF(A156=1,断面设计!$K$7,IF(A156=2,断面设计!$K$8,IF(A156=3,断面设计!$K$9,IF(A156=4,断面设计!$K$10,IF(A156=5,断面设计!$K$11,IF(A156=6,断面设计!$K$12,IF(A156=7,断面设计!$K$13,IF(A156=8,断面设计!$K$14,IF(A156=9,断面设计!$K$15,IF(A156=10,断面设计!$K$16))))))))))</f>
        <v>2.1008495889219181</v>
      </c>
      <c r="Q156" s="116">
        <f>IF(A156=1,断面设计!$C$7,IF(A156=2,断面设计!$C$8,IF(A156=3,断面设计!$C$9,IF(A156=4,断面设计!$C$10,IF(A156=5,断面设计!$C$11,IF(A156=6,断面设计!$C$12,IF(A156=7,断面设计!$C$13,IF(A156=8,断面设计!$C$14,IF(A156=9,断面设计!$C$15,IF(A156=10,断面设计!$C$16))))))))))</f>
        <v>1.22814064333749</v>
      </c>
      <c r="R156" s="115">
        <f>IF(A156=1,断面设计!$F$7,IF(A156=2,断面设计!$F$8,IF(A156=3,断面设计!$F$9,IF(A156=4,断面设计!$F$10,IF(A156=5,断面设计!$F$11,IF(A156=6,断面设计!$F$12,IF(A156=7,断面设计!$F$13,IF(A156=8,断面设计!$F$14,IF(A156=9,断面设计!$F$15,IF(A156=10,断面设计!$F$16))))))))))</f>
        <v>3.0381359711183982</v>
      </c>
      <c r="S156" s="115">
        <f>IF(A156=1,断面设计!$G$7,IF(A156=2,断面设计!$G$8,IF(A156=3,断面设计!$G$9,IF(A156=4,断面设计!$G$10,IF(A156=5,断面设计!$G$11,IF(A156=6,断面设计!$G$12,IF(A156=7,断面设计!$G$13,IF(A156=8,断面设计!$G$14,IF(A156=9,断面设计!$G$15,IF(A156=10,断面设计!$G$16))))))))))</f>
        <v>4.8368340246377688</v>
      </c>
      <c r="T156" s="115">
        <f t="shared" si="69"/>
        <v>0.62812491717573971</v>
      </c>
      <c r="U156" s="115">
        <f t="shared" si="70"/>
        <v>0.69149294465203071</v>
      </c>
      <c r="V156" s="125"/>
      <c r="W156" s="178"/>
      <c r="X156" s="116"/>
      <c r="Y156" s="139">
        <v>0</v>
      </c>
      <c r="Z156" s="140">
        <f t="shared" si="75"/>
        <v>0</v>
      </c>
      <c r="AA156" s="143"/>
      <c r="AB156" s="139">
        <f t="shared" si="58"/>
        <v>1.22814064333749</v>
      </c>
      <c r="AC156" s="116">
        <f t="shared" si="59"/>
        <v>0</v>
      </c>
      <c r="AD156" s="116">
        <f t="shared" ca="1" si="71"/>
        <v>2378.3514138605769</v>
      </c>
      <c r="AE156" s="141">
        <f t="shared" si="72"/>
        <v>0</v>
      </c>
      <c r="AF156" s="116" t="str">
        <f t="shared" si="60"/>
        <v xml:space="preserve"> </v>
      </c>
      <c r="AG156" s="116" t="str">
        <f>IF(AE156=0," ",AF156-断面设计!$C$7)</f>
        <v xml:space="preserve"> </v>
      </c>
      <c r="AH156" s="116">
        <f t="shared" ca="1" si="61"/>
        <v>2378.3515133946098</v>
      </c>
      <c r="AI156" s="116">
        <f t="shared" ca="1" si="62"/>
        <v>2377.1233727512722</v>
      </c>
      <c r="AJ156" s="116">
        <f t="shared" ca="1" si="63"/>
        <v>2378.3513143265441</v>
      </c>
      <c r="AK156" s="116">
        <f t="shared" ca="1" si="64"/>
        <v>2377.1231736832065</v>
      </c>
      <c r="AL156" s="116">
        <f t="shared" ca="1" si="65"/>
        <v>2378.3514138605769</v>
      </c>
      <c r="AM156" s="116">
        <f t="shared" ca="1" si="66"/>
        <v>2377.1232732172393</v>
      </c>
      <c r="AN156" s="178"/>
      <c r="AO156" s="92">
        <v>0</v>
      </c>
      <c r="AP156" s="42"/>
      <c r="AQ156" s="42"/>
      <c r="AR156" s="42"/>
      <c r="AS156" s="42"/>
      <c r="AT156" s="42"/>
      <c r="AU156" s="64" t="str">
        <f t="shared" ca="1" si="73"/>
        <v>17481.7531933233,2377.12327321724</v>
      </c>
      <c r="AV156" s="64" t="str">
        <f t="shared" ca="1" si="55"/>
        <v>17481.7531933233,2378.35141386058</v>
      </c>
      <c r="AW156" s="169" t="str">
        <f t="shared" si="56"/>
        <v xml:space="preserve">pl 17481.7531933233,0 17481.7531933233,76 </v>
      </c>
      <c r="AX156" s="161" t="str">
        <f t="shared" ca="1" si="52"/>
        <v>-text 17481.7531933233,48 3.5 90 2377.123</v>
      </c>
      <c r="AY156" s="161" t="str">
        <f t="shared" ca="1" si="53"/>
        <v>-text 17481.7531933233,62.5 3.5 90 2378.351</v>
      </c>
      <c r="AZ156" s="42" t="str">
        <f t="shared" si="54"/>
        <v>-text 17481.7531933233,23.5 3.5 90 马分17+481.75</v>
      </c>
      <c r="BA156" s="42"/>
      <c r="BB156" s="42"/>
      <c r="BC156" s="42"/>
      <c r="BD156" s="42"/>
      <c r="BE156" s="42"/>
      <c r="BF156" s="42"/>
      <c r="BG156" s="42"/>
      <c r="BH156" s="42"/>
      <c r="BI156" s="42"/>
      <c r="BJ156" s="42"/>
      <c r="BK156" s="42"/>
      <c r="BL156" s="42"/>
      <c r="BM156" s="42"/>
      <c r="BN156" s="42"/>
      <c r="BO156" s="42"/>
      <c r="BP156" s="42"/>
      <c r="BQ156" s="42"/>
      <c r="BR156" s="42"/>
      <c r="BS156" s="42"/>
      <c r="BT156" s="42"/>
      <c r="BU156" s="42"/>
      <c r="BV156" s="42"/>
      <c r="BW156" s="42"/>
      <c r="BX156" s="42"/>
      <c r="BY156" s="42"/>
      <c r="BZ156" s="42"/>
      <c r="CA156" s="42"/>
      <c r="CB156" s="42"/>
      <c r="CC156" s="42"/>
      <c r="CD156" s="42"/>
      <c r="CE156" s="42"/>
      <c r="CF156" s="42"/>
      <c r="CG156" s="42"/>
      <c r="CH156" s="42"/>
      <c r="CI156" s="42"/>
      <c r="CJ156" s="42"/>
      <c r="CK156" s="42"/>
      <c r="CL156" s="42"/>
      <c r="CM156" s="42"/>
      <c r="CN156" s="42"/>
      <c r="CO156" s="42"/>
      <c r="CP156" s="42"/>
      <c r="CQ156" s="42"/>
      <c r="CR156" s="42"/>
      <c r="CS156" s="42"/>
      <c r="CT156" s="42"/>
      <c r="CU156" s="42"/>
      <c r="CV156" s="42"/>
      <c r="CW156" s="42"/>
      <c r="CX156" s="42"/>
      <c r="CY156" s="42"/>
      <c r="CZ156" s="42"/>
      <c r="DA156" s="42"/>
      <c r="DB156" s="42"/>
      <c r="DC156" s="42"/>
      <c r="DD156" s="42"/>
      <c r="DE156" s="42"/>
      <c r="DF156" s="42"/>
      <c r="DG156" s="42"/>
      <c r="DH156" s="42"/>
      <c r="DI156" s="42"/>
      <c r="DJ156" s="42"/>
      <c r="DK156" s="42"/>
      <c r="DL156" s="42"/>
      <c r="DM156" s="42"/>
      <c r="DN156" s="42"/>
      <c r="DO156" s="42"/>
      <c r="DP156" s="42"/>
      <c r="DQ156" s="42"/>
      <c r="DR156" s="42"/>
      <c r="DS156" s="42"/>
      <c r="DT156" s="42"/>
      <c r="DU156" s="42"/>
      <c r="DV156" s="42"/>
      <c r="DW156" s="42"/>
      <c r="DX156" s="42"/>
      <c r="DY156" s="42"/>
      <c r="DZ156" s="42"/>
      <c r="EA156" s="42"/>
      <c r="EB156" s="42"/>
      <c r="EC156" s="42"/>
      <c r="ED156" s="42"/>
      <c r="EE156" s="42"/>
      <c r="EF156" s="42"/>
      <c r="EG156" s="42"/>
      <c r="EH156" s="42"/>
      <c r="EI156" s="42"/>
      <c r="EJ156" s="42"/>
      <c r="EK156" s="42"/>
      <c r="EL156" s="42"/>
      <c r="EM156" s="42"/>
      <c r="EN156" s="42"/>
      <c r="EO156" s="42"/>
      <c r="EP156" s="42"/>
      <c r="EQ156" s="42"/>
      <c r="ER156" s="42"/>
      <c r="ES156" s="42"/>
      <c r="ET156" s="42"/>
      <c r="EU156" s="42"/>
      <c r="EV156" s="42"/>
      <c r="EW156" s="42"/>
      <c r="EX156" s="42"/>
      <c r="EY156" s="42"/>
      <c r="EZ156" s="42"/>
      <c r="FA156" s="42"/>
      <c r="FB156" s="42"/>
      <c r="FC156" s="42"/>
      <c r="FD156" s="42"/>
      <c r="FE156" s="42"/>
      <c r="FF156" s="42"/>
      <c r="FG156" s="42"/>
      <c r="FH156" s="42"/>
      <c r="FI156" s="42"/>
      <c r="FJ156" s="42"/>
      <c r="FK156" s="42"/>
      <c r="FL156" s="42"/>
      <c r="FM156" s="42"/>
      <c r="FN156" s="42"/>
      <c r="FO156" s="42"/>
      <c r="FP156" s="42"/>
      <c r="FQ156" s="42"/>
      <c r="FR156" s="42"/>
      <c r="FS156" s="42"/>
      <c r="FT156" s="42"/>
      <c r="FU156" s="42"/>
      <c r="FV156" s="42"/>
      <c r="FW156" s="42"/>
      <c r="FX156" s="42"/>
      <c r="FY156" s="42"/>
      <c r="FZ156" s="42"/>
      <c r="GA156" s="42"/>
      <c r="GB156" s="42"/>
      <c r="GC156" s="42"/>
      <c r="GD156" s="42"/>
      <c r="GE156" s="42"/>
      <c r="GF156" s="42"/>
      <c r="GG156" s="42"/>
      <c r="GH156" s="42"/>
      <c r="GI156" s="42"/>
      <c r="GJ156" s="42"/>
      <c r="GK156" s="42"/>
      <c r="GL156" s="42"/>
      <c r="GM156" s="42"/>
      <c r="GN156" s="42"/>
      <c r="GO156" s="42"/>
      <c r="GP156" s="42"/>
      <c r="GQ156" s="42"/>
      <c r="GR156" s="42"/>
      <c r="GS156" s="42"/>
      <c r="GT156" s="42"/>
      <c r="GU156" s="42"/>
      <c r="GV156" s="42"/>
      <c r="GW156" s="42"/>
      <c r="GX156" s="42"/>
    </row>
    <row r="157" spans="1:206" s="55" customFormat="1" x14ac:dyDescent="0.25">
      <c r="A157" s="92">
        <v>8</v>
      </c>
      <c r="B157" s="93" t="str">
        <f>线路!B154</f>
        <v>12#倒虹吸出</v>
      </c>
      <c r="C157" s="94">
        <f>线路!E154</f>
        <v>441908.4302</v>
      </c>
      <c r="D157" s="94">
        <f>线路!F154</f>
        <v>3036038.8393000001</v>
      </c>
      <c r="E157" s="95">
        <f>线路!G154</f>
        <v>0</v>
      </c>
      <c r="F157" s="95">
        <f>线路!H154</f>
        <v>0</v>
      </c>
      <c r="G157" s="96">
        <f>线路!L154</f>
        <v>18323.185426760287</v>
      </c>
      <c r="H157" s="96">
        <f>线路!M154</f>
        <v>18323.185426760287</v>
      </c>
      <c r="I157" s="96">
        <f>线路!N154</f>
        <v>18323.185426760287</v>
      </c>
      <c r="J157" s="115">
        <f t="shared" si="57"/>
        <v>0</v>
      </c>
      <c r="K157" s="115">
        <f t="shared" si="67"/>
        <v>841.43223343697537</v>
      </c>
      <c r="L157" s="115">
        <f>IF(A157=1,断面设计!$D$7,IF(A157=2,断面设计!$D$8,IF(A157=3,断面设计!$D$9,IF(A157=4,断面设计!$D$10,IF(A157=5,断面设计!$D$11,IF(A157=6,断面设计!$D$12,IF(A157=7,断面设计!$D$13,IF(A157=8,断面设计!$D$14,IF(A157=9,断面设计!$D$15,IF(A157=10,断面设计!$D$16))))))))))</f>
        <v>1</v>
      </c>
      <c r="M157" s="115">
        <f t="shared" si="68"/>
        <v>1.2</v>
      </c>
      <c r="N157" s="116">
        <f t="shared" si="74"/>
        <v>1.4999999999999999E-2</v>
      </c>
      <c r="O157" s="115">
        <f>IF(A157=1,断面设计!$J$7,IF(A157=2,断面设计!$J$8,IF(A157=3,断面设计!$J$9,IF(A157=4,断面设计!$J$10,IF(A157=5,断面设计!$J$11,IF(A157=6,断面设计!$J$12,IF(A157=7,断面设计!$J$13,IF(A157=8,断面设计!$J$14,IF(A157=9,断面设计!$J$15,IF(A157=10,断面设计!$J$16))))))))))</f>
        <v>5000</v>
      </c>
      <c r="P157" s="117">
        <f>IF(A157=1,断面设计!$K$7,IF(A157=2,断面设计!$K$8,IF(A157=3,断面设计!$K$9,IF(A157=4,断面设计!$K$10,IF(A157=5,断面设计!$K$11,IF(A157=6,断面设计!$K$12,IF(A157=7,断面设计!$K$13,IF(A157=8,断面设计!$K$14,IF(A157=9,断面设计!$K$15,IF(A157=10,断面设计!$K$16))))))))))</f>
        <v>2.1008495889219181</v>
      </c>
      <c r="Q157" s="116">
        <f>IF(A157=1,断面设计!$C$7,IF(A157=2,断面设计!$C$8,IF(A157=3,断面设计!$C$9,IF(A157=4,断面设计!$C$10,IF(A157=5,断面设计!$C$11,IF(A157=6,断面设计!$C$12,IF(A157=7,断面设计!$C$13,IF(A157=8,断面设计!$C$14,IF(A157=9,断面设计!$C$15,IF(A157=10,断面设计!$C$16))))))))))</f>
        <v>1.22814064333749</v>
      </c>
      <c r="R157" s="115">
        <f>IF(A157=1,断面设计!$F$7,IF(A157=2,断面设计!$F$8,IF(A157=3,断面设计!$F$9,IF(A157=4,断面设计!$F$10,IF(A157=5,断面设计!$F$11,IF(A157=6,断面设计!$F$12,IF(A157=7,断面设计!$F$13,IF(A157=8,断面设计!$F$14,IF(A157=9,断面设计!$F$15,IF(A157=10,断面设计!$F$16))))))))))</f>
        <v>3.0381359711183982</v>
      </c>
      <c r="S157" s="115">
        <f>IF(A157=1,断面设计!$G$7,IF(A157=2,断面设计!$G$8,IF(A157=3,断面设计!$G$9,IF(A157=4,断面设计!$G$10,IF(A157=5,断面设计!$G$11,IF(A157=6,断面设计!$G$12,IF(A157=7,断面设计!$G$13,IF(A157=8,断面设计!$G$14,IF(A157=9,断面设计!$G$15,IF(A157=10,断面设计!$G$16))))))))))</f>
        <v>4.8368340246377688</v>
      </c>
      <c r="T157" s="115">
        <f t="shared" si="69"/>
        <v>0.62812491717573971</v>
      </c>
      <c r="U157" s="115">
        <f t="shared" si="70"/>
        <v>0.69149294465203071</v>
      </c>
      <c r="V157" s="125"/>
      <c r="W157" s="178"/>
      <c r="X157" s="189">
        <f ca="1">倒虹管水头损失计算!D717+1.2</f>
        <v>2.7528444777619638</v>
      </c>
      <c r="Y157" s="139">
        <v>0</v>
      </c>
      <c r="Z157" s="140">
        <f t="shared" si="75"/>
        <v>0</v>
      </c>
      <c r="AA157" s="143"/>
      <c r="AB157" s="139">
        <f t="shared" si="58"/>
        <v>1.22814064333749</v>
      </c>
      <c r="AC157" s="116">
        <f t="shared" ca="1" si="59"/>
        <v>2.7528444777619638</v>
      </c>
      <c r="AD157" s="116">
        <f t="shared" ca="1" si="71"/>
        <v>2375.5985693828152</v>
      </c>
      <c r="AE157" s="141">
        <f t="shared" si="72"/>
        <v>0</v>
      </c>
      <c r="AF157" s="116" t="str">
        <f t="shared" si="60"/>
        <v xml:space="preserve"> </v>
      </c>
      <c r="AG157" s="116" t="str">
        <f>IF(AE157=0," ",AF157-断面设计!$C$7)</f>
        <v xml:space="preserve"> </v>
      </c>
      <c r="AH157" s="116" t="str">
        <f t="shared" si="61"/>
        <v xml:space="preserve"> </v>
      </c>
      <c r="AI157" s="116" t="str">
        <f t="shared" si="62"/>
        <v xml:space="preserve"> </v>
      </c>
      <c r="AJ157" s="116" t="str">
        <f t="shared" si="63"/>
        <v xml:space="preserve"> </v>
      </c>
      <c r="AK157" s="116" t="str">
        <f t="shared" si="64"/>
        <v xml:space="preserve"> </v>
      </c>
      <c r="AL157" s="116">
        <f t="shared" ca="1" si="65"/>
        <v>2375.5985693828152</v>
      </c>
      <c r="AM157" s="116">
        <f t="shared" ca="1" si="66"/>
        <v>2374.3704287394776</v>
      </c>
      <c r="AN157" s="178"/>
      <c r="AO157" s="92">
        <v>0</v>
      </c>
      <c r="AP157" s="42"/>
      <c r="AQ157" s="42"/>
      <c r="AR157" s="42"/>
      <c r="AS157" s="42"/>
      <c r="AT157" s="42"/>
      <c r="AU157" s="64" t="str">
        <f t="shared" ca="1" si="73"/>
        <v>18323.1854267603,2374.37042873948</v>
      </c>
      <c r="AV157" s="64" t="str">
        <f t="shared" ca="1" si="55"/>
        <v>18323.1854267603,2375.59856938282</v>
      </c>
      <c r="AW157" s="169" t="str">
        <f t="shared" si="56"/>
        <v xml:space="preserve">pl 18323.1854267603,0 18323.1854267603,76 </v>
      </c>
      <c r="AX157" s="161" t="str">
        <f t="shared" ca="1" si="52"/>
        <v>-text 18323.1854267603,48 3.5 90 2374.370</v>
      </c>
      <c r="AY157" s="161" t="str">
        <f t="shared" ca="1" si="53"/>
        <v>-text 18323.1854267603,62.5 3.5 90 2375.599</v>
      </c>
      <c r="AZ157" s="42" t="str">
        <f t="shared" si="54"/>
        <v>-text 18323.1854267603,23.5 3.5 90 马分18+323.19</v>
      </c>
      <c r="BA157" s="42"/>
      <c r="BB157" s="42"/>
      <c r="BC157" s="42"/>
      <c r="BD157" s="42"/>
      <c r="BE157" s="42"/>
      <c r="BF157" s="42"/>
      <c r="BG157" s="42"/>
      <c r="BH157" s="42"/>
      <c r="BI157" s="42"/>
      <c r="BJ157" s="42"/>
      <c r="BK157" s="42"/>
      <c r="BL157" s="42"/>
      <c r="BM157" s="42"/>
      <c r="BN157" s="42"/>
      <c r="BO157" s="42"/>
      <c r="BP157" s="42"/>
      <c r="BQ157" s="42"/>
      <c r="BR157" s="42"/>
      <c r="BS157" s="42"/>
      <c r="BT157" s="42"/>
      <c r="BU157" s="42"/>
      <c r="BV157" s="42"/>
      <c r="BW157" s="42"/>
      <c r="BX157" s="42"/>
      <c r="BY157" s="42"/>
      <c r="BZ157" s="42"/>
      <c r="CA157" s="42"/>
      <c r="CB157" s="42"/>
      <c r="CC157" s="42"/>
      <c r="CD157" s="42"/>
      <c r="CE157" s="42"/>
      <c r="CF157" s="42"/>
      <c r="CG157" s="42"/>
      <c r="CH157" s="42"/>
      <c r="CI157" s="42"/>
      <c r="CJ157" s="42"/>
      <c r="CK157" s="42"/>
      <c r="CL157" s="42"/>
      <c r="CM157" s="42"/>
      <c r="CN157" s="42"/>
      <c r="CO157" s="42"/>
      <c r="CP157" s="42"/>
      <c r="CQ157" s="42"/>
      <c r="CR157" s="42"/>
      <c r="CS157" s="42"/>
      <c r="CT157" s="42"/>
      <c r="CU157" s="42"/>
      <c r="CV157" s="42"/>
      <c r="CW157" s="42"/>
      <c r="CX157" s="42"/>
      <c r="CY157" s="42"/>
      <c r="CZ157" s="42"/>
      <c r="DA157" s="42"/>
      <c r="DB157" s="42"/>
      <c r="DC157" s="42"/>
      <c r="DD157" s="42"/>
      <c r="DE157" s="42"/>
      <c r="DF157" s="42"/>
      <c r="DG157" s="42"/>
      <c r="DH157" s="42"/>
      <c r="DI157" s="42"/>
      <c r="DJ157" s="42"/>
      <c r="DK157" s="42"/>
      <c r="DL157" s="42"/>
      <c r="DM157" s="42"/>
      <c r="DN157" s="42"/>
      <c r="DO157" s="42"/>
      <c r="DP157" s="42"/>
      <c r="DQ157" s="42"/>
      <c r="DR157" s="42"/>
      <c r="DS157" s="42"/>
      <c r="DT157" s="42"/>
      <c r="DU157" s="42"/>
      <c r="DV157" s="42"/>
      <c r="DW157" s="42"/>
      <c r="DX157" s="42"/>
      <c r="DY157" s="42"/>
      <c r="DZ157" s="42"/>
      <c r="EA157" s="42"/>
      <c r="EB157" s="42"/>
      <c r="EC157" s="42"/>
      <c r="ED157" s="42"/>
      <c r="EE157" s="42"/>
      <c r="EF157" s="42"/>
      <c r="EG157" s="42"/>
      <c r="EH157" s="42"/>
      <c r="EI157" s="42"/>
      <c r="EJ157" s="42"/>
      <c r="EK157" s="42"/>
      <c r="EL157" s="42"/>
      <c r="EM157" s="42"/>
      <c r="EN157" s="42"/>
      <c r="EO157" s="42"/>
      <c r="EP157" s="42"/>
      <c r="EQ157" s="42"/>
      <c r="ER157" s="42"/>
      <c r="ES157" s="42"/>
      <c r="ET157" s="42"/>
      <c r="EU157" s="42"/>
      <c r="EV157" s="42"/>
      <c r="EW157" s="42"/>
      <c r="EX157" s="42"/>
      <c r="EY157" s="42"/>
      <c r="EZ157" s="42"/>
      <c r="FA157" s="42"/>
      <c r="FB157" s="42"/>
      <c r="FC157" s="42"/>
      <c r="FD157" s="42"/>
      <c r="FE157" s="42"/>
      <c r="FF157" s="42"/>
      <c r="FG157" s="42"/>
      <c r="FH157" s="42"/>
      <c r="FI157" s="42"/>
      <c r="FJ157" s="42"/>
      <c r="FK157" s="42"/>
      <c r="FL157" s="42"/>
      <c r="FM157" s="42"/>
      <c r="FN157" s="42"/>
      <c r="FO157" s="42"/>
      <c r="FP157" s="42"/>
      <c r="FQ157" s="42"/>
      <c r="FR157" s="42"/>
      <c r="FS157" s="42"/>
      <c r="FT157" s="42"/>
      <c r="FU157" s="42"/>
      <c r="FV157" s="42"/>
      <c r="FW157" s="42"/>
      <c r="FX157" s="42"/>
      <c r="FY157" s="42"/>
      <c r="FZ157" s="42"/>
      <c r="GA157" s="42"/>
      <c r="GB157" s="42"/>
      <c r="GC157" s="42"/>
      <c r="GD157" s="42"/>
      <c r="GE157" s="42"/>
      <c r="GF157" s="42"/>
      <c r="GG157" s="42"/>
      <c r="GH157" s="42"/>
      <c r="GI157" s="42"/>
      <c r="GJ157" s="42"/>
      <c r="GK157" s="42"/>
      <c r="GL157" s="42"/>
      <c r="GM157" s="42"/>
      <c r="GN157" s="42"/>
      <c r="GO157" s="42"/>
      <c r="GP157" s="42"/>
      <c r="GQ157" s="42"/>
      <c r="GR157" s="42"/>
      <c r="GS157" s="42"/>
      <c r="GT157" s="42"/>
      <c r="GU157" s="42"/>
      <c r="GV157" s="42"/>
      <c r="GW157" s="42"/>
      <c r="GX157" s="42"/>
    </row>
    <row r="158" spans="1:206" s="42" customFormat="1" x14ac:dyDescent="0.25">
      <c r="A158" s="80">
        <v>8</v>
      </c>
      <c r="B158" s="76" t="str">
        <f>线路!B155</f>
        <v>IP98</v>
      </c>
      <c r="C158" s="81">
        <f>线路!E155</f>
        <v>441903.05339999998</v>
      </c>
      <c r="D158" s="81">
        <f>线路!F155</f>
        <v>3036035.7768000001</v>
      </c>
      <c r="E158" s="85">
        <f>线路!G155</f>
        <v>10</v>
      </c>
      <c r="F158" s="85">
        <f>线路!H155</f>
        <v>26.376999999999999</v>
      </c>
      <c r="G158" s="86">
        <f>线路!L155</f>
        <v>18327.029866646517</v>
      </c>
      <c r="H158" s="86">
        <f>线路!M155</f>
        <v>18329.331694130509</v>
      </c>
      <c r="I158" s="86">
        <f>线路!N155</f>
        <v>18331.633521614502</v>
      </c>
      <c r="J158" s="83">
        <f t="shared" si="57"/>
        <v>4.6036549679847667</v>
      </c>
      <c r="K158" s="83">
        <f t="shared" si="67"/>
        <v>6.1462673702226311</v>
      </c>
      <c r="L158" s="83">
        <f>IF(A158=1,断面设计!$D$7,IF(A158=2,断面设计!$D$8,IF(A158=3,断面设计!$D$9,IF(A158=4,断面设计!$D$10,IF(A158=5,断面设计!$D$11,IF(A158=6,断面设计!$D$12,IF(A158=7,断面设计!$D$13,IF(A158=8,断面设计!$D$14,IF(A158=9,断面设计!$D$15,IF(A158=10,断面设计!$D$16))))))))))</f>
        <v>1</v>
      </c>
      <c r="M158" s="83">
        <f t="shared" si="68"/>
        <v>1.2</v>
      </c>
      <c r="N158" s="110">
        <f t="shared" si="74"/>
        <v>1.4999999999999999E-2</v>
      </c>
      <c r="O158" s="83">
        <f>IF(A158=1,断面设计!$J$7,IF(A158=2,断面设计!$J$8,IF(A158=3,断面设计!$J$9,IF(A158=4,断面设计!$J$10,IF(A158=5,断面设计!$J$11,IF(A158=6,断面设计!$J$12,IF(A158=7,断面设计!$J$13,IF(A158=8,断面设计!$J$14,IF(A158=9,断面设计!$J$15,IF(A158=10,断面设计!$J$16))))))))))</f>
        <v>5000</v>
      </c>
      <c r="P158" s="111">
        <f>IF(A158=1,断面设计!$K$7,IF(A158=2,断面设计!$K$8,IF(A158=3,断面设计!$K$9,IF(A158=4,断面设计!$K$10,IF(A158=5,断面设计!$K$11,IF(A158=6,断面设计!$K$12,IF(A158=7,断面设计!$K$13,IF(A158=8,断面设计!$K$14,IF(A158=9,断面设计!$K$15,IF(A158=10,断面设计!$K$16))))))))))</f>
        <v>2.1008495889219181</v>
      </c>
      <c r="Q158" s="110">
        <f>IF(A158=1,断面设计!$C$7,IF(A158=2,断面设计!$C$8,IF(A158=3,断面设计!$C$9,IF(A158=4,断面设计!$C$10,IF(A158=5,断面设计!$C$11,IF(A158=6,断面设计!$C$12,IF(A158=7,断面设计!$C$13,IF(A158=8,断面设计!$C$14,IF(A158=9,断面设计!$C$15,IF(A158=10,断面设计!$C$16))))))))))</f>
        <v>1.22814064333749</v>
      </c>
      <c r="R158" s="83">
        <f>IF(A158=1,断面设计!$F$7,IF(A158=2,断面设计!$F$8,IF(A158=3,断面设计!$F$9,IF(A158=4,断面设计!$F$10,IF(A158=5,断面设计!$F$11,IF(A158=6,断面设计!$F$12,IF(A158=7,断面设计!$F$13,IF(A158=8,断面设计!$F$14,IF(A158=9,断面设计!$F$15,IF(A158=10,断面设计!$F$16))))))))))</f>
        <v>3.0381359711183982</v>
      </c>
      <c r="S158" s="83">
        <f>IF(A158=1,断面设计!$G$7,IF(A158=2,断面设计!$G$8,IF(A158=3,断面设计!$G$9,IF(A158=4,断面设计!$G$10,IF(A158=5,断面设计!$G$11,IF(A158=6,断面设计!$G$12,IF(A158=7,断面设计!$G$13,IF(A158=8,断面设计!$G$14,IF(A158=9,断面设计!$G$15,IF(A158=10,断面设计!$G$16))))))))))</f>
        <v>4.8368340246377688</v>
      </c>
      <c r="T158" s="83">
        <f t="shared" si="69"/>
        <v>0.62812491717573971</v>
      </c>
      <c r="U158" s="83">
        <f t="shared" si="70"/>
        <v>0.69149294465203071</v>
      </c>
      <c r="V158" s="123">
        <f t="shared" si="76"/>
        <v>4.8000796856936237E-4</v>
      </c>
      <c r="W158" s="127"/>
      <c r="X158" s="110">
        <f>IF(AN158=0,IF(AN157=2,(H158-H157-AE157)/O158,(H158-H157)/O158),IF(AN158=1,IF(AN157=2,IF(AE158&lt;9,(H158-H157-AE158-AE157)/断面设计!$J$7,(H158-H157-AE158-AE157)/断面设计!$J$7),(H158-H157-AE158)/O157),(H158-H157)/O158))</f>
        <v>1.2292534740445263E-3</v>
      </c>
      <c r="Y158" s="133">
        <v>0</v>
      </c>
      <c r="Z158" s="134">
        <f t="shared" si="75"/>
        <v>0</v>
      </c>
      <c r="AA158" s="142"/>
      <c r="AB158" s="133">
        <f t="shared" si="58"/>
        <v>1.22814064333749</v>
      </c>
      <c r="AC158" s="110">
        <f t="shared" si="59"/>
        <v>1.7092614426138888E-3</v>
      </c>
      <c r="AD158" s="110">
        <f t="shared" ca="1" si="71"/>
        <v>2375.5968601213726</v>
      </c>
      <c r="AE158" s="82">
        <f t="shared" si="72"/>
        <v>0</v>
      </c>
      <c r="AF158" s="110" t="str">
        <f t="shared" si="60"/>
        <v xml:space="preserve"> </v>
      </c>
      <c r="AG158" s="110" t="str">
        <f>IF(AE158=0," ",AF158-断面设计!$C$7)</f>
        <v xml:space="preserve"> </v>
      </c>
      <c r="AH158" s="110">
        <f t="shared" ca="1" si="61"/>
        <v>2375.5978004948383</v>
      </c>
      <c r="AI158" s="110">
        <f t="shared" ca="1" si="62"/>
        <v>2374.3696598515007</v>
      </c>
      <c r="AJ158" s="110">
        <f t="shared" ca="1" si="63"/>
        <v>2375.5963997558756</v>
      </c>
      <c r="AK158" s="110">
        <f t="shared" ca="1" si="64"/>
        <v>2374.368259112538</v>
      </c>
      <c r="AL158" s="110">
        <f t="shared" ca="1" si="65"/>
        <v>2375.597100125357</v>
      </c>
      <c r="AM158" s="110">
        <f t="shared" ca="1" si="66"/>
        <v>2374.3689594820194</v>
      </c>
      <c r="AN158" s="127"/>
      <c r="AO158" s="80">
        <v>0</v>
      </c>
      <c r="AU158" s="64" t="str">
        <f t="shared" ca="1" si="73"/>
        <v>18329.3316941305,2374.36895948202</v>
      </c>
      <c r="AV158" s="64" t="str">
        <f t="shared" ca="1" si="55"/>
        <v>18329.3316941305,2375.59710012536</v>
      </c>
      <c r="AW158" s="169" t="str">
        <f t="shared" si="56"/>
        <v xml:space="preserve">pl 18329.3316941305,0 18329.3316941305,76 </v>
      </c>
      <c r="AX158" s="161" t="str">
        <f t="shared" ca="1" si="52"/>
        <v>-text 18329.3316941305,48 3.5 90 2374.369</v>
      </c>
      <c r="AY158" s="161" t="str">
        <f t="shared" ca="1" si="53"/>
        <v>-text 18329.3316941305,62.5 3.5 90 2375.597</v>
      </c>
      <c r="AZ158" s="42" t="str">
        <f t="shared" si="54"/>
        <v>-text 18329.3316941305,23.5 3.5 90 马分18+329.33</v>
      </c>
    </row>
    <row r="159" spans="1:206" s="42" customFormat="1" x14ac:dyDescent="0.25">
      <c r="A159" s="80">
        <v>8</v>
      </c>
      <c r="B159" s="76" t="str">
        <f>线路!B156</f>
        <v>IP99</v>
      </c>
      <c r="C159" s="81">
        <f>线路!E156</f>
        <v>441829.2501</v>
      </c>
      <c r="D159" s="81">
        <f>线路!F156</f>
        <v>3036031.5372000001</v>
      </c>
      <c r="E159" s="85">
        <f>线路!G156</f>
        <v>10</v>
      </c>
      <c r="F159" s="85">
        <f>线路!H156</f>
        <v>35.219000000000001</v>
      </c>
      <c r="G159" s="86">
        <f>线路!L156</f>
        <v>18400.041119115347</v>
      </c>
      <c r="H159" s="86">
        <f>线路!M156</f>
        <v>18403.114556661647</v>
      </c>
      <c r="I159" s="86">
        <f>线路!N156</f>
        <v>18406.187994207947</v>
      </c>
      <c r="J159" s="83">
        <f t="shared" si="57"/>
        <v>6.1468750925996574</v>
      </c>
      <c r="K159" s="83">
        <f t="shared" si="67"/>
        <v>73.782862531137653</v>
      </c>
      <c r="L159" s="83">
        <f>IF(A159=1,断面设计!$D$7,IF(A159=2,断面设计!$D$8,IF(A159=3,断面设计!$D$9,IF(A159=4,断面设计!$D$10,IF(A159=5,断面设计!$D$11,IF(A159=6,断面设计!$D$12,IF(A159=7,断面设计!$D$13,IF(A159=8,断面设计!$D$14,IF(A159=9,断面设计!$D$15,IF(A159=10,断面设计!$D$16))))))))))</f>
        <v>1</v>
      </c>
      <c r="M159" s="83">
        <f t="shared" si="68"/>
        <v>1.2</v>
      </c>
      <c r="N159" s="110">
        <f t="shared" si="74"/>
        <v>1.4999999999999999E-2</v>
      </c>
      <c r="O159" s="83">
        <f>IF(A159=1,断面设计!$J$7,IF(A159=2,断面设计!$J$8,IF(A159=3,断面设计!$J$9,IF(A159=4,断面设计!$J$10,IF(A159=5,断面设计!$J$11,IF(A159=6,断面设计!$J$12,IF(A159=7,断面设计!$J$13,IF(A159=8,断面设计!$J$14,IF(A159=9,断面设计!$J$15,IF(A159=10,断面设计!$J$16))))))))))</f>
        <v>5000</v>
      </c>
      <c r="P159" s="111">
        <f>IF(A159=1,断面设计!$K$7,IF(A159=2,断面设计!$K$8,IF(A159=3,断面设计!$K$9,IF(A159=4,断面设计!$K$10,IF(A159=5,断面设计!$K$11,IF(A159=6,断面设计!$K$12,IF(A159=7,断面设计!$K$13,IF(A159=8,断面设计!$K$14,IF(A159=9,断面设计!$K$15,IF(A159=10,断面设计!$K$16))))))))))</f>
        <v>2.1008495889219181</v>
      </c>
      <c r="Q159" s="110">
        <f>IF(A159=1,断面设计!$C$7,IF(A159=2,断面设计!$C$8,IF(A159=3,断面设计!$C$9,IF(A159=4,断面设计!$C$10,IF(A159=5,断面设计!$C$11,IF(A159=6,断面设计!$C$12,IF(A159=7,断面设计!$C$13,IF(A159=8,断面设计!$C$14,IF(A159=9,断面设计!$C$15,IF(A159=10,断面设计!$C$16))))))))))</f>
        <v>1.22814064333749</v>
      </c>
      <c r="R159" s="83">
        <f>IF(A159=1,断面设计!$F$7,IF(A159=2,断面设计!$F$8,IF(A159=3,断面设计!$F$9,IF(A159=4,断面设计!$F$10,IF(A159=5,断面设计!$F$11,IF(A159=6,断面设计!$F$12,IF(A159=7,断面设计!$F$13,IF(A159=8,断面设计!$F$14,IF(A159=9,断面设计!$F$15,IF(A159=10,断面设计!$F$16))))))))))</f>
        <v>3.0381359711183982</v>
      </c>
      <c r="S159" s="83">
        <f>IF(A159=1,断面设计!$G$7,IF(A159=2,断面设计!$G$8,IF(A159=3,断面设计!$G$9,IF(A159=4,断面设计!$G$10,IF(A159=5,断面设计!$G$11,IF(A159=6,断面设计!$G$12,IF(A159=7,断面设计!$G$13,IF(A159=8,断面设计!$G$14,IF(A159=9,断面设计!$G$15,IF(A159=10,断面设计!$G$16))))))))))</f>
        <v>4.8368340246377688</v>
      </c>
      <c r="T159" s="83">
        <f t="shared" si="69"/>
        <v>0.62812491717573971</v>
      </c>
      <c r="U159" s="83">
        <f t="shared" si="70"/>
        <v>0.69149294465203071</v>
      </c>
      <c r="V159" s="123">
        <f t="shared" si="76"/>
        <v>6.4091445748375988E-4</v>
      </c>
      <c r="W159" s="127"/>
      <c r="X159" s="110">
        <f>IF(AN159=0,IF(AN158=2,(H159-H158-AE158)/O159,(H159-H158)/O159),IF(AN159=1,IF(AN158=2,IF(AE159&lt;9,(H159-H158-AE159-AE158)/断面设计!$J$7,(H159-H158-AE159-AE158)/断面设计!$J$7),(H159-H158-AE159)/O158),(H159-H158)/O159))</f>
        <v>1.4756572506227531E-2</v>
      </c>
      <c r="Y159" s="133">
        <v>0</v>
      </c>
      <c r="Z159" s="134">
        <f t="shared" si="75"/>
        <v>0</v>
      </c>
      <c r="AA159" s="142"/>
      <c r="AB159" s="133">
        <f t="shared" si="58"/>
        <v>1.22814064333749</v>
      </c>
      <c r="AC159" s="110">
        <f t="shared" si="59"/>
        <v>1.5397486963711291E-2</v>
      </c>
      <c r="AD159" s="110">
        <f t="shared" ca="1" si="71"/>
        <v>2375.581462634409</v>
      </c>
      <c r="AE159" s="82">
        <f t="shared" si="72"/>
        <v>0</v>
      </c>
      <c r="AF159" s="110" t="str">
        <f t="shared" si="60"/>
        <v xml:space="preserve"> </v>
      </c>
      <c r="AG159" s="110" t="str">
        <f>IF(AE159=0," ",AF159-断面设计!$C$7)</f>
        <v xml:space="preserve"> </v>
      </c>
      <c r="AH159" s="110">
        <f t="shared" ca="1" si="61"/>
        <v>2375.582718236376</v>
      </c>
      <c r="AI159" s="110">
        <f t="shared" ca="1" si="62"/>
        <v>2374.3545775930384</v>
      </c>
      <c r="AJ159" s="110">
        <f t="shared" ca="1" si="63"/>
        <v>2375.5808479468997</v>
      </c>
      <c r="AK159" s="110">
        <f t="shared" ca="1" si="64"/>
        <v>2374.3527073035621</v>
      </c>
      <c r="AL159" s="110">
        <f t="shared" ca="1" si="65"/>
        <v>2375.5817830916376</v>
      </c>
      <c r="AM159" s="110">
        <f t="shared" ca="1" si="66"/>
        <v>2374.3536424483</v>
      </c>
      <c r="AN159" s="127"/>
      <c r="AO159" s="80">
        <v>0</v>
      </c>
      <c r="AU159" s="64" t="str">
        <f t="shared" ca="1" si="73"/>
        <v>18403.1145566616,2374.3536424483</v>
      </c>
      <c r="AV159" s="64" t="str">
        <f t="shared" ca="1" si="55"/>
        <v>18403.1145566616,2375.58178309164</v>
      </c>
      <c r="AW159" s="169" t="str">
        <f t="shared" si="56"/>
        <v xml:space="preserve">pl 18403.1145566616,0 18403.1145566616,76 </v>
      </c>
      <c r="AX159" s="161" t="str">
        <f t="shared" ca="1" si="52"/>
        <v>-text 18403.1145566616,48 3.5 90 2374.354</v>
      </c>
      <c r="AY159" s="161" t="str">
        <f t="shared" ca="1" si="53"/>
        <v>-text 18403.1145566616,62.5 3.5 90 2375.582</v>
      </c>
      <c r="AZ159" s="42" t="str">
        <f t="shared" si="54"/>
        <v>-text 18403.1145566616,23.5 3.5 90 马分18+403.11</v>
      </c>
    </row>
    <row r="160" spans="1:206" s="42" customFormat="1" x14ac:dyDescent="0.25">
      <c r="A160" s="80">
        <v>8</v>
      </c>
      <c r="B160" s="76" t="str">
        <f>线路!B157</f>
        <v>IP100</v>
      </c>
      <c r="C160" s="81">
        <f>线路!E157</f>
        <v>441762.1385</v>
      </c>
      <c r="D160" s="81">
        <f>线路!F157</f>
        <v>3035978.1406</v>
      </c>
      <c r="E160" s="85">
        <f>线路!G157</f>
        <v>10</v>
      </c>
      <c r="F160" s="85">
        <f>线路!H157</f>
        <v>19.632000000000001</v>
      </c>
      <c r="G160" s="86">
        <f>线路!L157</f>
        <v>18487.046057725085</v>
      </c>
      <c r="H160" s="86">
        <f>线路!M157</f>
        <v>18488.759272918844</v>
      </c>
      <c r="I160" s="86">
        <f>线路!N157</f>
        <v>18490.472488112602</v>
      </c>
      <c r="J160" s="83">
        <f t="shared" si="57"/>
        <v>3.4264303875170299</v>
      </c>
      <c r="K160" s="83">
        <f t="shared" si="67"/>
        <v>85.644716257196706</v>
      </c>
      <c r="L160" s="83">
        <f>IF(A160=1,断面设计!$D$7,IF(A160=2,断面设计!$D$8,IF(A160=3,断面设计!$D$9,IF(A160=4,断面设计!$D$10,IF(A160=5,断面设计!$D$11,IF(A160=6,断面设计!$D$12,IF(A160=7,断面设计!$D$13,IF(A160=8,断面设计!$D$14,IF(A160=9,断面设计!$D$15,IF(A160=10,断面设计!$D$16))))))))))</f>
        <v>1</v>
      </c>
      <c r="M160" s="83">
        <f t="shared" si="68"/>
        <v>1.2</v>
      </c>
      <c r="N160" s="110">
        <f t="shared" si="74"/>
        <v>1.4999999999999999E-2</v>
      </c>
      <c r="O160" s="83">
        <f>IF(A160=1,断面设计!$J$7,IF(A160=2,断面设计!$J$8,IF(A160=3,断面设计!$J$9,IF(A160=4,断面设计!$J$10,IF(A160=5,断面设计!$J$11,IF(A160=6,断面设计!$J$12,IF(A160=7,断面设计!$J$13,IF(A160=8,断面设计!$J$14,IF(A160=9,断面设计!$J$15,IF(A160=10,断面设计!$J$16))))))))))</f>
        <v>5000</v>
      </c>
      <c r="P160" s="111">
        <f>IF(A160=1,断面设计!$K$7,IF(A160=2,断面设计!$K$8,IF(A160=3,断面设计!$K$9,IF(A160=4,断面设计!$K$10,IF(A160=5,断面设计!$K$11,IF(A160=6,断面设计!$K$12,IF(A160=7,断面设计!$K$13,IF(A160=8,断面设计!$K$14,IF(A160=9,断面设计!$K$15,IF(A160=10,断面设计!$K$16))))))))))</f>
        <v>2.1008495889219181</v>
      </c>
      <c r="Q160" s="110">
        <f>IF(A160=1,断面设计!$C$7,IF(A160=2,断面设计!$C$8,IF(A160=3,断面设计!$C$9,IF(A160=4,断面设计!$C$10,IF(A160=5,断面设计!$C$11,IF(A160=6,断面设计!$C$12,IF(A160=7,断面设计!$C$13,IF(A160=8,断面设计!$C$14,IF(A160=9,断面设计!$C$15,IF(A160=10,断面设计!$C$16))))))))))</f>
        <v>1.22814064333749</v>
      </c>
      <c r="R160" s="83">
        <f>IF(A160=1,断面设计!$F$7,IF(A160=2,断面设计!$F$8,IF(A160=3,断面设计!$F$9,IF(A160=4,断面设计!$F$10,IF(A160=5,断面设计!$F$11,IF(A160=6,断面设计!$F$12,IF(A160=7,断面设计!$F$13,IF(A160=8,断面设计!$F$14,IF(A160=9,断面设计!$F$15,IF(A160=10,断面设计!$F$16))))))))))</f>
        <v>3.0381359711183982</v>
      </c>
      <c r="S160" s="83">
        <f>IF(A160=1,断面设计!$G$7,IF(A160=2,断面设计!$G$8,IF(A160=3,断面设计!$G$9,IF(A160=4,断面设计!$G$10,IF(A160=5,断面设计!$G$11,IF(A160=6,断面设计!$G$12,IF(A160=7,断面设计!$G$13,IF(A160=8,断面设计!$G$14,IF(A160=9,断面设计!$G$15,IF(A160=10,断面设计!$G$16))))))))))</f>
        <v>4.8368340246377688</v>
      </c>
      <c r="T160" s="83">
        <f t="shared" si="69"/>
        <v>0.62812491717573971</v>
      </c>
      <c r="U160" s="83">
        <f t="shared" si="70"/>
        <v>0.69149294465203071</v>
      </c>
      <c r="V160" s="123">
        <f t="shared" si="76"/>
        <v>3.5726263179891392E-4</v>
      </c>
      <c r="W160" s="127"/>
      <c r="X160" s="110">
        <f>IF(AN160=0,IF(AN159=2,(H160-H159-AE159)/O160,(H160-H159)/O160),IF(AN160=1,IF(AN159=2,IF(AE160&lt;9,(H160-H159-AE160-AE159)/断面设计!$J$7,(H160-H159-AE160-AE159)/断面设计!$J$7),(H160-H159-AE160)/O159),(H160-H159)/O160))</f>
        <v>1.7128943251439342E-2</v>
      </c>
      <c r="Y160" s="133">
        <v>0</v>
      </c>
      <c r="Z160" s="134">
        <f t="shared" si="75"/>
        <v>0</v>
      </c>
      <c r="AA160" s="142"/>
      <c r="AB160" s="133">
        <f t="shared" si="58"/>
        <v>1.22814064333749</v>
      </c>
      <c r="AC160" s="110">
        <f t="shared" si="59"/>
        <v>1.7486205883238255E-2</v>
      </c>
      <c r="AD160" s="110">
        <f t="shared" ca="1" si="71"/>
        <v>2375.5639764285256</v>
      </c>
      <c r="AE160" s="82">
        <f t="shared" si="72"/>
        <v>0</v>
      </c>
      <c r="AF160" s="110" t="str">
        <f t="shared" si="60"/>
        <v xml:space="preserve"> </v>
      </c>
      <c r="AG160" s="110" t="str">
        <f>IF(AE160=0," ",AF160-断面设计!$C$7)</f>
        <v xml:space="preserve"> </v>
      </c>
      <c r="AH160" s="110">
        <f t="shared" ca="1" si="61"/>
        <v>2375.5646763341965</v>
      </c>
      <c r="AI160" s="110">
        <f t="shared" ca="1" si="62"/>
        <v>2374.3365356908589</v>
      </c>
      <c r="AJ160" s="110">
        <f t="shared" ca="1" si="63"/>
        <v>2375.5636337854867</v>
      </c>
      <c r="AK160" s="110">
        <f t="shared" ca="1" si="64"/>
        <v>2374.3354931421491</v>
      </c>
      <c r="AL160" s="110">
        <f t="shared" ca="1" si="65"/>
        <v>2375.5641550598416</v>
      </c>
      <c r="AM160" s="110">
        <f t="shared" ca="1" si="66"/>
        <v>2374.336014416504</v>
      </c>
      <c r="AN160" s="127"/>
      <c r="AO160" s="80">
        <v>0</v>
      </c>
      <c r="AU160" s="64" t="str">
        <f t="shared" ca="1" si="73"/>
        <v>18488.7592729188,2374.3360144165</v>
      </c>
      <c r="AV160" s="64" t="str">
        <f t="shared" ca="1" si="55"/>
        <v>18488.7592729188,2375.56415505984</v>
      </c>
      <c r="AW160" s="169" t="str">
        <f t="shared" si="56"/>
        <v xml:space="preserve">pl 18488.7592729188,0 18488.7592729188,76 </v>
      </c>
      <c r="AX160" s="161" t="str">
        <f t="shared" ca="1" si="52"/>
        <v>-text 18488.7592729188,48 3.5 90 2374.336</v>
      </c>
      <c r="AY160" s="161" t="str">
        <f t="shared" ca="1" si="53"/>
        <v>-text 18488.7592729188,62.5 3.5 90 2375.564</v>
      </c>
      <c r="AZ160" s="42" t="str">
        <f t="shared" si="54"/>
        <v>-text 18488.7592729188,23.5 3.5 90 马分18+488.76</v>
      </c>
    </row>
    <row r="161" spans="1:206" s="42" customFormat="1" x14ac:dyDescent="0.25">
      <c r="A161" s="80">
        <v>8</v>
      </c>
      <c r="B161" s="76" t="str">
        <f>线路!B158</f>
        <v>IP101</v>
      </c>
      <c r="C161" s="81">
        <f>线路!E158</f>
        <v>441735.64539999998</v>
      </c>
      <c r="D161" s="81">
        <f>线路!F158</f>
        <v>3035935.5133000002</v>
      </c>
      <c r="E161" s="85">
        <f>线路!G158</f>
        <v>10</v>
      </c>
      <c r="F161" s="85">
        <f>线路!H158</f>
        <v>18.256</v>
      </c>
      <c r="G161" s="86">
        <f>线路!L158</f>
        <v>18537.324911009633</v>
      </c>
      <c r="H161" s="86">
        <f>线路!M158</f>
        <v>18538.918047550855</v>
      </c>
      <c r="I161" s="86">
        <f>线路!N158</f>
        <v>18540.511184092073</v>
      </c>
      <c r="J161" s="83">
        <f t="shared" si="57"/>
        <v>3.186273082439584</v>
      </c>
      <c r="K161" s="83">
        <f t="shared" si="67"/>
        <v>50.158774632011045</v>
      </c>
      <c r="L161" s="83">
        <f>IF(A161=1,断面设计!$D$7,IF(A161=2,断面设计!$D$8,IF(A161=3,断面设计!$D$9,IF(A161=4,断面设计!$D$10,IF(A161=5,断面设计!$D$11,IF(A161=6,断面设计!$D$12,IF(A161=7,断面设计!$D$13,IF(A161=8,断面设计!$D$14,IF(A161=9,断面设计!$D$15,IF(A161=10,断面设计!$D$16))))))))))</f>
        <v>1</v>
      </c>
      <c r="M161" s="83">
        <f t="shared" si="68"/>
        <v>1.2</v>
      </c>
      <c r="N161" s="110">
        <f t="shared" si="74"/>
        <v>1.4999999999999999E-2</v>
      </c>
      <c r="O161" s="83">
        <f>IF(A161=1,断面设计!$J$7,IF(A161=2,断面设计!$J$8,IF(A161=3,断面设计!$J$9,IF(A161=4,断面设计!$J$10,IF(A161=5,断面设计!$J$11,IF(A161=6,断面设计!$J$12,IF(A161=7,断面设计!$J$13,IF(A161=8,断面设计!$J$14,IF(A161=9,断面设计!$J$15,IF(A161=10,断面设计!$J$16))))))))))</f>
        <v>5000</v>
      </c>
      <c r="P161" s="111">
        <f>IF(A161=1,断面设计!$K$7,IF(A161=2,断面设计!$K$8,IF(A161=3,断面设计!$K$9,IF(A161=4,断面设计!$K$10,IF(A161=5,断面设计!$K$11,IF(A161=6,断面设计!$K$12,IF(A161=7,断面设计!$K$13,IF(A161=8,断面设计!$K$14,IF(A161=9,断面设计!$K$15,IF(A161=10,断面设计!$K$16))))))))))</f>
        <v>2.1008495889219181</v>
      </c>
      <c r="Q161" s="110">
        <f>IF(A161=1,断面设计!$C$7,IF(A161=2,断面设计!$C$8,IF(A161=3,断面设计!$C$9,IF(A161=4,断面设计!$C$10,IF(A161=5,断面设计!$C$11,IF(A161=6,断面设计!$C$12,IF(A161=7,断面设计!$C$13,IF(A161=8,断面设计!$C$14,IF(A161=9,断面设计!$C$15,IF(A161=10,断面设计!$C$16))))))))))</f>
        <v>1.22814064333749</v>
      </c>
      <c r="R161" s="83">
        <f>IF(A161=1,断面设计!$F$7,IF(A161=2,断面设计!$F$8,IF(A161=3,断面设计!$F$9,IF(A161=4,断面设计!$F$10,IF(A161=5,断面设计!$F$11,IF(A161=6,断面设计!$F$12,IF(A161=7,断面设计!$F$13,IF(A161=8,断面设计!$F$14,IF(A161=9,断面设计!$F$15,IF(A161=10,断面设计!$F$16))))))))))</f>
        <v>3.0381359711183982</v>
      </c>
      <c r="S161" s="83">
        <f>IF(A161=1,断面设计!$G$7,IF(A161=2,断面设计!$G$8,IF(A161=3,断面设计!$G$9,IF(A161=4,断面设计!$G$10,IF(A161=5,断面设计!$G$11,IF(A161=6,断面设计!$G$12,IF(A161=7,断面设计!$G$13,IF(A161=8,断面设计!$G$14,IF(A161=9,断面设计!$G$15,IF(A161=10,断面设计!$G$16))))))))))</f>
        <v>4.8368340246377688</v>
      </c>
      <c r="T161" s="83">
        <f t="shared" si="69"/>
        <v>0.62812491717573971</v>
      </c>
      <c r="U161" s="83">
        <f t="shared" si="70"/>
        <v>0.69149294465203071</v>
      </c>
      <c r="V161" s="123">
        <f t="shared" si="76"/>
        <v>3.3222221913788868E-4</v>
      </c>
      <c r="W161" s="127"/>
      <c r="X161" s="110">
        <f>IF(AN161=0,IF(AN160=2,(H161-H160-AE160)/O161,(H161-H160)/O161),IF(AN161=1,IF(AN160=2,IF(AE161&lt;9,(H161-H160-AE161-AE160)/断面设计!$J$7,(H161-H160-AE161-AE160)/断面设计!$J$7),(H161-H160-AE161)/O160),(H161-H160)/O161))</f>
        <v>1.0031754926402209E-2</v>
      </c>
      <c r="Y161" s="133">
        <v>0</v>
      </c>
      <c r="Z161" s="134">
        <f t="shared" si="75"/>
        <v>0</v>
      </c>
      <c r="AA161" s="142"/>
      <c r="AB161" s="133">
        <f t="shared" si="58"/>
        <v>1.22814064333749</v>
      </c>
      <c r="AC161" s="110">
        <f t="shared" si="59"/>
        <v>1.0363977145540097E-2</v>
      </c>
      <c r="AD161" s="110">
        <f t="shared" ca="1" si="71"/>
        <v>2375.5536124513801</v>
      </c>
      <c r="AE161" s="82">
        <f t="shared" si="72"/>
        <v>0</v>
      </c>
      <c r="AF161" s="110" t="str">
        <f t="shared" si="60"/>
        <v xml:space="preserve"> </v>
      </c>
      <c r="AG161" s="110" t="str">
        <f>IF(AE161=0," ",AF161-断面设计!$C$7)</f>
        <v xml:space="preserve"> </v>
      </c>
      <c r="AH161" s="110">
        <f t="shared" ca="1" si="61"/>
        <v>2375.5542633009077</v>
      </c>
      <c r="AI161" s="110">
        <f t="shared" ca="1" si="62"/>
        <v>2374.3261226575701</v>
      </c>
      <c r="AJ161" s="110">
        <f t="shared" ca="1" si="63"/>
        <v>2375.5532938240717</v>
      </c>
      <c r="AK161" s="110">
        <f t="shared" ca="1" si="64"/>
        <v>2374.3251531807341</v>
      </c>
      <c r="AL161" s="110">
        <f t="shared" ca="1" si="65"/>
        <v>2375.5537785624897</v>
      </c>
      <c r="AM161" s="110">
        <f t="shared" ca="1" si="66"/>
        <v>2374.3256379191521</v>
      </c>
      <c r="AN161" s="127"/>
      <c r="AO161" s="80">
        <v>0</v>
      </c>
      <c r="AS161" s="161"/>
      <c r="AT161" s="161"/>
      <c r="AU161" s="64" t="str">
        <f t="shared" ca="1" si="73"/>
        <v>18538.9180475509,2374.32563791915</v>
      </c>
      <c r="AV161" s="64" t="str">
        <f t="shared" ca="1" si="55"/>
        <v>18538.9180475509,2375.55377856249</v>
      </c>
      <c r="AW161" s="169" t="str">
        <f t="shared" si="56"/>
        <v xml:space="preserve">pl 18538.9180475509,0 18538.9180475509,76 </v>
      </c>
      <c r="AX161" s="161" t="str">
        <f t="shared" ca="1" si="52"/>
        <v>-text 18538.9180475509,48 3.5 90 2374.326</v>
      </c>
      <c r="AY161" s="161" t="str">
        <f t="shared" ca="1" si="53"/>
        <v>-text 18538.9180475509,62.5 3.5 90 2375.554</v>
      </c>
      <c r="AZ161" s="42" t="str">
        <f t="shared" si="54"/>
        <v>-text 18538.9180475509,23.5 3.5 90 马分18+538.92</v>
      </c>
    </row>
    <row r="162" spans="1:206" s="42" customFormat="1" x14ac:dyDescent="0.25">
      <c r="A162" s="80">
        <v>8</v>
      </c>
      <c r="B162" s="76" t="str">
        <f>线路!B159</f>
        <v>IP102</v>
      </c>
      <c r="C162" s="81">
        <f>线路!E159</f>
        <v>441726.08279999997</v>
      </c>
      <c r="D162" s="81">
        <f>线路!F159</f>
        <v>3035896.0014999998</v>
      </c>
      <c r="E162" s="85">
        <f>线路!G159</f>
        <v>10</v>
      </c>
      <c r="F162" s="85">
        <f>线路!H159</f>
        <v>18.228000000000002</v>
      </c>
      <c r="G162" s="86">
        <f>线路!L159</f>
        <v>18577.952682968316</v>
      </c>
      <c r="H162" s="86">
        <f>线路!M159</f>
        <v>18579.543376048583</v>
      </c>
      <c r="I162" s="86">
        <f>线路!N159</f>
        <v>18581.134069128853</v>
      </c>
      <c r="J162" s="83">
        <f t="shared" si="57"/>
        <v>3.1813861605369311</v>
      </c>
      <c r="K162" s="83">
        <f t="shared" si="67"/>
        <v>40.625328497728333</v>
      </c>
      <c r="L162" s="83">
        <f>IF(A162=1,断面设计!$D$7,IF(A162=2,断面设计!$D$8,IF(A162=3,断面设计!$D$9,IF(A162=4,断面设计!$D$10,IF(A162=5,断面设计!$D$11,IF(A162=6,断面设计!$D$12,IF(A162=7,断面设计!$D$13,IF(A162=8,断面设计!$D$14,IF(A162=9,断面设计!$D$15,IF(A162=10,断面设计!$D$16))))))))))</f>
        <v>1</v>
      </c>
      <c r="M162" s="83">
        <f t="shared" si="68"/>
        <v>1.2</v>
      </c>
      <c r="N162" s="110">
        <f t="shared" si="74"/>
        <v>1.4999999999999999E-2</v>
      </c>
      <c r="O162" s="83">
        <f>IF(A162=1,断面设计!$J$7,IF(A162=2,断面设计!$J$8,IF(A162=3,断面设计!$J$9,IF(A162=4,断面设计!$J$10,IF(A162=5,断面设计!$J$11,IF(A162=6,断面设计!$J$12,IF(A162=7,断面设计!$J$13,IF(A162=8,断面设计!$J$14,IF(A162=9,断面设计!$J$15,IF(A162=10,断面设计!$J$16))))))))))</f>
        <v>5000</v>
      </c>
      <c r="P162" s="111">
        <f>IF(A162=1,断面设计!$K$7,IF(A162=2,断面设计!$K$8,IF(A162=3,断面设计!$K$9,IF(A162=4,断面设计!$K$10,IF(A162=5,断面设计!$K$11,IF(A162=6,断面设计!$K$12,IF(A162=7,断面设计!$K$13,IF(A162=8,断面设计!$K$14,IF(A162=9,断面设计!$K$15,IF(A162=10,断面设计!$K$16))))))))))</f>
        <v>2.1008495889219181</v>
      </c>
      <c r="Q162" s="110">
        <f>IF(A162=1,断面设计!$C$7,IF(A162=2,断面设计!$C$8,IF(A162=3,断面设计!$C$9,IF(A162=4,断面设计!$C$10,IF(A162=5,断面设计!$C$11,IF(A162=6,断面设计!$C$12,IF(A162=7,断面设计!$C$13,IF(A162=8,断面设计!$C$14,IF(A162=9,断面设计!$C$15,IF(A162=10,断面设计!$C$16))))))))))</f>
        <v>1.22814064333749</v>
      </c>
      <c r="R162" s="83">
        <f>IF(A162=1,断面设计!$F$7,IF(A162=2,断面设计!$F$8,IF(A162=3,断面设计!$F$9,IF(A162=4,断面设计!$F$10,IF(A162=5,断面设计!$F$11,IF(A162=6,断面设计!$F$12,IF(A162=7,断面设计!$F$13,IF(A162=8,断面设计!$F$14,IF(A162=9,断面设计!$F$15,IF(A162=10,断面设计!$F$16))))))))))</f>
        <v>3.0381359711183982</v>
      </c>
      <c r="S162" s="83">
        <f>IF(A162=1,断面设计!$G$7,IF(A162=2,断面设计!$G$8,IF(A162=3,断面设计!$G$9,IF(A162=4,断面设计!$G$10,IF(A162=5,断面设计!$G$11,IF(A162=6,断面设计!$G$12,IF(A162=7,断面设计!$G$13,IF(A162=8,断面设计!$G$14,IF(A162=9,断面设计!$G$15,IF(A162=10,断面设计!$G$16))))))))))</f>
        <v>4.8368340246377688</v>
      </c>
      <c r="T162" s="83">
        <f t="shared" si="69"/>
        <v>0.62812491717573971</v>
      </c>
      <c r="U162" s="83">
        <f t="shared" si="70"/>
        <v>0.69149294465203071</v>
      </c>
      <c r="V162" s="123">
        <f t="shared" si="76"/>
        <v>3.3171267585730779E-4</v>
      </c>
      <c r="W162" s="127"/>
      <c r="X162" s="110">
        <f>IF(AN162=0,IF(AN161=2,(H162-H161-AE161)/O162,(H162-H161)/O162),IF(AN162=1,IF(AN161=2,IF(AE162&lt;9,(H162-H161-AE162-AE161)/断面设计!$J$7,(H162-H161-AE162-AE161)/断面设计!$J$7),(H162-H161-AE162)/O161),(H162-H161)/O162))</f>
        <v>8.1250656995456669E-3</v>
      </c>
      <c r="Y162" s="133">
        <v>0</v>
      </c>
      <c r="Z162" s="134">
        <f t="shared" si="75"/>
        <v>0</v>
      </c>
      <c r="AA162" s="142"/>
      <c r="AB162" s="133">
        <f t="shared" si="58"/>
        <v>1.22814064333749</v>
      </c>
      <c r="AC162" s="110">
        <f t="shared" si="59"/>
        <v>8.4567783754029742E-3</v>
      </c>
      <c r="AD162" s="110">
        <f t="shared" ca="1" si="71"/>
        <v>2375.5451556730045</v>
      </c>
      <c r="AE162" s="82">
        <f t="shared" si="72"/>
        <v>0</v>
      </c>
      <c r="AF162" s="110" t="str">
        <f t="shared" si="60"/>
        <v xml:space="preserve"> </v>
      </c>
      <c r="AG162" s="110" t="str">
        <f>IF(AE162=0," ",AF162-断面设计!$C$7)</f>
        <v xml:space="preserve"> </v>
      </c>
      <c r="AH162" s="110">
        <f t="shared" ca="1" si="61"/>
        <v>2375.5458055242962</v>
      </c>
      <c r="AI162" s="110">
        <f t="shared" ca="1" si="62"/>
        <v>2374.3176648809585</v>
      </c>
      <c r="AJ162" s="110">
        <f t="shared" ca="1" si="63"/>
        <v>2375.5448375343885</v>
      </c>
      <c r="AK162" s="110">
        <f t="shared" ca="1" si="64"/>
        <v>2374.3166968910509</v>
      </c>
      <c r="AL162" s="110">
        <f t="shared" ca="1" si="65"/>
        <v>2375.5453215293423</v>
      </c>
      <c r="AM162" s="110">
        <f t="shared" ca="1" si="66"/>
        <v>2374.3171808860047</v>
      </c>
      <c r="AN162" s="127"/>
      <c r="AO162" s="80">
        <v>0</v>
      </c>
      <c r="AU162" s="64" t="str">
        <f t="shared" ca="1" si="73"/>
        <v>18579.5433760486,2374.317180886</v>
      </c>
      <c r="AV162" s="64" t="str">
        <f t="shared" ca="1" si="55"/>
        <v>18579.5433760486,2375.54532152934</v>
      </c>
      <c r="AW162" s="169" t="str">
        <f t="shared" si="56"/>
        <v xml:space="preserve">pl 18579.5433760486,0 18579.5433760486,76 </v>
      </c>
      <c r="AX162" s="161" t="str">
        <f t="shared" ca="1" si="52"/>
        <v>-text 18579.5433760486,48 3.5 90 2374.317</v>
      </c>
      <c r="AY162" s="161" t="str">
        <f t="shared" ca="1" si="53"/>
        <v>-text 18579.5433760486,62.5 3.5 90 2375.545</v>
      </c>
      <c r="AZ162" s="42" t="str">
        <f t="shared" si="54"/>
        <v>-text 18579.5433760486,23.5 3.5 90 马分18+579.54</v>
      </c>
    </row>
    <row r="163" spans="1:206" s="42" customFormat="1" x14ac:dyDescent="0.25">
      <c r="A163" s="80">
        <v>8</v>
      </c>
      <c r="B163" s="76" t="str">
        <f>线路!B160</f>
        <v>IP103</v>
      </c>
      <c r="C163" s="81">
        <f>线路!E160</f>
        <v>441729.68609999999</v>
      </c>
      <c r="D163" s="81">
        <f>线路!F160</f>
        <v>3035851.443</v>
      </c>
      <c r="E163" s="85">
        <f>线路!G160</f>
        <v>10</v>
      </c>
      <c r="F163" s="85">
        <f>线路!H160</f>
        <v>70.436000000000007</v>
      </c>
      <c r="G163" s="86">
        <f>线路!L160</f>
        <v>18617.174848549272</v>
      </c>
      <c r="H163" s="86">
        <f>线路!M160</f>
        <v>18623.321549108947</v>
      </c>
      <c r="I163" s="86">
        <f>线路!N160</f>
        <v>18629.468249668618</v>
      </c>
      <c r="J163" s="83">
        <f t="shared" si="57"/>
        <v>12.293401119346527</v>
      </c>
      <c r="K163" s="83">
        <f t="shared" si="67"/>
        <v>43.77817306036377</v>
      </c>
      <c r="L163" s="83">
        <f>IF(A163=1,断面设计!$D$7,IF(A163=2,断面设计!$D$8,IF(A163=3,断面设计!$D$9,IF(A163=4,断面设计!$D$10,IF(A163=5,断面设计!$D$11,IF(A163=6,断面设计!$D$12,IF(A163=7,断面设计!$D$13,IF(A163=8,断面设计!$D$14,IF(A163=9,断面设计!$D$15,IF(A163=10,断面设计!$D$16))))))))))</f>
        <v>1</v>
      </c>
      <c r="M163" s="83">
        <f t="shared" si="68"/>
        <v>1.2</v>
      </c>
      <c r="N163" s="110">
        <f t="shared" si="74"/>
        <v>1.4999999999999999E-2</v>
      </c>
      <c r="O163" s="83">
        <f>IF(A163=1,断面设计!$J$7,IF(A163=2,断面设计!$J$8,IF(A163=3,断面设计!$J$9,IF(A163=4,断面设计!$J$10,IF(A163=5,断面设计!$J$11,IF(A163=6,断面设计!$J$12,IF(A163=7,断面设计!$J$13,IF(A163=8,断面设计!$J$14,IF(A163=9,断面设计!$J$15,IF(A163=10,断面设计!$J$16))))))))))</f>
        <v>5000</v>
      </c>
      <c r="P163" s="111">
        <f>IF(A163=1,断面设计!$K$7,IF(A163=2,断面设计!$K$8,IF(A163=3,断面设计!$K$9,IF(A163=4,断面设计!$K$10,IF(A163=5,断面设计!$K$11,IF(A163=6,断面设计!$K$12,IF(A163=7,断面设计!$K$13,IF(A163=8,断面设计!$K$14,IF(A163=9,断面设计!$K$15,IF(A163=10,断面设计!$K$16))))))))))</f>
        <v>2.1008495889219181</v>
      </c>
      <c r="Q163" s="110">
        <f>IF(A163=1,断面设计!$C$7,IF(A163=2,断面设计!$C$8,IF(A163=3,断面设计!$C$9,IF(A163=4,断面设计!$C$10,IF(A163=5,断面设计!$C$11,IF(A163=6,断面设计!$C$12,IF(A163=7,断面设计!$C$13,IF(A163=8,断面设计!$C$14,IF(A163=9,断面设计!$C$15,IF(A163=10,断面设计!$C$16))))))))))</f>
        <v>1.22814064333749</v>
      </c>
      <c r="R163" s="83">
        <f>IF(A163=1,断面设计!$F$7,IF(A163=2,断面设计!$F$8,IF(A163=3,断面设计!$F$9,IF(A163=4,断面设计!$F$10,IF(A163=5,断面设计!$F$11,IF(A163=6,断面设计!$F$12,IF(A163=7,断面设计!$F$13,IF(A163=8,断面设计!$F$14,IF(A163=9,断面设计!$F$15,IF(A163=10,断面设计!$F$16))))))))))</f>
        <v>3.0381359711183982</v>
      </c>
      <c r="S163" s="83">
        <f>IF(A163=1,断面设计!$G$7,IF(A163=2,断面设计!$G$8,IF(A163=3,断面设计!$G$9,IF(A163=4,断面设计!$G$10,IF(A163=5,断面设计!$G$11,IF(A163=6,断面设计!$G$12,IF(A163=7,断面设计!$G$13,IF(A163=8,断面设计!$G$14,IF(A163=9,断面设计!$G$15,IF(A163=10,断面设计!$G$16))))))))))</f>
        <v>4.8368340246377688</v>
      </c>
      <c r="T163" s="83">
        <f t="shared" si="69"/>
        <v>0.62812491717573971</v>
      </c>
      <c r="U163" s="83">
        <f t="shared" si="70"/>
        <v>0.69149294465203071</v>
      </c>
      <c r="V163" s="123">
        <f t="shared" si="76"/>
        <v>1.2817925190186355E-3</v>
      </c>
      <c r="W163" s="127"/>
      <c r="X163" s="110">
        <f>IF(AN163=0,IF(AN162=2,(H163-H162-AE162)/O163,(H163-H162)/O163),IF(AN163=1,IF(AN162=2,IF(AE163&lt;9,(H163-H162-AE163-AE162)/断面设计!$J$7,(H163-H162-AE163-AE162)/断面设计!$J$7),(H163-H162-AE163)/O162),(H163-H162)/O163))</f>
        <v>8.7556346120727536E-3</v>
      </c>
      <c r="Y163" s="133">
        <v>0</v>
      </c>
      <c r="Z163" s="134">
        <f t="shared" si="75"/>
        <v>0</v>
      </c>
      <c r="AA163" s="142"/>
      <c r="AB163" s="133">
        <f t="shared" si="58"/>
        <v>1.22814064333749</v>
      </c>
      <c r="AC163" s="110">
        <f t="shared" si="59"/>
        <v>1.0037427131091389E-2</v>
      </c>
      <c r="AD163" s="110">
        <f t="shared" ca="1" si="71"/>
        <v>2375.5351182458735</v>
      </c>
      <c r="AE163" s="82">
        <f t="shared" si="72"/>
        <v>0</v>
      </c>
      <c r="AF163" s="110" t="str">
        <f t="shared" si="60"/>
        <v xml:space="preserve"> </v>
      </c>
      <c r="AG163" s="110" t="str">
        <f>IF(AE163=0," ",AF163-断面设计!$C$7)</f>
        <v xml:space="preserve"> </v>
      </c>
      <c r="AH163" s="110">
        <f t="shared" ca="1" si="61"/>
        <v>2375.5376293785043</v>
      </c>
      <c r="AI163" s="110">
        <f t="shared" ca="1" si="62"/>
        <v>2374.3094887351667</v>
      </c>
      <c r="AJ163" s="110">
        <f t="shared" ca="1" si="63"/>
        <v>2375.5338889057616</v>
      </c>
      <c r="AK163" s="110">
        <f t="shared" ca="1" si="64"/>
        <v>2374.305748262424</v>
      </c>
      <c r="AL163" s="110">
        <f t="shared" ca="1" si="65"/>
        <v>2375.535759142133</v>
      </c>
      <c r="AM163" s="110">
        <f t="shared" ca="1" si="66"/>
        <v>2374.3076184987954</v>
      </c>
      <c r="AN163" s="127"/>
      <c r="AO163" s="80">
        <v>0</v>
      </c>
      <c r="AU163" s="64" t="str">
        <f t="shared" ca="1" si="73"/>
        <v>18623.3215491089,2374.3076184988</v>
      </c>
      <c r="AV163" s="64" t="str">
        <f t="shared" ca="1" si="55"/>
        <v>18623.3215491089,2375.53575914213</v>
      </c>
      <c r="AW163" s="169" t="str">
        <f t="shared" si="56"/>
        <v xml:space="preserve">pl 18623.3215491089,0 18623.3215491089,76 </v>
      </c>
      <c r="AX163" s="161" t="str">
        <f t="shared" ca="1" si="52"/>
        <v>-text 18623.3215491089,48 3.5 90 2374.308</v>
      </c>
      <c r="AY163" s="161" t="str">
        <f t="shared" ca="1" si="53"/>
        <v>-text 18623.3215491089,62.5 3.5 90 2375.536</v>
      </c>
      <c r="AZ163" s="42" t="str">
        <f t="shared" si="54"/>
        <v>-text 18623.3215491089,23.5 3.5 90 马分18+623.32</v>
      </c>
    </row>
    <row r="164" spans="1:206" s="42" customFormat="1" x14ac:dyDescent="0.25">
      <c r="A164" s="80">
        <v>8</v>
      </c>
      <c r="B164" s="76" t="str">
        <f>线路!B161</f>
        <v>IP104</v>
      </c>
      <c r="C164" s="81">
        <f>线路!E161</f>
        <v>441707.72529999999</v>
      </c>
      <c r="D164" s="81">
        <f>线路!F161</f>
        <v>3035841.5792999999</v>
      </c>
      <c r="E164" s="85">
        <f>线路!G161</f>
        <v>10</v>
      </c>
      <c r="F164" s="85">
        <f>线路!H161</f>
        <v>37.268000000000001</v>
      </c>
      <c r="G164" s="86">
        <f>线路!L161</f>
        <v>18643.111586237752</v>
      </c>
      <c r="H164" s="86">
        <f>线路!M161</f>
        <v>18646.363832765917</v>
      </c>
      <c r="I164" s="86">
        <f>线路!N161</f>
        <v>18649.616079294083</v>
      </c>
      <c r="J164" s="83">
        <f t="shared" si="57"/>
        <v>6.5044930563308299</v>
      </c>
      <c r="K164" s="83">
        <f t="shared" si="67"/>
        <v>23.04228365697054</v>
      </c>
      <c r="L164" s="83">
        <f>IF(A164=1,断面设计!$D$7,IF(A164=2,断面设计!$D$8,IF(A164=3,断面设计!$D$9,IF(A164=4,断面设计!$D$10,IF(A164=5,断面设计!$D$11,IF(A164=6,断面设计!$D$12,IF(A164=7,断面设计!$D$13,IF(A164=8,断面设计!$D$14,IF(A164=9,断面设计!$D$15,IF(A164=10,断面设计!$D$16))))))))))</f>
        <v>1</v>
      </c>
      <c r="M164" s="83">
        <f t="shared" si="68"/>
        <v>1.2</v>
      </c>
      <c r="N164" s="110">
        <f t="shared" si="74"/>
        <v>1.4999999999999999E-2</v>
      </c>
      <c r="O164" s="83">
        <f>IF(A164=1,断面设计!$J$7,IF(A164=2,断面设计!$J$8,IF(A164=3,断面设计!$J$9,IF(A164=4,断面设计!$J$10,IF(A164=5,断面设计!$J$11,IF(A164=6,断面设计!$J$12,IF(A164=7,断面设计!$J$13,IF(A164=8,断面设计!$J$14,IF(A164=9,断面设计!$J$15,IF(A164=10,断面设计!$J$16))))))))))</f>
        <v>5000</v>
      </c>
      <c r="P164" s="111">
        <f>IF(A164=1,断面设计!$K$7,IF(A164=2,断面设计!$K$8,IF(A164=3,断面设计!$K$9,IF(A164=4,断面设计!$K$10,IF(A164=5,断面设计!$K$11,IF(A164=6,断面设计!$K$12,IF(A164=7,断面设计!$K$13,IF(A164=8,断面设计!$K$14,IF(A164=9,断面设计!$K$15,IF(A164=10,断面设计!$K$16))))))))))</f>
        <v>2.1008495889219181</v>
      </c>
      <c r="Q164" s="110">
        <f>IF(A164=1,断面设计!$C$7,IF(A164=2,断面设计!$C$8,IF(A164=3,断面设计!$C$9,IF(A164=4,断面设计!$C$10,IF(A164=5,断面设计!$C$11,IF(A164=6,断面设计!$C$12,IF(A164=7,断面设计!$C$13,IF(A164=8,断面设计!$C$14,IF(A164=9,断面设计!$C$15,IF(A164=10,断面设计!$C$16))))))))))</f>
        <v>1.22814064333749</v>
      </c>
      <c r="R164" s="83">
        <f>IF(A164=1,断面设计!$F$7,IF(A164=2,断面设计!$F$8,IF(A164=3,断面设计!$F$9,IF(A164=4,断面设计!$F$10,IF(A164=5,断面设计!$F$11,IF(A164=6,断面设计!$F$12,IF(A164=7,断面设计!$F$13,IF(A164=8,断面设计!$F$14,IF(A164=9,断面设计!$F$15,IF(A164=10,断面设计!$F$16))))))))))</f>
        <v>3.0381359711183982</v>
      </c>
      <c r="S164" s="83">
        <f>IF(A164=1,断面设计!$G$7,IF(A164=2,断面设计!$G$8,IF(A164=3,断面设计!$G$9,IF(A164=4,断面设计!$G$10,IF(A164=5,断面设计!$G$11,IF(A164=6,断面设计!$G$12,IF(A164=7,断面设计!$G$13,IF(A164=8,断面设计!$G$14,IF(A164=9,断面设计!$G$15,IF(A164=10,断面设计!$G$16))))))))))</f>
        <v>4.8368340246377688</v>
      </c>
      <c r="T164" s="83">
        <f t="shared" si="69"/>
        <v>0.62812491717573971</v>
      </c>
      <c r="U164" s="83">
        <f t="shared" si="70"/>
        <v>0.69149294465203071</v>
      </c>
      <c r="V164" s="123">
        <f t="shared" si="76"/>
        <v>6.7820210685980663E-4</v>
      </c>
      <c r="W164" s="127"/>
      <c r="X164" s="110">
        <f>IF(AN164=0,IF(AN163=2,(H164-H163-AE163)/O164,(H164-H163)/O164),IF(AN164=1,IF(AN163=2,IF(AE164&lt;9,(H164-H163-AE164-AE163)/断面设计!$J$7,(H164-H163-AE164-AE163)/断面设计!$J$7),(H164-H163-AE164)/O163),(H164-H163)/O164))</f>
        <v>4.608456731394108E-3</v>
      </c>
      <c r="Y164" s="133">
        <v>0</v>
      </c>
      <c r="Z164" s="134">
        <f t="shared" si="75"/>
        <v>0</v>
      </c>
      <c r="AA164" s="142"/>
      <c r="AB164" s="133">
        <f t="shared" si="58"/>
        <v>1.22814064333749</v>
      </c>
      <c r="AC164" s="110">
        <f t="shared" si="59"/>
        <v>5.2866588382539147E-3</v>
      </c>
      <c r="AD164" s="110">
        <f t="shared" ca="1" si="71"/>
        <v>2375.5298315870355</v>
      </c>
      <c r="AE164" s="82">
        <f t="shared" si="72"/>
        <v>0</v>
      </c>
      <c r="AF164" s="110" t="str">
        <f t="shared" si="60"/>
        <v xml:space="preserve"> </v>
      </c>
      <c r="AG164" s="110" t="str">
        <f>IF(AE164=0," ",AF164-断面设计!$C$7)</f>
        <v xml:space="preserve"> </v>
      </c>
      <c r="AH164" s="110">
        <f t="shared" ca="1" si="61"/>
        <v>2375.5311602384481</v>
      </c>
      <c r="AI164" s="110">
        <f t="shared" ca="1" si="62"/>
        <v>2374.3030195951105</v>
      </c>
      <c r="AJ164" s="110">
        <f t="shared" ca="1" si="63"/>
        <v>2375.5291811377297</v>
      </c>
      <c r="AK164" s="110">
        <f t="shared" ca="1" si="64"/>
        <v>2374.3010404943921</v>
      </c>
      <c r="AL164" s="110">
        <f t="shared" ca="1" si="65"/>
        <v>2375.5301706880887</v>
      </c>
      <c r="AM164" s="110">
        <f t="shared" ca="1" si="66"/>
        <v>2374.3020300447511</v>
      </c>
      <c r="AN164" s="127"/>
      <c r="AO164" s="80">
        <v>0</v>
      </c>
      <c r="AU164" s="64" t="str">
        <f t="shared" ca="1" si="73"/>
        <v>18646.3638327659,2374.30203004475</v>
      </c>
      <c r="AV164" s="64" t="str">
        <f t="shared" ca="1" si="55"/>
        <v>18646.3638327659,2375.53017068809</v>
      </c>
      <c r="AW164" s="169" t="str">
        <f t="shared" si="56"/>
        <v xml:space="preserve">pl 18646.3638327659,0 18646.3638327659,76 </v>
      </c>
      <c r="AX164" s="161" t="str">
        <f t="shared" ca="1" si="52"/>
        <v>-text 18646.3638327659,48 3.5 90 2374.302</v>
      </c>
      <c r="AY164" s="161" t="str">
        <f t="shared" ca="1" si="53"/>
        <v>-text 18646.3638327659,62.5 3.5 90 2375.530</v>
      </c>
      <c r="AZ164" s="42" t="str">
        <f t="shared" si="54"/>
        <v>-text 18646.3638327659,23.5 3.5 90 马分18+646.36</v>
      </c>
    </row>
    <row r="165" spans="1:206" s="42" customFormat="1" x14ac:dyDescent="0.25">
      <c r="A165" s="80">
        <v>8</v>
      </c>
      <c r="B165" s="76" t="str">
        <f>线路!B162</f>
        <v>IP105</v>
      </c>
      <c r="C165" s="81">
        <f>线路!E162</f>
        <v>441657.61780000001</v>
      </c>
      <c r="D165" s="81">
        <f>线路!F162</f>
        <v>3035853.2223</v>
      </c>
      <c r="E165" s="85">
        <f>线路!G162</f>
        <v>10</v>
      </c>
      <c r="F165" s="85">
        <f>线路!H162</f>
        <v>31.9</v>
      </c>
      <c r="G165" s="86">
        <f>线路!L162</f>
        <v>18694.828492655332</v>
      </c>
      <c r="H165" s="86">
        <f>线路!M162</f>
        <v>18697.612292812264</v>
      </c>
      <c r="I165" s="86">
        <f>线路!N162</f>
        <v>18700.396092969193</v>
      </c>
      <c r="J165" s="83">
        <f t="shared" si="57"/>
        <v>5.567600313861476</v>
      </c>
      <c r="K165" s="83">
        <f t="shared" si="67"/>
        <v>51.248460046346736</v>
      </c>
      <c r="L165" s="83">
        <f>IF(A165=1,断面设计!$D$7,IF(A165=2,断面设计!$D$8,IF(A165=3,断面设计!$D$9,IF(A165=4,断面设计!$D$10,IF(A165=5,断面设计!$D$11,IF(A165=6,断面设计!$D$12,IF(A165=7,断面设计!$D$13,IF(A165=8,断面设计!$D$14,IF(A165=9,断面设计!$D$15,IF(A165=10,断面设计!$D$16))))))))))</f>
        <v>1</v>
      </c>
      <c r="M165" s="83">
        <f t="shared" si="68"/>
        <v>1.2</v>
      </c>
      <c r="N165" s="110">
        <f t="shared" si="74"/>
        <v>1.4999999999999999E-2</v>
      </c>
      <c r="O165" s="83">
        <f>IF(A165=1,断面设计!$J$7,IF(A165=2,断面设计!$J$8,IF(A165=3,断面设计!$J$9,IF(A165=4,断面设计!$J$10,IF(A165=5,断面设计!$J$11,IF(A165=6,断面设计!$J$12,IF(A165=7,断面设计!$J$13,IF(A165=8,断面设计!$J$14,IF(A165=9,断面设计!$J$15,IF(A165=10,断面设计!$J$16))))))))))</f>
        <v>5000</v>
      </c>
      <c r="P165" s="111">
        <f>IF(A165=1,断面设计!$K$7,IF(A165=2,断面设计!$K$8,IF(A165=3,断面设计!$K$9,IF(A165=4,断面设计!$K$10,IF(A165=5,断面设计!$K$11,IF(A165=6,断面设计!$K$12,IF(A165=7,断面设计!$K$13,IF(A165=8,断面设计!$K$14,IF(A165=9,断面设计!$K$15,IF(A165=10,断面设计!$K$16))))))))))</f>
        <v>2.1008495889219181</v>
      </c>
      <c r="Q165" s="110">
        <f>IF(A165=1,断面设计!$C$7,IF(A165=2,断面设计!$C$8,IF(A165=3,断面设计!$C$9,IF(A165=4,断面设计!$C$10,IF(A165=5,断面设计!$C$11,IF(A165=6,断面设计!$C$12,IF(A165=7,断面设计!$C$13,IF(A165=8,断面设计!$C$14,IF(A165=9,断面设计!$C$15,IF(A165=10,断面设计!$C$16))))))))))</f>
        <v>1.22814064333749</v>
      </c>
      <c r="R165" s="83">
        <f>IF(A165=1,断面设计!$F$7,IF(A165=2,断面设计!$F$8,IF(A165=3,断面设计!$F$9,IF(A165=4,断面设计!$F$10,IF(A165=5,断面设计!$F$11,IF(A165=6,断面设计!$F$12,IF(A165=7,断面设计!$F$13,IF(A165=8,断面设计!$F$14,IF(A165=9,断面设计!$F$15,IF(A165=10,断面设计!$F$16))))))))))</f>
        <v>3.0381359711183982</v>
      </c>
      <c r="S165" s="83">
        <f>IF(A165=1,断面设计!$G$7,IF(A165=2,断面设计!$G$8,IF(A165=3,断面设计!$G$9,IF(A165=4,断面设计!$G$10,IF(A165=5,断面设计!$G$11,IF(A165=6,断面设计!$G$12,IF(A165=7,断面设计!$G$13,IF(A165=8,断面设计!$G$14,IF(A165=9,断面设计!$G$15,IF(A165=10,断面设计!$G$16))))))))))</f>
        <v>4.8368340246377688</v>
      </c>
      <c r="T165" s="83">
        <f t="shared" si="69"/>
        <v>0.62812491717573971</v>
      </c>
      <c r="U165" s="83">
        <f t="shared" si="70"/>
        <v>0.69149294465203071</v>
      </c>
      <c r="V165" s="123">
        <f t="shared" si="76"/>
        <v>5.8051538072425646E-4</v>
      </c>
      <c r="W165" s="127"/>
      <c r="X165" s="110">
        <f>IF(AN165=0,IF(AN164=2,(H165-H164-AE164)/O165,(H165-H164)/O165),IF(AN165=1,IF(AN164=2,IF(AE165&lt;9,(H165-H164-AE165-AE164)/断面设计!$J$7,(H165-H164-AE165-AE164)/断面设计!$J$7),(H165-H164-AE165)/O164),(H165-H164)/O165))</f>
        <v>1.0249692009269347E-2</v>
      </c>
      <c r="Y165" s="133">
        <v>0</v>
      </c>
      <c r="Z165" s="134">
        <f t="shared" si="75"/>
        <v>0</v>
      </c>
      <c r="AA165" s="142"/>
      <c r="AB165" s="133">
        <f t="shared" si="58"/>
        <v>1.22814064333749</v>
      </c>
      <c r="AC165" s="110">
        <f t="shared" si="59"/>
        <v>1.0830207389993603E-2</v>
      </c>
      <c r="AD165" s="110">
        <f t="shared" ca="1" si="71"/>
        <v>2375.5190013796455</v>
      </c>
      <c r="AE165" s="82">
        <f t="shared" si="72"/>
        <v>0</v>
      </c>
      <c r="AF165" s="110" t="str">
        <f t="shared" si="60"/>
        <v xml:space="preserve"> </v>
      </c>
      <c r="AG165" s="110" t="str">
        <f>IF(AE165=0," ",AF165-断面设计!$C$7)</f>
        <v xml:space="preserve"> </v>
      </c>
      <c r="AH165" s="110">
        <f t="shared" ca="1" si="61"/>
        <v>2375.5201386550575</v>
      </c>
      <c r="AI165" s="110">
        <f t="shared" ca="1" si="62"/>
        <v>2374.2919980117199</v>
      </c>
      <c r="AJ165" s="110">
        <f t="shared" ca="1" si="63"/>
        <v>2375.518444619614</v>
      </c>
      <c r="AK165" s="110">
        <f t="shared" ca="1" si="64"/>
        <v>2374.2903039762764</v>
      </c>
      <c r="AL165" s="110">
        <f t="shared" ca="1" si="65"/>
        <v>2375.5192916373358</v>
      </c>
      <c r="AM165" s="110">
        <f t="shared" ca="1" si="66"/>
        <v>2374.2911509939981</v>
      </c>
      <c r="AN165" s="127"/>
      <c r="AO165" s="80">
        <v>0</v>
      </c>
      <c r="AU165" s="64" t="str">
        <f t="shared" ca="1" si="73"/>
        <v>18697.6122928123,2374.291150994</v>
      </c>
      <c r="AV165" s="64" t="str">
        <f t="shared" ca="1" si="55"/>
        <v>18697.6122928123,2375.51929163734</v>
      </c>
      <c r="AW165" s="169" t="str">
        <f t="shared" si="56"/>
        <v xml:space="preserve">pl 18697.6122928123,0 18697.6122928123,76 </v>
      </c>
      <c r="AX165" s="161" t="str">
        <f t="shared" ca="1" si="52"/>
        <v>-text 18697.6122928123,48 3.5 90 2374.291</v>
      </c>
      <c r="AY165" s="161" t="str">
        <f t="shared" ca="1" si="53"/>
        <v>-text 18697.6122928123,62.5 3.5 90 2375.519</v>
      </c>
      <c r="AZ165" s="42" t="str">
        <f t="shared" si="54"/>
        <v>-text 18697.6122928123,23.5 3.5 90 马分18+697.61</v>
      </c>
    </row>
    <row r="166" spans="1:206" s="42" customFormat="1" x14ac:dyDescent="0.25">
      <c r="A166" s="80">
        <v>8</v>
      </c>
      <c r="B166" s="76" t="str">
        <f>线路!B163</f>
        <v>IP106</v>
      </c>
      <c r="C166" s="81">
        <f>线路!E163</f>
        <v>441617.05489999999</v>
      </c>
      <c r="D166" s="81">
        <f>线路!F163</f>
        <v>3035893.7588</v>
      </c>
      <c r="E166" s="85">
        <f>线路!G163</f>
        <v>10</v>
      </c>
      <c r="F166" s="85">
        <f>线路!H163</f>
        <v>15.782</v>
      </c>
      <c r="G166" s="86">
        <f>线路!L163</f>
        <v>18753.498005994777</v>
      </c>
      <c r="H166" s="86">
        <f>线路!M163</f>
        <v>18754.875245307525</v>
      </c>
      <c r="I166" s="86">
        <f>线路!N163</f>
        <v>18756.252484620276</v>
      </c>
      <c r="J166" s="83">
        <f t="shared" si="57"/>
        <v>2.7544786254984501</v>
      </c>
      <c r="K166" s="83">
        <f t="shared" si="67"/>
        <v>57.262952495260834</v>
      </c>
      <c r="L166" s="83">
        <f>IF(A166=1,断面设计!$D$7,IF(A166=2,断面设计!$D$8,IF(A166=3,断面设计!$D$9,IF(A166=4,断面设计!$D$10,IF(A166=5,断面设计!$D$11,IF(A166=6,断面设计!$D$12,IF(A166=7,断面设计!$D$13,IF(A166=8,断面设计!$D$14,IF(A166=9,断面设计!$D$15,IF(A166=10,断面设计!$D$16))))))))))</f>
        <v>1</v>
      </c>
      <c r="M166" s="83">
        <f t="shared" si="68"/>
        <v>1.2</v>
      </c>
      <c r="N166" s="110">
        <f t="shared" si="74"/>
        <v>1.4999999999999999E-2</v>
      </c>
      <c r="O166" s="83">
        <f>IF(A166=1,断面设计!$J$7,IF(A166=2,断面设计!$J$8,IF(A166=3,断面设计!$J$9,IF(A166=4,断面设计!$J$10,IF(A166=5,断面设计!$J$11,IF(A166=6,断面设计!$J$12,IF(A166=7,断面设计!$J$13,IF(A166=8,断面设计!$J$14,IF(A166=9,断面设计!$J$15,IF(A166=10,断面设计!$J$16))))))))))</f>
        <v>5000</v>
      </c>
      <c r="P166" s="111">
        <f>IF(A166=1,断面设计!$K$7,IF(A166=2,断面设计!$K$8,IF(A166=3,断面设计!$K$9,IF(A166=4,断面设计!$K$10,IF(A166=5,断面设计!$K$11,IF(A166=6,断面设计!$K$12,IF(A166=7,断面设计!$K$13,IF(A166=8,断面设计!$K$14,IF(A166=9,断面设计!$K$15,IF(A166=10,断面设计!$K$16))))))))))</f>
        <v>2.1008495889219181</v>
      </c>
      <c r="Q166" s="110">
        <f>IF(A166=1,断面设计!$C$7,IF(A166=2,断面设计!$C$8,IF(A166=3,断面设计!$C$9,IF(A166=4,断面设计!$C$10,IF(A166=5,断面设计!$C$11,IF(A166=6,断面设计!$C$12,IF(A166=7,断面设计!$C$13,IF(A166=8,断面设计!$C$14,IF(A166=9,断面设计!$C$15,IF(A166=10,断面设计!$C$16))))))))))</f>
        <v>1.22814064333749</v>
      </c>
      <c r="R166" s="83">
        <f>IF(A166=1,断面设计!$F$7,IF(A166=2,断面设计!$F$8,IF(A166=3,断面设计!$F$9,IF(A166=4,断面设计!$F$10,IF(A166=5,断面设计!$F$11,IF(A166=6,断面设计!$F$12,IF(A166=7,断面设计!$F$13,IF(A166=8,断面设计!$F$14,IF(A166=9,断面设计!$F$15,IF(A166=10,断面设计!$F$16))))))))))</f>
        <v>3.0381359711183982</v>
      </c>
      <c r="S166" s="83">
        <f>IF(A166=1,断面设计!$G$7,IF(A166=2,断面设计!$G$8,IF(A166=3,断面设计!$G$9,IF(A166=4,断面设计!$G$10,IF(A166=5,断面设计!$G$11,IF(A166=6,断面设计!$G$12,IF(A166=7,断面设计!$G$13,IF(A166=8,断面设计!$G$14,IF(A166=9,断面设计!$G$15,IF(A166=10,断面设计!$G$16))))))))))</f>
        <v>4.8368340246377688</v>
      </c>
      <c r="T166" s="83">
        <f t="shared" si="69"/>
        <v>0.62812491717573971</v>
      </c>
      <c r="U166" s="83">
        <f t="shared" si="70"/>
        <v>0.69149294465203071</v>
      </c>
      <c r="V166" s="123">
        <f t="shared" si="76"/>
        <v>2.8720043067693583E-4</v>
      </c>
      <c r="W166" s="127"/>
      <c r="X166" s="110">
        <f>IF(AN166=0,IF(AN165=2,(H166-H165-AE165)/O166,(H166-H165)/O166),IF(AN166=1,IF(AN165=2,IF(AE166&lt;9,(H166-H165-AE166-AE165)/断面设计!$J$7,(H166-H165-AE166-AE165)/断面设计!$J$7),(H166-H165-AE166)/O165),(H166-H165)/O166))</f>
        <v>1.1452590499052166E-2</v>
      </c>
      <c r="Y166" s="133">
        <v>0</v>
      </c>
      <c r="Z166" s="134">
        <f t="shared" si="75"/>
        <v>0</v>
      </c>
      <c r="AA166" s="142"/>
      <c r="AB166" s="133">
        <f t="shared" si="58"/>
        <v>1.22814064333749</v>
      </c>
      <c r="AC166" s="110">
        <f t="shared" si="59"/>
        <v>1.1739790929729103E-2</v>
      </c>
      <c r="AD166" s="110">
        <f t="shared" ca="1" si="71"/>
        <v>2375.5072615887157</v>
      </c>
      <c r="AE166" s="82">
        <f t="shared" si="72"/>
        <v>0</v>
      </c>
      <c r="AF166" s="110" t="str">
        <f t="shared" si="60"/>
        <v xml:space="preserve"> </v>
      </c>
      <c r="AG166" s="110" t="str">
        <f>IF(AE166=0," ",AF166-断面设计!$C$7)</f>
        <v xml:space="preserve"> </v>
      </c>
      <c r="AH166" s="110">
        <f t="shared" ca="1" si="61"/>
        <v>2375.5078242370087</v>
      </c>
      <c r="AI166" s="110">
        <f t="shared" ca="1" si="62"/>
        <v>2374.2796835936711</v>
      </c>
      <c r="AJ166" s="110">
        <f t="shared" ca="1" si="63"/>
        <v>2375.5069861408533</v>
      </c>
      <c r="AK166" s="110">
        <f t="shared" ca="1" si="64"/>
        <v>2374.2788454975157</v>
      </c>
      <c r="AL166" s="110">
        <f t="shared" ca="1" si="65"/>
        <v>2375.507405188931</v>
      </c>
      <c r="AM166" s="110">
        <f t="shared" ca="1" si="66"/>
        <v>2374.2792645455934</v>
      </c>
      <c r="AN166" s="127"/>
      <c r="AO166" s="80">
        <v>0</v>
      </c>
      <c r="AU166" s="64" t="str">
        <f t="shared" ca="1" si="73"/>
        <v>18754.8752453075,2374.27926454559</v>
      </c>
      <c r="AV166" s="64" t="str">
        <f t="shared" ca="1" si="55"/>
        <v>18754.8752453075,2375.50740518893</v>
      </c>
      <c r="AW166" s="169" t="str">
        <f t="shared" si="56"/>
        <v xml:space="preserve">pl 18754.8752453075,0 18754.8752453075,76 </v>
      </c>
      <c r="AX166" s="161" t="str">
        <f t="shared" ca="1" si="52"/>
        <v>-text 18754.8752453075,48 3.5 90 2374.279</v>
      </c>
      <c r="AY166" s="161" t="str">
        <f t="shared" ca="1" si="53"/>
        <v>-text 18754.8752453075,62.5 3.5 90 2375.507</v>
      </c>
      <c r="AZ166" s="42" t="str">
        <f t="shared" si="54"/>
        <v>-text 18754.8752453075,23.5 3.5 90 马分18+754.88</v>
      </c>
    </row>
    <row r="167" spans="1:206" s="42" customFormat="1" x14ac:dyDescent="0.25">
      <c r="A167" s="80">
        <v>8</v>
      </c>
      <c r="B167" s="76" t="str">
        <f>线路!B164</f>
        <v>IP107</v>
      </c>
      <c r="C167" s="81">
        <f>线路!E164</f>
        <v>441590.40100000001</v>
      </c>
      <c r="D167" s="81">
        <f>线路!F164</f>
        <v>3035908.6549</v>
      </c>
      <c r="E167" s="85">
        <f>线路!G164</f>
        <v>10</v>
      </c>
      <c r="F167" s="85">
        <f>线路!H164</f>
        <v>61.947000000000003</v>
      </c>
      <c r="G167" s="86">
        <f>线路!L164</f>
        <v>18779.398141991151</v>
      </c>
      <c r="H167" s="86">
        <f>线路!M164</f>
        <v>18784.804037549817</v>
      </c>
      <c r="I167" s="86">
        <f>线路!N164</f>
        <v>18790.209933108479</v>
      </c>
      <c r="J167" s="83">
        <f t="shared" si="57"/>
        <v>10.811791117328539</v>
      </c>
      <c r="K167" s="83">
        <f t="shared" si="67"/>
        <v>29.92879224229182</v>
      </c>
      <c r="L167" s="83">
        <f>IF(A167=1,断面设计!$D$7,IF(A167=2,断面设计!$D$8,IF(A167=3,断面设计!$D$9,IF(A167=4,断面设计!$D$10,IF(A167=5,断面设计!$D$11,IF(A167=6,断面设计!$D$12,IF(A167=7,断面设计!$D$13,IF(A167=8,断面设计!$D$14,IF(A167=9,断面设计!$D$15,IF(A167=10,断面设计!$D$16))))))))))</f>
        <v>1</v>
      </c>
      <c r="M167" s="83">
        <f t="shared" si="68"/>
        <v>1.2</v>
      </c>
      <c r="N167" s="110">
        <f t="shared" si="74"/>
        <v>1.4999999999999999E-2</v>
      </c>
      <c r="O167" s="83">
        <f>IF(A167=1,断面设计!$J$7,IF(A167=2,断面设计!$J$8,IF(A167=3,断面设计!$J$9,IF(A167=4,断面设计!$J$10,IF(A167=5,断面设计!$J$11,IF(A167=6,断面设计!$J$12,IF(A167=7,断面设计!$J$13,IF(A167=8,断面设计!$J$14,IF(A167=9,断面设计!$J$15,IF(A167=10,断面设计!$J$16))))))))))</f>
        <v>5000</v>
      </c>
      <c r="P167" s="111">
        <f>IF(A167=1,断面设计!$K$7,IF(A167=2,断面设计!$K$8,IF(A167=3,断面设计!$K$9,IF(A167=4,断面设计!$K$10,IF(A167=5,断面设计!$K$11,IF(A167=6,断面设计!$K$12,IF(A167=7,断面设计!$K$13,IF(A167=8,断面设计!$K$14,IF(A167=9,断面设计!$K$15,IF(A167=10,断面设计!$K$16))))))))))</f>
        <v>2.1008495889219181</v>
      </c>
      <c r="Q167" s="110">
        <f>IF(A167=1,断面设计!$C$7,IF(A167=2,断面设计!$C$8,IF(A167=3,断面设计!$C$9,IF(A167=4,断面设计!$C$10,IF(A167=5,断面设计!$C$11,IF(A167=6,断面设计!$C$12,IF(A167=7,断面设计!$C$13,IF(A167=8,断面设计!$C$14,IF(A167=9,断面设计!$C$15,IF(A167=10,断面设计!$C$16))))))))))</f>
        <v>1.22814064333749</v>
      </c>
      <c r="R167" s="83">
        <f>IF(A167=1,断面设计!$F$7,IF(A167=2,断面设计!$F$8,IF(A167=3,断面设计!$F$9,IF(A167=4,断面设计!$F$10,IF(A167=5,断面设计!$F$11,IF(A167=6,断面设计!$F$12,IF(A167=7,断面设计!$F$13,IF(A167=8,断面设计!$F$14,IF(A167=9,断面设计!$F$15,IF(A167=10,断面设计!$F$16))))))))))</f>
        <v>3.0381359711183982</v>
      </c>
      <c r="S167" s="83">
        <f>IF(A167=1,断面设计!$G$7,IF(A167=2,断面设计!$G$8,IF(A167=3,断面设计!$G$9,IF(A167=4,断面设计!$G$10,IF(A167=5,断面设计!$G$11,IF(A167=6,断面设计!$G$12,IF(A167=7,断面设计!$G$13,IF(A167=8,断面设计!$G$14,IF(A167=9,断面设计!$G$15,IF(A167=10,断面设计!$G$16))))))))))</f>
        <v>4.8368340246377688</v>
      </c>
      <c r="T167" s="83">
        <f t="shared" si="69"/>
        <v>0.62812491717573971</v>
      </c>
      <c r="U167" s="83">
        <f t="shared" si="70"/>
        <v>0.69149294465203071</v>
      </c>
      <c r="V167" s="123">
        <f t="shared" si="76"/>
        <v>1.1273099150384287E-3</v>
      </c>
      <c r="W167" s="127"/>
      <c r="X167" s="110">
        <f>IF(AN167=0,IF(AN166=2,(H167-H166-AE166)/O167,(H167-H166)/O167),IF(AN167=1,IF(AN166=2,IF(AE167&lt;9,(H167-H166-AE167-AE166)/断面设计!$J$7,(H167-H166-AE167-AE166)/断面设计!$J$7),(H167-H166-AE167)/O166),(H167-H166)/O167))</f>
        <v>5.9857584484583641E-3</v>
      </c>
      <c r="Y167" s="133">
        <v>0</v>
      </c>
      <c r="Z167" s="134">
        <f t="shared" si="75"/>
        <v>0</v>
      </c>
      <c r="AA167" s="142"/>
      <c r="AB167" s="133">
        <f t="shared" si="58"/>
        <v>1.22814064333749</v>
      </c>
      <c r="AC167" s="110">
        <f t="shared" si="59"/>
        <v>7.1130683634967927E-3</v>
      </c>
      <c r="AD167" s="110">
        <f t="shared" ca="1" si="71"/>
        <v>2375.500148520352</v>
      </c>
      <c r="AE167" s="82">
        <f t="shared" si="72"/>
        <v>0</v>
      </c>
      <c r="AF167" s="110" t="str">
        <f t="shared" si="60"/>
        <v xml:space="preserve"> </v>
      </c>
      <c r="AG167" s="110" t="str">
        <f>IF(AE167=0," ",AF167-断面设计!$C$7)</f>
        <v xml:space="preserve"> </v>
      </c>
      <c r="AH167" s="110">
        <f t="shared" ca="1" si="61"/>
        <v>2375.5023570093786</v>
      </c>
      <c r="AI167" s="110">
        <f t="shared" ca="1" si="62"/>
        <v>2374.2742163660409</v>
      </c>
      <c r="AJ167" s="110">
        <f t="shared" ca="1" si="63"/>
        <v>2375.4990673412403</v>
      </c>
      <c r="AK167" s="110">
        <f t="shared" ca="1" si="64"/>
        <v>2374.2709266979027</v>
      </c>
      <c r="AL167" s="110">
        <f t="shared" ca="1" si="65"/>
        <v>2375.5007121753097</v>
      </c>
      <c r="AM167" s="110">
        <f t="shared" ca="1" si="66"/>
        <v>2374.2725715319721</v>
      </c>
      <c r="AN167" s="127"/>
      <c r="AO167" s="80">
        <v>0</v>
      </c>
      <c r="AU167" s="64" t="str">
        <f t="shared" ca="1" si="73"/>
        <v>18784.8040375498,2374.27257153197</v>
      </c>
      <c r="AV167" s="64" t="str">
        <f t="shared" ca="1" si="55"/>
        <v>18784.8040375498,2375.50071217531</v>
      </c>
      <c r="AW167" s="169" t="str">
        <f t="shared" si="56"/>
        <v xml:space="preserve">pl 18784.8040375498,0 18784.8040375498,76 </v>
      </c>
      <c r="AX167" s="161" t="str">
        <f t="shared" ca="1" si="52"/>
        <v>-text 18784.8040375498,48 3.5 90 2374.273</v>
      </c>
      <c r="AY167" s="161" t="str">
        <f t="shared" ca="1" si="53"/>
        <v>-text 18784.8040375498,62.5 3.5 90 2375.501</v>
      </c>
      <c r="AZ167" s="42" t="str">
        <f t="shared" si="54"/>
        <v>-text 18784.8040375498,23.5 3.5 90 马分18+784.80</v>
      </c>
    </row>
    <row r="168" spans="1:206" s="42" customFormat="1" x14ac:dyDescent="0.25">
      <c r="A168" s="80">
        <v>8</v>
      </c>
      <c r="B168" s="76" t="str">
        <f>线路!B165</f>
        <v>IP108</v>
      </c>
      <c r="C168" s="81">
        <f>线路!E165</f>
        <v>441546.29489999998</v>
      </c>
      <c r="D168" s="81">
        <f>线路!F165</f>
        <v>3035880.2878</v>
      </c>
      <c r="E168" s="85">
        <f>线路!G165</f>
        <v>10</v>
      </c>
      <c r="F168" s="85">
        <f>线路!H165</f>
        <v>50.61</v>
      </c>
      <c r="G168" s="86">
        <f>线路!L165</f>
        <v>18831.920401865216</v>
      </c>
      <c r="H168" s="86">
        <f>线路!M165</f>
        <v>18836.336957537387</v>
      </c>
      <c r="I168" s="86">
        <f>线路!N165</f>
        <v>18840.753513209558</v>
      </c>
      <c r="J168" s="83">
        <f t="shared" si="57"/>
        <v>8.8331113443418872</v>
      </c>
      <c r="K168" s="83">
        <f t="shared" si="67"/>
        <v>51.532919987570494</v>
      </c>
      <c r="L168" s="83">
        <f>IF(A168=1,断面设计!$D$7,IF(A168=2,断面设计!$D$8,IF(A168=3,断面设计!$D$9,IF(A168=4,断面设计!$D$10,IF(A168=5,断面设计!$D$11,IF(A168=6,断面设计!$D$12,IF(A168=7,断面设计!$D$13,IF(A168=8,断面设计!$D$14,IF(A168=9,断面设计!$D$15,IF(A168=10,断面设计!$D$16))))))))))</f>
        <v>1</v>
      </c>
      <c r="M168" s="83">
        <f t="shared" si="68"/>
        <v>1.2</v>
      </c>
      <c r="N168" s="110">
        <f t="shared" si="74"/>
        <v>1.4999999999999999E-2</v>
      </c>
      <c r="O168" s="83">
        <f>IF(A168=1,断面设计!$J$7,IF(A168=2,断面设计!$J$8,IF(A168=3,断面设计!$J$9,IF(A168=4,断面设计!$J$10,IF(A168=5,断面设计!$J$11,IF(A168=6,断面设计!$J$12,IF(A168=7,断面设计!$J$13,IF(A168=8,断面设计!$J$14,IF(A168=9,断面设计!$J$15,IF(A168=10,断面设计!$J$16))))))))))</f>
        <v>5000</v>
      </c>
      <c r="P168" s="111">
        <f>IF(A168=1,断面设计!$K$7,IF(A168=2,断面设计!$K$8,IF(A168=3,断面设计!$K$9,IF(A168=4,断面设计!$K$10,IF(A168=5,断面设计!$K$11,IF(A168=6,断面设计!$K$12,IF(A168=7,断面设计!$K$13,IF(A168=8,断面设计!$K$14,IF(A168=9,断面设计!$K$15,IF(A168=10,断面设计!$K$16))))))))))</f>
        <v>2.1008495889219181</v>
      </c>
      <c r="Q168" s="110">
        <f>IF(A168=1,断面设计!$C$7,IF(A168=2,断面设计!$C$8,IF(A168=3,断面设计!$C$9,IF(A168=4,断面设计!$C$10,IF(A168=5,断面设计!$C$11,IF(A168=6,断面设计!$C$12,IF(A168=7,断面设计!$C$13,IF(A168=8,断面设计!$C$14,IF(A168=9,断面设计!$C$15,IF(A168=10,断面设计!$C$16))))))))))</f>
        <v>1.22814064333749</v>
      </c>
      <c r="R168" s="83">
        <f>IF(A168=1,断面设计!$F$7,IF(A168=2,断面设计!$F$8,IF(A168=3,断面设计!$F$9,IF(A168=4,断面设计!$F$10,IF(A168=5,断面设计!$F$11,IF(A168=6,断面设计!$F$12,IF(A168=7,断面设计!$F$13,IF(A168=8,断面设计!$F$14,IF(A168=9,断面设计!$F$15,IF(A168=10,断面设计!$F$16))))))))))</f>
        <v>3.0381359711183982</v>
      </c>
      <c r="S168" s="83">
        <f>IF(A168=1,断面设计!$G$7,IF(A168=2,断面设计!$G$8,IF(A168=3,断面设计!$G$9,IF(A168=4,断面设计!$G$10,IF(A168=5,断面设计!$G$11,IF(A168=6,断面设计!$G$12,IF(A168=7,断面设计!$G$13,IF(A168=8,断面设计!$G$14,IF(A168=9,断面设计!$G$15,IF(A168=10,断面设计!$G$16))))))))))</f>
        <v>4.8368340246377688</v>
      </c>
      <c r="T168" s="83">
        <f t="shared" si="69"/>
        <v>0.62812491717573971</v>
      </c>
      <c r="U168" s="83">
        <f t="shared" si="70"/>
        <v>0.69149294465203071</v>
      </c>
      <c r="V168" s="123">
        <f t="shared" si="76"/>
        <v>9.2099948020226351E-4</v>
      </c>
      <c r="W168" s="127"/>
      <c r="X168" s="110">
        <f>IF(AN168=0,IF(AN167=2,(H168-H167-AE167)/O168,(H168-H167)/O168),IF(AN168=1,IF(AN167=2,IF(AE168&lt;9,(H168-H167-AE168-AE167)/断面设计!$J$7,(H168-H167-AE168-AE167)/断面设计!$J$7),(H168-H167-AE168)/O167),(H168-H167)/O168))</f>
        <v>1.0306583997514098E-2</v>
      </c>
      <c r="Y168" s="133">
        <v>0</v>
      </c>
      <c r="Z168" s="134">
        <f t="shared" si="75"/>
        <v>0</v>
      </c>
      <c r="AA168" s="142"/>
      <c r="AB168" s="133">
        <f t="shared" si="58"/>
        <v>1.22814064333749</v>
      </c>
      <c r="AC168" s="110">
        <f t="shared" si="59"/>
        <v>1.1227583477716362E-2</v>
      </c>
      <c r="AD168" s="110">
        <f t="shared" ca="1" si="71"/>
        <v>2375.4889209368744</v>
      </c>
      <c r="AE168" s="82">
        <f t="shared" si="72"/>
        <v>0</v>
      </c>
      <c r="AF168" s="110" t="str">
        <f t="shared" si="60"/>
        <v xml:space="preserve"> </v>
      </c>
      <c r="AG168" s="110" t="str">
        <f>IF(AE168=0," ",AF168-断面设计!$C$7)</f>
        <v xml:space="preserve"> </v>
      </c>
      <c r="AH168" s="110">
        <f t="shared" ca="1" si="61"/>
        <v>2375.4907252474891</v>
      </c>
      <c r="AI168" s="110">
        <f t="shared" ca="1" si="62"/>
        <v>2374.2625846041515</v>
      </c>
      <c r="AJ168" s="110">
        <f t="shared" ca="1" si="63"/>
        <v>2375.4880376257397</v>
      </c>
      <c r="AK168" s="110">
        <f t="shared" ca="1" si="64"/>
        <v>2374.2598969824021</v>
      </c>
      <c r="AL168" s="110">
        <f t="shared" ca="1" si="65"/>
        <v>2375.4893814366146</v>
      </c>
      <c r="AM168" s="110">
        <f t="shared" ca="1" si="66"/>
        <v>2374.261240793277</v>
      </c>
      <c r="AN168" s="127"/>
      <c r="AO168" s="80">
        <v>0</v>
      </c>
      <c r="AU168" s="64" t="str">
        <f t="shared" ca="1" si="73"/>
        <v>18836.3369575374,2374.26124079328</v>
      </c>
      <c r="AV168" s="64" t="str">
        <f t="shared" ca="1" si="55"/>
        <v>18836.3369575374,2375.48938143661</v>
      </c>
      <c r="AW168" s="169" t="str">
        <f t="shared" si="56"/>
        <v xml:space="preserve">pl 18836.3369575374,0 18836.3369575374,76 </v>
      </c>
      <c r="AX168" s="161" t="str">
        <f t="shared" ca="1" si="52"/>
        <v>-text 18836.3369575374,48 3.5 90 2374.261</v>
      </c>
      <c r="AY168" s="161" t="str">
        <f t="shared" ca="1" si="53"/>
        <v>-text 18836.3369575374,62.5 3.5 90 2375.489</v>
      </c>
      <c r="AZ168" s="42" t="str">
        <f t="shared" si="54"/>
        <v>-text 18836.3369575374,23.5 3.5 90 马分18+836.34</v>
      </c>
    </row>
    <row r="169" spans="1:206" s="42" customFormat="1" x14ac:dyDescent="0.25">
      <c r="A169" s="80">
        <v>8</v>
      </c>
      <c r="B169" s="76" t="str">
        <f>线路!B166</f>
        <v>IP109</v>
      </c>
      <c r="C169" s="81">
        <f>线路!E166</f>
        <v>441540.62819999998</v>
      </c>
      <c r="D169" s="81">
        <f>线路!F166</f>
        <v>3035831.6313999998</v>
      </c>
      <c r="E169" s="85">
        <f>线路!G166</f>
        <v>10</v>
      </c>
      <c r="F169" s="85">
        <f>线路!H166</f>
        <v>43.264000000000003</v>
      </c>
      <c r="G169" s="86">
        <f>线路!L166</f>
        <v>18881.044995830933</v>
      </c>
      <c r="H169" s="86">
        <f>线路!M166</f>
        <v>18884.820492068848</v>
      </c>
      <c r="I169" s="86">
        <f>线路!N166</f>
        <v>18888.595988306763</v>
      </c>
      <c r="J169" s="83">
        <f t="shared" si="57"/>
        <v>7.5509924758298439</v>
      </c>
      <c r="K169" s="83">
        <f t="shared" si="67"/>
        <v>48.483534531460464</v>
      </c>
      <c r="L169" s="83">
        <f>IF(A169=1,断面设计!$D$7,IF(A169=2,断面设计!$D$8,IF(A169=3,断面设计!$D$9,IF(A169=4,断面设计!$D$10,IF(A169=5,断面设计!$D$11,IF(A169=6,断面设计!$D$12,IF(A169=7,断面设计!$D$13,IF(A169=8,断面设计!$D$14,IF(A169=9,断面设计!$D$15,IF(A169=10,断面设计!$D$16))))))))))</f>
        <v>1</v>
      </c>
      <c r="M169" s="83">
        <f t="shared" si="68"/>
        <v>1.2</v>
      </c>
      <c r="N169" s="110">
        <f t="shared" si="74"/>
        <v>1.4999999999999999E-2</v>
      </c>
      <c r="O169" s="83">
        <f>IF(A169=1,断面设计!$J$7,IF(A169=2,断面设计!$J$8,IF(A169=3,断面设计!$J$9,IF(A169=4,断面设计!$J$10,IF(A169=5,断面设计!$J$11,IF(A169=6,断面设计!$J$12,IF(A169=7,断面设计!$J$13,IF(A169=8,断面设计!$J$14,IF(A169=9,断面设计!$J$15,IF(A169=10,断面设计!$J$16))))))))))</f>
        <v>5000</v>
      </c>
      <c r="P169" s="111">
        <f>IF(A169=1,断面设计!$K$7,IF(A169=2,断面设计!$K$8,IF(A169=3,断面设计!$K$9,IF(A169=4,断面设计!$K$10,IF(A169=5,断面设计!$K$11,IF(A169=6,断面设计!$K$12,IF(A169=7,断面设计!$K$13,IF(A169=8,断面设计!$K$14,IF(A169=9,断面设计!$K$15,IF(A169=10,断面设计!$K$16))))))))))</f>
        <v>2.1008495889219181</v>
      </c>
      <c r="Q169" s="110">
        <f>IF(A169=1,断面设计!$C$7,IF(A169=2,断面设计!$C$8,IF(A169=3,断面设计!$C$9,IF(A169=4,断面设计!$C$10,IF(A169=5,断面设计!$C$11,IF(A169=6,断面设计!$C$12,IF(A169=7,断面设计!$C$13,IF(A169=8,断面设计!$C$14,IF(A169=9,断面设计!$C$15,IF(A169=10,断面设计!$C$16))))))))))</f>
        <v>1.22814064333749</v>
      </c>
      <c r="R169" s="83">
        <f>IF(A169=1,断面设计!$F$7,IF(A169=2,断面设计!$F$8,IF(A169=3,断面设计!$F$9,IF(A169=4,断面设计!$F$10,IF(A169=5,断面设计!$F$11,IF(A169=6,断面设计!$F$12,IF(A169=7,断面设计!$F$13,IF(A169=8,断面设计!$F$14,IF(A169=9,断面设计!$F$15,IF(A169=10,断面设计!$F$16))))))))))</f>
        <v>3.0381359711183982</v>
      </c>
      <c r="S169" s="83">
        <f>IF(A169=1,断面设计!$G$7,IF(A169=2,断面设计!$G$8,IF(A169=3,断面设计!$G$9,IF(A169=4,断面设计!$G$10,IF(A169=5,断面设计!$G$11,IF(A169=6,断面设计!$G$12,IF(A169=7,断面设计!$G$13,IF(A169=8,断面设计!$G$14,IF(A169=9,断面设计!$G$15,IF(A169=10,断面设计!$G$16))))))))))</f>
        <v>4.8368340246377688</v>
      </c>
      <c r="T169" s="83">
        <f t="shared" si="69"/>
        <v>0.62812491717573971</v>
      </c>
      <c r="U169" s="83">
        <f t="shared" si="70"/>
        <v>0.69149294465203071</v>
      </c>
      <c r="V169" s="123">
        <f t="shared" si="76"/>
        <v>7.8731716086712967E-4</v>
      </c>
      <c r="W169" s="127"/>
      <c r="X169" s="110">
        <f>IF(AN169=0,IF(AN168=2,(H169-H168-AE168)/O169,(H169-H168)/O169),IF(AN169=1,IF(AN168=2,IF(AE169&lt;9,(H169-H168-AE169-AE168)/断面设计!$J$7,(H169-H168-AE169-AE168)/断面设计!$J$7),(H169-H168-AE169)/O168),(H169-H168)/O169))</f>
        <v>9.6967069062920928E-3</v>
      </c>
      <c r="Y169" s="133">
        <v>0</v>
      </c>
      <c r="Z169" s="134">
        <f t="shared" si="75"/>
        <v>0</v>
      </c>
      <c r="AA169" s="142"/>
      <c r="AB169" s="133">
        <f t="shared" si="58"/>
        <v>1.22814064333749</v>
      </c>
      <c r="AC169" s="110">
        <f t="shared" si="59"/>
        <v>1.0484024067159222E-2</v>
      </c>
      <c r="AD169" s="110">
        <f t="shared" ca="1" si="71"/>
        <v>2375.4784369128074</v>
      </c>
      <c r="AE169" s="82">
        <f t="shared" si="72"/>
        <v>0</v>
      </c>
      <c r="AF169" s="110" t="str">
        <f t="shared" si="60"/>
        <v xml:space="preserve"> </v>
      </c>
      <c r="AG169" s="110" t="str">
        <f>IF(AE169=0," ",AF169-断面设计!$C$7)</f>
        <v xml:space="preserve"> </v>
      </c>
      <c r="AH169" s="110">
        <f t="shared" ca="1" si="61"/>
        <v>2375.4799793292159</v>
      </c>
      <c r="AI169" s="110">
        <f t="shared" ca="1" si="62"/>
        <v>2374.2518386858783</v>
      </c>
      <c r="AJ169" s="110">
        <f t="shared" ca="1" si="63"/>
        <v>2375.4776818135597</v>
      </c>
      <c r="AK169" s="110">
        <f t="shared" ca="1" si="64"/>
        <v>2374.2495411702221</v>
      </c>
      <c r="AL169" s="110">
        <f t="shared" ca="1" si="65"/>
        <v>2375.4788305713878</v>
      </c>
      <c r="AM169" s="110">
        <f t="shared" ca="1" si="66"/>
        <v>2374.2506899280502</v>
      </c>
      <c r="AN169" s="127"/>
      <c r="AO169" s="80">
        <v>0</v>
      </c>
      <c r="AU169" s="64" t="str">
        <f t="shared" ca="1" si="73"/>
        <v>18884.8204920688,2374.25068992805</v>
      </c>
      <c r="AV169" s="64" t="str">
        <f t="shared" ca="1" si="55"/>
        <v>18884.8204920688,2375.47883057139</v>
      </c>
      <c r="AW169" s="169" t="str">
        <f t="shared" si="56"/>
        <v xml:space="preserve">pl 18884.8204920688,0 18884.8204920688,76 </v>
      </c>
      <c r="AX169" s="161" t="str">
        <f t="shared" ca="1" si="52"/>
        <v>-text 18884.8204920688,48 3.5 90 2374.251</v>
      </c>
      <c r="AY169" s="161" t="str">
        <f t="shared" ca="1" si="53"/>
        <v>-text 18884.8204920688,62.5 3.5 90 2375.479</v>
      </c>
      <c r="AZ169" s="42" t="str">
        <f t="shared" si="54"/>
        <v>-text 18884.8204920688,23.5 3.5 90 马分18+884.82</v>
      </c>
    </row>
    <row r="170" spans="1:206" s="42" customFormat="1" x14ac:dyDescent="0.25">
      <c r="A170" s="80">
        <v>8</v>
      </c>
      <c r="B170" s="76" t="str">
        <f>线路!B167</f>
        <v>IP110</v>
      </c>
      <c r="C170" s="81">
        <f>线路!E167</f>
        <v>441572.09749999997</v>
      </c>
      <c r="D170" s="81">
        <f>线路!F167</f>
        <v>3035789.2903999998</v>
      </c>
      <c r="E170" s="85">
        <f>线路!G167</f>
        <v>10</v>
      </c>
      <c r="F170" s="85">
        <f>线路!H167</f>
        <v>41.606000000000002</v>
      </c>
      <c r="G170" s="86">
        <f>线路!L167</f>
        <v>18933.585881131199</v>
      </c>
      <c r="H170" s="86">
        <f>线路!M167</f>
        <v>18937.216689574121</v>
      </c>
      <c r="I170" s="86">
        <f>线路!N167</f>
        <v>18940.847498017047</v>
      </c>
      <c r="J170" s="83">
        <f t="shared" si="57"/>
        <v>7.2616168858476158</v>
      </c>
      <c r="K170" s="83">
        <f t="shared" si="67"/>
        <v>52.396197505273449</v>
      </c>
      <c r="L170" s="83">
        <f>IF(A170=1,断面设计!$D$7,IF(A170=2,断面设计!$D$8,IF(A170=3,断面设计!$D$9,IF(A170=4,断面设计!$D$10,IF(A170=5,断面设计!$D$11,IF(A170=6,断面设计!$D$12,IF(A170=7,断面设计!$D$13,IF(A170=8,断面设计!$D$14,IF(A170=9,断面设计!$D$15,IF(A170=10,断面设计!$D$16))))))))))</f>
        <v>1</v>
      </c>
      <c r="M170" s="83">
        <f t="shared" si="68"/>
        <v>1.2</v>
      </c>
      <c r="N170" s="110">
        <f t="shared" si="74"/>
        <v>1.4999999999999999E-2</v>
      </c>
      <c r="O170" s="83">
        <f>IF(A170=1,断面设计!$J$7,IF(A170=2,断面设计!$J$8,IF(A170=3,断面设计!$J$9,IF(A170=4,断面设计!$J$10,IF(A170=5,断面设计!$J$11,IF(A170=6,断面设计!$J$12,IF(A170=7,断面设计!$J$13,IF(A170=8,断面设计!$J$14,IF(A170=9,断面设计!$J$15,IF(A170=10,断面设计!$J$16))))))))))</f>
        <v>5000</v>
      </c>
      <c r="P170" s="111">
        <f>IF(A170=1,断面设计!$K$7,IF(A170=2,断面设计!$K$8,IF(A170=3,断面设计!$K$9,IF(A170=4,断面设计!$K$10,IF(A170=5,断面设计!$K$11,IF(A170=6,断面设计!$K$12,IF(A170=7,断面设计!$K$13,IF(A170=8,断面设计!$K$14,IF(A170=9,断面设计!$K$15,IF(A170=10,断面设计!$K$16))))))))))</f>
        <v>2.1008495889219181</v>
      </c>
      <c r="Q170" s="110">
        <f>IF(A170=1,断面设计!$C$7,IF(A170=2,断面设计!$C$8,IF(A170=3,断面设计!$C$9,IF(A170=4,断面设计!$C$10,IF(A170=5,断面设计!$C$11,IF(A170=6,断面设计!$C$12,IF(A170=7,断面设计!$C$13,IF(A170=8,断面设计!$C$14,IF(A170=9,断面设计!$C$15,IF(A170=10,断面设计!$C$16))))))))))</f>
        <v>1.22814064333749</v>
      </c>
      <c r="R170" s="83">
        <f>IF(A170=1,断面设计!$F$7,IF(A170=2,断面设计!$F$8,IF(A170=3,断面设计!$F$9,IF(A170=4,断面设计!$F$10,IF(A170=5,断面设计!$F$11,IF(A170=6,断面设计!$F$12,IF(A170=7,断面设计!$F$13,IF(A170=8,断面设计!$F$14,IF(A170=9,断面设计!$F$15,IF(A170=10,断面设计!$F$16))))))))))</f>
        <v>3.0381359711183982</v>
      </c>
      <c r="S170" s="83">
        <f>IF(A170=1,断面设计!$G$7,IF(A170=2,断面设计!$G$8,IF(A170=3,断面设计!$G$9,IF(A170=4,断面设计!$G$10,IF(A170=5,断面设计!$G$11,IF(A170=6,断面设计!$G$12,IF(A170=7,断面设计!$G$13,IF(A170=8,断面设计!$G$14,IF(A170=9,断面设计!$G$15,IF(A170=10,断面设计!$G$16))))))))))</f>
        <v>4.8368340246377688</v>
      </c>
      <c r="T170" s="83">
        <f t="shared" si="69"/>
        <v>0.62812491717573971</v>
      </c>
      <c r="U170" s="83">
        <f t="shared" si="70"/>
        <v>0.69149294465203071</v>
      </c>
      <c r="V170" s="123">
        <f t="shared" si="76"/>
        <v>7.5714491944875624E-4</v>
      </c>
      <c r="W170" s="110"/>
      <c r="X170" s="110">
        <f>IF(AN170=0,IF(AN169=2,(H170-H169-AE169)/O170,(H170-H169)/O170),IF(AN170=1,IF(AN169=2,IF(AE170&lt;9,(H170-H169-AE170-AE169)/断面设计!$J$7,(H170-H169-AE170-AE169)/断面设计!$J$7),(H170-H169-AE170)/O169),(H170-H169)/O170))</f>
        <v>1.047923950105469E-2</v>
      </c>
      <c r="Y170" s="133">
        <v>0</v>
      </c>
      <c r="Z170" s="134">
        <f t="shared" si="75"/>
        <v>0</v>
      </c>
      <c r="AA170" s="142"/>
      <c r="AB170" s="133">
        <f t="shared" si="58"/>
        <v>1.22814064333749</v>
      </c>
      <c r="AC170" s="110">
        <f t="shared" si="59"/>
        <v>1.1236384420503447E-2</v>
      </c>
      <c r="AD170" s="110">
        <f t="shared" ca="1" si="71"/>
        <v>2375.4672005283869</v>
      </c>
      <c r="AE170" s="82">
        <f t="shared" si="72"/>
        <v>0</v>
      </c>
      <c r="AF170" s="110" t="str">
        <f t="shared" si="60"/>
        <v xml:space="preserve"> </v>
      </c>
      <c r="AG170" s="110" t="str">
        <f>IF(AE170=0," ",AF170-断面设计!$C$15)</f>
        <v xml:space="preserve"> </v>
      </c>
      <c r="AH170" s="110">
        <f t="shared" ca="1" si="61"/>
        <v>2375.4686838349949</v>
      </c>
      <c r="AI170" s="110">
        <f t="shared" ca="1" si="62"/>
        <v>2374.2405431916573</v>
      </c>
      <c r="AJ170" s="110">
        <f t="shared" ca="1" si="63"/>
        <v>2375.4664743666985</v>
      </c>
      <c r="AK170" s="110">
        <f t="shared" ca="1" si="64"/>
        <v>2374.2383337233609</v>
      </c>
      <c r="AL170" s="110">
        <f t="shared" ca="1" si="65"/>
        <v>2375.4675791008467</v>
      </c>
      <c r="AM170" s="110">
        <f t="shared" ca="1" si="66"/>
        <v>2374.2394384575091</v>
      </c>
      <c r="AN170" s="127"/>
      <c r="AO170" s="80">
        <v>0</v>
      </c>
      <c r="AU170" s="64" t="str">
        <f t="shared" ca="1" si="73"/>
        <v>18937.2166895741,2374.23943845751</v>
      </c>
      <c r="AV170" s="64" t="str">
        <f t="shared" ca="1" si="55"/>
        <v>18937.2166895741,2375.46757910085</v>
      </c>
      <c r="AW170" s="169" t="str">
        <f t="shared" si="56"/>
        <v xml:space="preserve">pl 18937.2166895741,0 18937.2166895741,76 </v>
      </c>
      <c r="AX170" s="161" t="str">
        <f t="shared" ca="1" si="52"/>
        <v>-text 18937.2166895741,48 3.5 90 2374.239</v>
      </c>
      <c r="AY170" s="161" t="str">
        <f t="shared" ca="1" si="53"/>
        <v>-text 18937.2166895741,62.5 3.5 90 2375.468</v>
      </c>
      <c r="AZ170" s="42" t="str">
        <f t="shared" si="54"/>
        <v>-text 18937.2166895741,23.5 3.5 90 马分18+937.22</v>
      </c>
    </row>
    <row r="171" spans="1:206" s="42" customFormat="1" x14ac:dyDescent="0.25">
      <c r="A171" s="80">
        <v>8</v>
      </c>
      <c r="B171" s="76" t="str">
        <f>线路!B168</f>
        <v>IP111</v>
      </c>
      <c r="C171" s="81">
        <f>线路!E168</f>
        <v>441569.66590000002</v>
      </c>
      <c r="D171" s="81">
        <f>线路!F168</f>
        <v>3035761.4106000001</v>
      </c>
      <c r="E171" s="85">
        <f>线路!G168</f>
        <v>10</v>
      </c>
      <c r="F171" s="85">
        <f>线路!H168</f>
        <v>43.435000000000002</v>
      </c>
      <c r="G171" s="86">
        <f>线路!L168</f>
        <v>18961.050871289841</v>
      </c>
      <c r="H171" s="86">
        <f>线路!M168</f>
        <v>18964.84129009286</v>
      </c>
      <c r="I171" s="86">
        <f>线路!N168</f>
        <v>18968.631708895879</v>
      </c>
      <c r="J171" s="83">
        <f t="shared" si="57"/>
        <v>7.5808376060376759</v>
      </c>
      <c r="K171" s="83">
        <f t="shared" si="67"/>
        <v>27.624600518738589</v>
      </c>
      <c r="L171" s="83">
        <f>IF(A171=1,断面设计!$D$7,IF(A171=2,断面设计!$D$8,IF(A171=3,断面设计!$D$9,IF(A171=4,断面设计!$D$10,IF(A171=5,断面设计!$D$11,IF(A171=6,断面设计!$D$12,IF(A171=7,断面设计!$D$13,IF(A171=8,断面设计!$D$14,IF(A171=9,断面设计!$D$15,IF(A171=10,断面设计!$D$16))))))))))</f>
        <v>1</v>
      </c>
      <c r="M171" s="83">
        <f t="shared" si="68"/>
        <v>1.2</v>
      </c>
      <c r="N171" s="110">
        <f t="shared" si="74"/>
        <v>1.4999999999999999E-2</v>
      </c>
      <c r="O171" s="83">
        <f>IF(A171=1,断面设计!$J$7,IF(A171=2,断面设计!$J$8,IF(A171=3,断面设计!$J$9,IF(A171=4,断面设计!$J$10,IF(A171=5,断面设计!$J$11,IF(A171=6,断面设计!$J$12,IF(A171=7,断面设计!$J$13,IF(A171=8,断面设计!$J$14,IF(A171=9,断面设计!$J$15,IF(A171=10,断面设计!$J$16))))))))))</f>
        <v>5000</v>
      </c>
      <c r="P171" s="111">
        <f>IF(A171=1,断面设计!$K$7,IF(A171=2,断面设计!$K$8,IF(A171=3,断面设计!$K$9,IF(A171=4,断面设计!$K$10,IF(A171=5,断面设计!$K$11,IF(A171=6,断面设计!$K$12,IF(A171=7,断面设计!$K$13,IF(A171=8,断面设计!$K$14,IF(A171=9,断面设计!$K$15,IF(A171=10,断面设计!$K$16))))))))))</f>
        <v>2.1008495889219181</v>
      </c>
      <c r="Q171" s="110">
        <f>IF(A171=1,断面设计!$C$7,IF(A171=2,断面设计!$C$8,IF(A171=3,断面设计!$C$9,IF(A171=4,断面设计!$C$10,IF(A171=5,断面设计!$C$11,IF(A171=6,断面设计!$C$12,IF(A171=7,断面设计!$C$13,IF(A171=8,断面设计!$C$14,IF(A171=9,断面设计!$C$15,IF(A171=10,断面设计!$C$16))))))))))</f>
        <v>1.22814064333749</v>
      </c>
      <c r="R171" s="83">
        <f>IF(A171=1,断面设计!$F$7,IF(A171=2,断面设计!$F$8,IF(A171=3,断面设计!$F$9,IF(A171=4,断面设计!$F$10,IF(A171=5,断面设计!$F$11,IF(A171=6,断面设计!$F$12,IF(A171=7,断面设计!$F$13,IF(A171=8,断面设计!$F$14,IF(A171=9,断面设计!$F$15,IF(A171=10,断面设计!$F$16))))))))))</f>
        <v>3.0381359711183982</v>
      </c>
      <c r="S171" s="83">
        <f>IF(A171=1,断面设计!$G$7,IF(A171=2,断面设计!$G$8,IF(A171=3,断面设计!$G$9,IF(A171=4,断面设计!$G$10,IF(A171=5,断面设计!$G$11,IF(A171=6,断面设计!$G$12,IF(A171=7,断面设计!$G$13,IF(A171=8,断面设计!$G$14,IF(A171=9,断面设计!$G$15,IF(A171=10,断面设计!$G$16))))))))))</f>
        <v>4.8368340246377688</v>
      </c>
      <c r="T171" s="83">
        <f t="shared" si="69"/>
        <v>0.62812491717573971</v>
      </c>
      <c r="U171" s="83">
        <f t="shared" si="70"/>
        <v>0.69149294465203071</v>
      </c>
      <c r="V171" s="123">
        <f t="shared" si="76"/>
        <v>7.9042901447526836E-4</v>
      </c>
      <c r="W171" s="127"/>
      <c r="X171" s="110">
        <f>IF(AN171=0,IF(AN170=2,(H171-H170-AE170)/O171,(H171-H170)/O171),IF(AN171=1,IF(AN170=2,IF(AE171&lt;9,(H171-H170-AE171-AE170)/断面设计!$J$7,(H171-H170-AE171-AE170)/断面设计!$J$7),(H171-H170-AE171)/O170),(H171-H170)/O171))</f>
        <v>5.5249201037477179E-3</v>
      </c>
      <c r="Y171" s="133">
        <v>0</v>
      </c>
      <c r="Z171" s="134">
        <f t="shared" si="75"/>
        <v>0</v>
      </c>
      <c r="AA171" s="142"/>
      <c r="AB171" s="133">
        <f t="shared" si="58"/>
        <v>1.22814064333749</v>
      </c>
      <c r="AC171" s="110">
        <f t="shared" si="59"/>
        <v>6.3153491182229866E-3</v>
      </c>
      <c r="AD171" s="110">
        <f t="shared" ca="1" si="71"/>
        <v>2375.4608851792686</v>
      </c>
      <c r="AE171" s="82">
        <f t="shared" si="72"/>
        <v>0</v>
      </c>
      <c r="AF171" s="110" t="str">
        <f t="shared" si="60"/>
        <v xml:space="preserve"> </v>
      </c>
      <c r="AG171" s="110" t="str">
        <f>IF(AE171=0," ",AF171-断面设计!$C$7)</f>
        <v xml:space="preserve"> </v>
      </c>
      <c r="AH171" s="110">
        <f t="shared" ca="1" si="61"/>
        <v>2375.4624336920438</v>
      </c>
      <c r="AI171" s="110">
        <f t="shared" ca="1" si="62"/>
        <v>2374.2342930487061</v>
      </c>
      <c r="AJ171" s="110">
        <f t="shared" ca="1" si="63"/>
        <v>2375.4601270955081</v>
      </c>
      <c r="AK171" s="110">
        <f t="shared" ca="1" si="64"/>
        <v>2374.2319864521705</v>
      </c>
      <c r="AL171" s="110">
        <f t="shared" ca="1" si="65"/>
        <v>2375.4612803937757</v>
      </c>
      <c r="AM171" s="110">
        <f t="shared" ca="1" si="66"/>
        <v>2374.2331397504381</v>
      </c>
      <c r="AN171" s="127"/>
      <c r="AO171" s="80">
        <v>0</v>
      </c>
      <c r="AQ171" s="127"/>
      <c r="AR171" s="162" t="s">
        <v>710</v>
      </c>
      <c r="AU171" s="64" t="str">
        <f t="shared" ca="1" si="73"/>
        <v>18964.8412900929,2374.23313975044</v>
      </c>
      <c r="AV171" s="64" t="str">
        <f t="shared" ca="1" si="55"/>
        <v>18964.8412900929,2375.46128039378</v>
      </c>
      <c r="AW171" s="169" t="str">
        <f t="shared" si="56"/>
        <v xml:space="preserve">pl 18964.8412900929,0 18964.8412900929,76 </v>
      </c>
      <c r="AX171" s="161" t="str">
        <f t="shared" ca="1" si="52"/>
        <v>-text 18964.8412900929,48 3.5 90 2374.233</v>
      </c>
      <c r="AY171" s="161" t="str">
        <f t="shared" ca="1" si="53"/>
        <v>-text 18964.8412900929,62.5 3.5 90 2375.461</v>
      </c>
      <c r="AZ171" s="42" t="str">
        <f t="shared" si="54"/>
        <v>-text 18964.8412900929,23.5 3.5 90 马分18+964.84</v>
      </c>
    </row>
    <row r="172" spans="1:206" s="57" customFormat="1" ht="18" customHeight="1" x14ac:dyDescent="0.25">
      <c r="A172" s="102">
        <v>8</v>
      </c>
      <c r="B172" s="88" t="str">
        <f>线路!B169</f>
        <v>梅雨二支渠节制闸(八流量段末)</v>
      </c>
      <c r="C172" s="89">
        <f>线路!E169</f>
        <v>441554.31209999998</v>
      </c>
      <c r="D172" s="89">
        <f>线路!F169</f>
        <v>3035747.7881999998</v>
      </c>
      <c r="E172" s="90">
        <f>线路!G169</f>
        <v>0</v>
      </c>
      <c r="F172" s="90">
        <f>线路!H169</f>
        <v>0</v>
      </c>
      <c r="G172" s="91">
        <f>线路!L169</f>
        <v>18985.174499075209</v>
      </c>
      <c r="H172" s="91">
        <f>线路!M169</f>
        <v>18985.174499075209</v>
      </c>
      <c r="I172" s="91">
        <f>线路!N169</f>
        <v>18985.174499075209</v>
      </c>
      <c r="J172" s="112">
        <f t="shared" si="57"/>
        <v>0</v>
      </c>
      <c r="K172" s="112">
        <f t="shared" si="67"/>
        <v>20.333208982348879</v>
      </c>
      <c r="L172" s="112">
        <f>IF(A172=1,断面设计!$D$7,IF(A172=2,断面设计!$D$8,IF(A172=3,断面设计!$D$9,IF(A172=4,断面设计!$D$10,IF(A172=5,断面设计!$D$11,IF(A172=6,断面设计!$D$12,IF(A172=7,断面设计!$D$13,IF(A172=8,断面设计!$D$14,IF(A172=9,断面设计!$D$15,IF(A172=10,断面设计!$D$16))))))))))</f>
        <v>1</v>
      </c>
      <c r="M172" s="112">
        <f t="shared" si="68"/>
        <v>1.2</v>
      </c>
      <c r="N172" s="113">
        <f t="shared" si="74"/>
        <v>1.4999999999999999E-2</v>
      </c>
      <c r="O172" s="112">
        <f>IF(A172=1,断面设计!$J$7,IF(A172=2,断面设计!$J$8,IF(A172=3,断面设计!$J$9,IF(A172=4,断面设计!$J$10,IF(A172=5,断面设计!$J$11,IF(A172=6,断面设计!$J$12,IF(A172=7,断面设计!$J$13,IF(A172=8,断面设计!$J$14,IF(A172=9,断面设计!$J$15,IF(A172=10,断面设计!$J$16))))))))))</f>
        <v>5000</v>
      </c>
      <c r="P172" s="114">
        <f>IF(A172=1,断面设计!$K$7,IF(A172=2,断面设计!$K$8,IF(A172=3,断面设计!$K$9,IF(A172=4,断面设计!$K$10,IF(A172=5,断面设计!$K$11,IF(A172=6,断面设计!$K$12,IF(A172=7,断面设计!$K$13,IF(A172=8,断面设计!$K$14,IF(A172=9,断面设计!$K$15,IF(A172=10,断面设计!$K$16))))))))))</f>
        <v>2.1008495889219181</v>
      </c>
      <c r="Q172" s="113">
        <f>IF(A172=1,断面设计!$C$7,IF(A172=2,断面设计!$C$8,IF(A172=3,断面设计!$C$9,IF(A172=4,断面设计!$C$10,IF(A172=5,断面设计!$C$11,IF(A172=6,断面设计!$C$12,IF(A172=7,断面设计!$C$13,IF(A172=8,断面设计!$C$14,IF(A172=9,断面设计!$C$15,IF(A172=10,断面设计!$C$16))))))))))</f>
        <v>1.22814064333749</v>
      </c>
      <c r="R172" s="112">
        <f>IF(A172=1,断面设计!$F$7,IF(A172=2,断面设计!$F$8,IF(A172=3,断面设计!$F$9,IF(A172=4,断面设计!$F$10,IF(A172=5,断面设计!$F$11,IF(A172=6,断面设计!$F$12,IF(A172=7,断面设计!$F$13,IF(A172=8,断面设计!$F$14,IF(A172=9,断面设计!$F$15,IF(A172=10,断面设计!$F$16))))))))))</f>
        <v>3.0381359711183982</v>
      </c>
      <c r="S172" s="112">
        <f>IF(A172=1,断面设计!$G$7,IF(A172=2,断面设计!$G$8,IF(A172=3,断面设计!$G$9,IF(A172=4,断面设计!$G$10,IF(A172=5,断面设计!$G$11,IF(A172=6,断面设计!$G$12,IF(A172=7,断面设计!$G$13,IF(A172=8,断面设计!$G$14,IF(A172=9,断面设计!$G$15,IF(A172=10,断面设计!$G$16))))))))))</f>
        <v>4.8368340246377688</v>
      </c>
      <c r="T172" s="112">
        <f t="shared" si="69"/>
        <v>0.62812491717573971</v>
      </c>
      <c r="U172" s="112">
        <f t="shared" si="70"/>
        <v>0.69149294465203071</v>
      </c>
      <c r="V172" s="124"/>
      <c r="W172" s="113"/>
      <c r="X172" s="113">
        <f>IF(AN172=0,IF(AN171=2,(H172-H171-AE171)/O172,(H172-H171)/O172),IF(AN172=1,IF(AN171=2,IF(AE172&lt;9,(H172-H171-AE172-AE171)/断面设计!$J$7,(H172-H171-AE172-AE171)/断面设计!$J$7),(H172-H171-AE172)/O171),(H172-H171)/O172))</f>
        <v>4.0666417964697757E-3</v>
      </c>
      <c r="Y172" s="136">
        <v>0</v>
      </c>
      <c r="Z172" s="137">
        <f t="shared" si="75"/>
        <v>0</v>
      </c>
      <c r="AA172" s="148">
        <v>0.05</v>
      </c>
      <c r="AB172" s="136">
        <f t="shared" si="58"/>
        <v>1.22814064333749</v>
      </c>
      <c r="AC172" s="113">
        <f t="shared" si="59"/>
        <v>5.4066641796469778E-2</v>
      </c>
      <c r="AD172" s="113">
        <f t="shared" ca="1" si="71"/>
        <v>2375.4068185374722</v>
      </c>
      <c r="AE172" s="138">
        <f t="shared" si="72"/>
        <v>0</v>
      </c>
      <c r="AF172" s="113" t="str">
        <f t="shared" si="60"/>
        <v xml:space="preserve"> </v>
      </c>
      <c r="AG172" s="113" t="str">
        <f>IF(AE172=0," ",AF172-断面设计!$C$15)</f>
        <v xml:space="preserve"> </v>
      </c>
      <c r="AH172" s="113" t="str">
        <f t="shared" si="61"/>
        <v xml:space="preserve"> </v>
      </c>
      <c r="AI172" s="113" t="str">
        <f t="shared" si="62"/>
        <v xml:space="preserve"> </v>
      </c>
      <c r="AJ172" s="113" t="str">
        <f t="shared" si="63"/>
        <v xml:space="preserve"> </v>
      </c>
      <c r="AK172" s="113" t="str">
        <f t="shared" si="64"/>
        <v xml:space="preserve"> </v>
      </c>
      <c r="AL172" s="113">
        <f t="shared" ca="1" si="65"/>
        <v>2375.4068185374722</v>
      </c>
      <c r="AM172" s="113">
        <f t="shared" ca="1" si="66"/>
        <v>2374.1786778941346</v>
      </c>
      <c r="AN172" s="128"/>
      <c r="AO172" s="102">
        <v>0</v>
      </c>
      <c r="AP172" s="42"/>
      <c r="AQ172" s="162" t="s">
        <v>712</v>
      </c>
      <c r="AR172" s="127">
        <v>2375.41</v>
      </c>
      <c r="AS172" s="42"/>
      <c r="AT172" s="42"/>
      <c r="AU172" s="64" t="str">
        <f t="shared" ca="1" si="73"/>
        <v>18985.1744990752,2374.17867789413</v>
      </c>
      <c r="AV172" s="64" t="str">
        <f t="shared" ca="1" si="55"/>
        <v>18985.1744990752,2375.40681853747</v>
      </c>
      <c r="AW172" s="169" t="str">
        <f t="shared" si="56"/>
        <v xml:space="preserve">pl 18985.1744990752,0 18985.1744990752,76 </v>
      </c>
      <c r="AX172" s="161" t="str">
        <f t="shared" ref="AX172:AX198" ca="1" si="77">"-text"&amp;" "&amp;H172&amp;","&amp;48&amp;" "&amp;"3.5"&amp;" "&amp;"90"&amp;" "&amp;FIXED(AM172,3,TRUE)</f>
        <v>-text 18985.1744990752,48 3.5 90 2374.179</v>
      </c>
      <c r="AY172" s="161" t="str">
        <f t="shared" ref="AY172:AY198" ca="1" si="78">"-text"&amp;" "&amp;H172&amp;","&amp;62.5&amp;" "&amp;"3.5"&amp;" "&amp;"90"&amp;" "&amp;FIXED(AL172,3,TRUE)</f>
        <v>-text 18985.1744990752,62.5 3.5 90 2375.407</v>
      </c>
      <c r="AZ172" s="42" t="str">
        <f t="shared" ref="AZ172:AZ198" si="79">"-text"&amp;" "&amp;H172&amp;","&amp;23.5&amp;" "&amp;"3.5"&amp;" "&amp;"90"&amp;" "&amp;TEXT(H172,"马分0+000.00")</f>
        <v>-text 18985.1744990752,23.5 3.5 90 马分18+985.17</v>
      </c>
      <c r="BA172" s="42"/>
      <c r="BB172" s="42"/>
      <c r="BC172" s="42"/>
      <c r="BD172" s="42"/>
      <c r="BE172" s="42"/>
      <c r="BF172" s="42"/>
      <c r="BG172" s="42"/>
      <c r="BH172" s="42"/>
      <c r="BI172" s="42"/>
      <c r="BJ172" s="42"/>
      <c r="BK172" s="42"/>
      <c r="BL172" s="42"/>
      <c r="BM172" s="42"/>
      <c r="BN172" s="42"/>
      <c r="BO172" s="42"/>
      <c r="BP172" s="42"/>
      <c r="BQ172" s="42"/>
      <c r="BR172" s="42"/>
      <c r="BS172" s="42"/>
      <c r="BT172" s="42"/>
      <c r="BU172" s="42"/>
      <c r="BV172" s="42"/>
      <c r="BW172" s="42"/>
      <c r="BX172" s="42"/>
      <c r="BY172" s="42"/>
      <c r="BZ172" s="42"/>
      <c r="CA172" s="42"/>
      <c r="CB172" s="42"/>
      <c r="CC172" s="42"/>
      <c r="CD172" s="42"/>
      <c r="CE172" s="42"/>
      <c r="CF172" s="42"/>
      <c r="CG172" s="42"/>
      <c r="CH172" s="42"/>
      <c r="CI172" s="42"/>
      <c r="CJ172" s="42"/>
      <c r="CK172" s="42"/>
      <c r="CL172" s="42"/>
      <c r="CM172" s="42"/>
      <c r="CN172" s="42"/>
      <c r="CO172" s="42"/>
      <c r="CP172" s="42"/>
      <c r="CQ172" s="42"/>
      <c r="CR172" s="42"/>
      <c r="CS172" s="42"/>
      <c r="CT172" s="42"/>
      <c r="CU172" s="42"/>
      <c r="CV172" s="42"/>
      <c r="CW172" s="42"/>
      <c r="CX172" s="42"/>
      <c r="CY172" s="42"/>
      <c r="CZ172" s="42"/>
      <c r="DA172" s="42"/>
      <c r="DB172" s="42"/>
      <c r="DC172" s="42"/>
      <c r="DD172" s="42"/>
      <c r="DE172" s="42"/>
      <c r="DF172" s="42"/>
      <c r="DG172" s="42"/>
      <c r="DH172" s="42"/>
      <c r="DI172" s="42"/>
      <c r="DJ172" s="42"/>
      <c r="DK172" s="42"/>
      <c r="DL172" s="42"/>
      <c r="DM172" s="42"/>
      <c r="DN172" s="42"/>
      <c r="DO172" s="42"/>
      <c r="DP172" s="42"/>
      <c r="DQ172" s="42"/>
      <c r="DR172" s="42"/>
      <c r="DS172" s="42"/>
      <c r="DT172" s="42"/>
      <c r="DU172" s="42"/>
      <c r="DV172" s="42"/>
      <c r="DW172" s="42"/>
      <c r="DX172" s="42"/>
      <c r="DY172" s="42"/>
      <c r="DZ172" s="42"/>
      <c r="EA172" s="42"/>
      <c r="EB172" s="42"/>
      <c r="EC172" s="42"/>
      <c r="ED172" s="42"/>
      <c r="EE172" s="42"/>
      <c r="EF172" s="42"/>
      <c r="EG172" s="42"/>
      <c r="EH172" s="42"/>
      <c r="EI172" s="42"/>
      <c r="EJ172" s="42"/>
      <c r="EK172" s="42"/>
      <c r="EL172" s="42"/>
      <c r="EM172" s="42"/>
      <c r="EN172" s="42"/>
      <c r="EO172" s="42"/>
      <c r="EP172" s="42"/>
      <c r="EQ172" s="42"/>
      <c r="ER172" s="42"/>
      <c r="ES172" s="42"/>
      <c r="ET172" s="42"/>
      <c r="EU172" s="42"/>
      <c r="EV172" s="42"/>
      <c r="EW172" s="42"/>
      <c r="EX172" s="42"/>
      <c r="EY172" s="42"/>
      <c r="EZ172" s="42"/>
      <c r="FA172" s="42"/>
      <c r="FB172" s="42"/>
      <c r="FC172" s="42"/>
      <c r="FD172" s="42"/>
      <c r="FE172" s="42"/>
      <c r="FF172" s="42"/>
      <c r="FG172" s="42"/>
      <c r="FH172" s="42"/>
      <c r="FI172" s="42"/>
      <c r="FJ172" s="42"/>
      <c r="FK172" s="42"/>
      <c r="FL172" s="42"/>
      <c r="FM172" s="42"/>
      <c r="FN172" s="42"/>
      <c r="FO172" s="42"/>
      <c r="FP172" s="42"/>
      <c r="FQ172" s="42"/>
      <c r="FR172" s="42"/>
      <c r="FS172" s="42"/>
      <c r="FT172" s="42"/>
      <c r="FU172" s="42"/>
      <c r="FV172" s="42"/>
      <c r="FW172" s="42"/>
      <c r="FX172" s="42"/>
      <c r="FY172" s="42"/>
      <c r="FZ172" s="42"/>
      <c r="GA172" s="42"/>
      <c r="GB172" s="42"/>
      <c r="GC172" s="42"/>
      <c r="GD172" s="42"/>
      <c r="GE172" s="42"/>
      <c r="GF172" s="42"/>
      <c r="GG172" s="42"/>
      <c r="GH172" s="42"/>
      <c r="GI172" s="42"/>
      <c r="GJ172" s="42"/>
      <c r="GK172" s="42"/>
      <c r="GL172" s="42"/>
      <c r="GM172" s="42"/>
      <c r="GN172" s="42"/>
      <c r="GO172" s="42"/>
      <c r="GP172" s="42"/>
      <c r="GQ172" s="42"/>
      <c r="GR172" s="42"/>
      <c r="GS172" s="42"/>
      <c r="GT172" s="42"/>
      <c r="GU172" s="42"/>
      <c r="GV172" s="42"/>
      <c r="GW172" s="42"/>
      <c r="GX172" s="42"/>
    </row>
    <row r="173" spans="1:206" s="42" customFormat="1" x14ac:dyDescent="0.25">
      <c r="A173" s="80">
        <v>9</v>
      </c>
      <c r="B173" s="76" t="str">
        <f>线路!B170</f>
        <v>IP112</v>
      </c>
      <c r="C173" s="81">
        <f>线路!E170</f>
        <v>441536.11080000002</v>
      </c>
      <c r="D173" s="81">
        <f>线路!F170</f>
        <v>3035731.6395</v>
      </c>
      <c r="E173" s="85">
        <f>线路!G170</f>
        <v>10</v>
      </c>
      <c r="F173" s="85">
        <f>线路!H170</f>
        <v>47.447000000000003</v>
      </c>
      <c r="G173" s="86">
        <f>线路!L170</f>
        <v>19005.112357280977</v>
      </c>
      <c r="H173" s="86">
        <f>线路!M170</f>
        <v>19009.252889131945</v>
      </c>
      <c r="I173" s="86">
        <f>线路!N170</f>
        <v>19013.393420982917</v>
      </c>
      <c r="J173" s="83">
        <f t="shared" si="57"/>
        <v>8.2810637019392743</v>
      </c>
      <c r="K173" s="83">
        <f t="shared" si="67"/>
        <v>24.07839005673668</v>
      </c>
      <c r="L173" s="83">
        <f>IF(A173=1,断面设计!$D$7,IF(A173=2,断面设计!$D$8,IF(A173=3,断面设计!$D$9,IF(A173=4,断面设计!$D$10,IF(A173=5,断面设计!$D$11,IF(A173=6,断面设计!$D$12,IF(A173=7,断面设计!$D$13,IF(A173=8,断面设计!$D$14,IF(A173=9,断面设计!$D$15,IF(A173=10,断面设计!$D$16))))))))))</f>
        <v>0.8</v>
      </c>
      <c r="M173" s="83">
        <f t="shared" si="68"/>
        <v>1.2</v>
      </c>
      <c r="N173" s="110">
        <f t="shared" si="74"/>
        <v>1.4999999999999999E-2</v>
      </c>
      <c r="O173" s="83">
        <f>IF(A173=1,断面设计!$J$7,IF(A173=2,断面设计!$J$8,IF(A173=3,断面设计!$J$9,IF(A173=4,断面设计!$J$10,IF(A173=5,断面设计!$J$11,IF(A173=6,断面设计!$J$12,IF(A173=7,断面设计!$J$13,IF(A173=8,断面设计!$J$14,IF(A173=9,断面设计!$J$15,IF(A173=10,断面设计!$J$16))))))))))</f>
        <v>5000</v>
      </c>
      <c r="P173" s="111">
        <f>IF(A173=1,断面设计!$K$7,IF(A173=2,断面设计!$K$8,IF(A173=3,断面设计!$K$9,IF(A173=4,断面设计!$K$10,IF(A173=5,断面设计!$K$11,IF(A173=6,断面设计!$K$12,IF(A173=7,断面设计!$K$13,IF(A173=8,断面设计!$K$14,IF(A173=9,断面设计!$K$15,IF(A173=10,断面设计!$K$16))))))))))</f>
        <v>1.2005650086383313</v>
      </c>
      <c r="Q173" s="110">
        <f>IF(A173=1,断面设计!$C$7,IF(A173=2,断面设计!$C$8,IF(A173=3,断面设计!$C$9,IF(A173=4,断面设计!$C$10,IF(A173=5,断面设计!$C$11,IF(A173=6,断面设计!$C$12,IF(A173=7,断面设计!$C$13,IF(A173=8,断面设计!$C$14,IF(A173=9,断面设计!$C$15,IF(A173=10,断面设计!$C$16))))))))))</f>
        <v>0.999</v>
      </c>
      <c r="R173" s="83">
        <f>IF(A173=1,断面设计!$F$7,IF(A173=2,断面设计!$F$8,IF(A173=3,断面设计!$F$9,IF(A173=4,断面设计!$F$10,IF(A173=5,断面设计!$F$11,IF(A173=6,断面设计!$F$12,IF(A173=7,断面设计!$F$13,IF(A173=8,断面设计!$F$14,IF(A173=9,断面设计!$F$15,IF(A173=10,断面设计!$F$16))))))))))</f>
        <v>1.9968011999999999</v>
      </c>
      <c r="S173" s="83">
        <f>IF(A173=1,断面设计!$G$7,IF(A173=2,断面设计!$G$8,IF(A173=3,断面设计!$G$9,IF(A173=4,断面设计!$G$10,IF(A173=5,断面设计!$G$11,IF(A173=6,断面设计!$G$12,IF(A173=7,断面设计!$G$13,IF(A173=8,断面设计!$G$14,IF(A173=9,断面设计!$G$15,IF(A173=10,断面设计!$G$16))))))))))</f>
        <v>3.9209757704922987</v>
      </c>
      <c r="T173" s="83">
        <f t="shared" si="69"/>
        <v>0.50926129537120068</v>
      </c>
      <c r="U173" s="83">
        <f t="shared" si="70"/>
        <v>0.60124413418738498</v>
      </c>
      <c r="V173" s="123">
        <f t="shared" si="76"/>
        <v>7.7740533687466532E-4</v>
      </c>
      <c r="W173" s="127"/>
      <c r="X173" s="110">
        <f>IF(AN173=0,IF(AN172=2,(H173-H172-AE172)/O173,(H173-H172)/O173),IF(AN173=1,IF(AN172=2,IF(AE173&lt;9,(H173-H172-AE173-AE172)/断面设计!$J$7,(H173-H172-AE173-AE172)/断面设计!$J$7),(H173-H172-AE173)/O172),(H173-H172)/O173))</f>
        <v>4.8156780113473357E-3</v>
      </c>
      <c r="Y173" s="133">
        <v>0</v>
      </c>
      <c r="Z173" s="134">
        <f t="shared" si="75"/>
        <v>0</v>
      </c>
      <c r="AA173" s="142"/>
      <c r="AB173" s="133">
        <f t="shared" si="58"/>
        <v>0.999</v>
      </c>
      <c r="AC173" s="110">
        <f t="shared" si="59"/>
        <v>5.5930833482220011E-3</v>
      </c>
      <c r="AD173" s="110">
        <f t="shared" ca="1" si="71"/>
        <v>2375.401225454124</v>
      </c>
      <c r="AE173" s="82">
        <f t="shared" si="72"/>
        <v>0</v>
      </c>
      <c r="AF173" s="110" t="str">
        <f t="shared" si="60"/>
        <v xml:space="preserve"> </v>
      </c>
      <c r="AG173" s="110" t="str">
        <f>IF(AE173=0," ",AF173-断面设计!$C$7)</f>
        <v xml:space="preserve"> </v>
      </c>
      <c r="AH173" s="110">
        <f t="shared" ca="1" si="61"/>
        <v>2375.4028309658311</v>
      </c>
      <c r="AI173" s="110">
        <f t="shared" ca="1" si="62"/>
        <v>2374.4038309658313</v>
      </c>
      <c r="AJ173" s="110">
        <f t="shared" ca="1" si="63"/>
        <v>2375.4003973477538</v>
      </c>
      <c r="AK173" s="110">
        <f t="shared" ca="1" si="64"/>
        <v>2374.401397347754</v>
      </c>
      <c r="AL173" s="110">
        <f t="shared" ca="1" si="65"/>
        <v>2375.4016141567922</v>
      </c>
      <c r="AM173" s="110">
        <f t="shared" ca="1" si="66"/>
        <v>2374.4026141567924</v>
      </c>
      <c r="AN173" s="127"/>
      <c r="AO173" s="80">
        <v>0</v>
      </c>
      <c r="AU173" s="64" t="str">
        <f t="shared" ca="1" si="73"/>
        <v>19009.2528891319,2374.40261415679</v>
      </c>
      <c r="AV173" s="64" t="str">
        <f t="shared" ref="AV173:AV198" ca="1" si="80">H173&amp;","&amp;AL173</f>
        <v>19009.2528891319,2375.40161415679</v>
      </c>
      <c r="AW173" s="169" t="str">
        <f t="shared" ref="AW173:AW198" si="81">"pl "&amp;H173&amp;",0 "&amp;H173&amp;",76 "</f>
        <v xml:space="preserve">pl 19009.2528891319,0 19009.2528891319,76 </v>
      </c>
      <c r="AX173" s="161" t="str">
        <f t="shared" ca="1" si="77"/>
        <v>-text 19009.2528891319,48 3.5 90 2374.403</v>
      </c>
      <c r="AY173" s="161" t="str">
        <f t="shared" ca="1" si="78"/>
        <v>-text 19009.2528891319,62.5 3.5 90 2375.402</v>
      </c>
      <c r="AZ173" s="42" t="str">
        <f t="shared" si="79"/>
        <v>-text 19009.2528891319,23.5 3.5 90 马分19+009.25</v>
      </c>
    </row>
    <row r="174" spans="1:206" s="42" customFormat="1" x14ac:dyDescent="0.25">
      <c r="A174" s="80">
        <v>9</v>
      </c>
      <c r="B174" s="76" t="str">
        <f>线路!B171</f>
        <v>IP113</v>
      </c>
      <c r="C174" s="81">
        <f>线路!E171</f>
        <v>441534.86459999997</v>
      </c>
      <c r="D174" s="81">
        <f>线路!F171</f>
        <v>3035658.2648999998</v>
      </c>
      <c r="E174" s="85">
        <f>线路!G171</f>
        <v>10</v>
      </c>
      <c r="F174" s="85">
        <f>线路!H171</f>
        <v>28.574000000000002</v>
      </c>
      <c r="G174" s="86">
        <f>线路!L171</f>
        <v>19079.837465325418</v>
      </c>
      <c r="H174" s="86">
        <f>线路!M171</f>
        <v>19082.331017227742</v>
      </c>
      <c r="I174" s="86">
        <f>线路!N171</f>
        <v>19084.824569130065</v>
      </c>
      <c r="J174" s="83">
        <f t="shared" si="57"/>
        <v>4.9871038046476315</v>
      </c>
      <c r="K174" s="83">
        <f t="shared" si="67"/>
        <v>73.078128095796274</v>
      </c>
      <c r="L174" s="83">
        <f>IF(A174=1,断面设计!$D$7,IF(A174=2,断面设计!$D$8,IF(A174=3,断面设计!$D$9,IF(A174=4,断面设计!$D$10,IF(A174=5,断面设计!$D$11,IF(A174=6,断面设计!$D$12,IF(A174=7,断面设计!$D$13,IF(A174=8,断面设计!$D$14,IF(A174=9,断面设计!$D$15,IF(A174=10,断面设计!$D$16))))))))))</f>
        <v>0.8</v>
      </c>
      <c r="M174" s="83">
        <f t="shared" si="68"/>
        <v>1.2</v>
      </c>
      <c r="N174" s="110">
        <f t="shared" si="74"/>
        <v>1.4999999999999999E-2</v>
      </c>
      <c r="O174" s="83">
        <f>IF(A174=1,断面设计!$J$7,IF(A174=2,断面设计!$J$8,IF(A174=3,断面设计!$J$9,IF(A174=4,断面设计!$J$10,IF(A174=5,断面设计!$J$11,IF(A174=6,断面设计!$J$12,IF(A174=7,断面设计!$J$13,IF(A174=8,断面设计!$J$14,IF(A174=9,断面设计!$J$15,IF(A174=10,断面设计!$J$16))))))))))</f>
        <v>5000</v>
      </c>
      <c r="P174" s="111">
        <f>IF(A174=1,断面设计!$K$7,IF(A174=2,断面设计!$K$8,IF(A174=3,断面设计!$K$9,IF(A174=4,断面设计!$K$10,IF(A174=5,断面设计!$K$11,IF(A174=6,断面设计!$K$12,IF(A174=7,断面设计!$K$13,IF(A174=8,断面设计!$K$14,IF(A174=9,断面设计!$K$15,IF(A174=10,断面设计!$K$16))))))))))</f>
        <v>1.2005650086383313</v>
      </c>
      <c r="Q174" s="110">
        <f>IF(A174=1,断面设计!$C$7,IF(A174=2,断面设计!$C$8,IF(A174=3,断面设计!$C$9,IF(A174=4,断面设计!$C$10,IF(A174=5,断面设计!$C$11,IF(A174=6,断面设计!$C$12,IF(A174=7,断面设计!$C$13,IF(A174=8,断面设计!$C$14,IF(A174=9,断面设计!$C$15,IF(A174=10,断面设计!$C$16))))))))))</f>
        <v>0.999</v>
      </c>
      <c r="R174" s="83">
        <f>IF(A174=1,断面设计!$F$7,IF(A174=2,断面设计!$F$8,IF(A174=3,断面设计!$F$9,IF(A174=4,断面设计!$F$10,IF(A174=5,断面设计!$F$11,IF(A174=6,断面设计!$F$12,IF(A174=7,断面设计!$F$13,IF(A174=8,断面设计!$F$14,IF(A174=9,断面设计!$F$15,IF(A174=10,断面设计!$F$16))))))))))</f>
        <v>1.9968011999999999</v>
      </c>
      <c r="S174" s="83">
        <f>IF(A174=1,断面设计!$G$7,IF(A174=2,断面设计!$G$8,IF(A174=3,断面设计!$G$9,IF(A174=4,断面设计!$G$10,IF(A174=5,断面设计!$G$11,IF(A174=6,断面设计!$G$12,IF(A174=7,断面设计!$G$13,IF(A174=8,断面设计!$G$14,IF(A174=9,断面设计!$G$15,IF(A174=10,断面设计!$G$16))))))))))</f>
        <v>3.9209757704922987</v>
      </c>
      <c r="T174" s="83">
        <f t="shared" si="69"/>
        <v>0.50926129537120068</v>
      </c>
      <c r="U174" s="83">
        <f t="shared" si="70"/>
        <v>0.60124413418738498</v>
      </c>
      <c r="V174" s="123">
        <f t="shared" si="76"/>
        <v>4.6817670444596299E-4</v>
      </c>
      <c r="W174" s="127"/>
      <c r="X174" s="110">
        <f>IF(AN174=0,IF(AN173=2,(H174-H173-AE173)/O174,(H174-H173)/O174),IF(AN174=1,IF(AN173=2,IF(AE174&lt;9,(H174-H173-AE174-AE173)/断面设计!$J$7,(H174-H173-AE174-AE173)/断面设计!$J$7),(H174-H173-AE174)/O173),(H174-H173)/O174))</f>
        <v>1.4615625619159255E-2</v>
      </c>
      <c r="Y174" s="133">
        <v>0</v>
      </c>
      <c r="Z174" s="134">
        <f t="shared" si="75"/>
        <v>0</v>
      </c>
      <c r="AA174" s="142"/>
      <c r="AB174" s="133">
        <f t="shared" si="58"/>
        <v>0.999</v>
      </c>
      <c r="AC174" s="110">
        <f t="shared" si="59"/>
        <v>1.5083802323605218E-2</v>
      </c>
      <c r="AD174" s="110">
        <f t="shared" ca="1" si="71"/>
        <v>2375.3861416518002</v>
      </c>
      <c r="AE174" s="82">
        <f t="shared" si="72"/>
        <v>0</v>
      </c>
      <c r="AF174" s="110" t="str">
        <f t="shared" si="60"/>
        <v xml:space="preserve"> </v>
      </c>
      <c r="AG174" s="110" t="str">
        <f>IF(AE174=0," ",AF174-断面设计!$C$7)</f>
        <v xml:space="preserve"> </v>
      </c>
      <c r="AH174" s="110">
        <f t="shared" ca="1" si="61"/>
        <v>2375.3871085388851</v>
      </c>
      <c r="AI174" s="110">
        <f t="shared" ca="1" si="62"/>
        <v>2374.3881085388853</v>
      </c>
      <c r="AJ174" s="110">
        <f t="shared" ca="1" si="63"/>
        <v>2375.38564294142</v>
      </c>
      <c r="AK174" s="110">
        <f t="shared" ca="1" si="64"/>
        <v>2374.3866429414202</v>
      </c>
      <c r="AL174" s="110">
        <f t="shared" ca="1" si="65"/>
        <v>2375.3863757401523</v>
      </c>
      <c r="AM174" s="110">
        <f t="shared" ca="1" si="66"/>
        <v>2374.3873757401525</v>
      </c>
      <c r="AN174" s="127"/>
      <c r="AO174" s="80">
        <v>0</v>
      </c>
      <c r="AU174" s="64" t="str">
        <f t="shared" ca="1" si="73"/>
        <v>19082.3310172277,2374.38737574015</v>
      </c>
      <c r="AV174" s="64" t="str">
        <f t="shared" ca="1" si="80"/>
        <v>19082.3310172277,2375.38637574015</v>
      </c>
      <c r="AW174" s="169" t="str">
        <f t="shared" si="81"/>
        <v xml:space="preserve">pl 19082.3310172277,0 19082.3310172277,76 </v>
      </c>
      <c r="AX174" s="161" t="str">
        <f t="shared" ca="1" si="77"/>
        <v>-text 19082.3310172277,48 3.5 90 2374.387</v>
      </c>
      <c r="AY174" s="161" t="str">
        <f t="shared" ca="1" si="78"/>
        <v>-text 19082.3310172277,62.5 3.5 90 2375.386</v>
      </c>
      <c r="AZ174" s="42" t="str">
        <f t="shared" si="79"/>
        <v>-text 19082.3310172277,23.5 3.5 90 马分19+082.33</v>
      </c>
    </row>
    <row r="175" spans="1:206" s="42" customFormat="1" x14ac:dyDescent="0.25">
      <c r="A175" s="80">
        <v>9</v>
      </c>
      <c r="B175" s="76" t="str">
        <f>线路!B172</f>
        <v>IP114</v>
      </c>
      <c r="C175" s="81">
        <f>线路!E172</f>
        <v>441605.06459999998</v>
      </c>
      <c r="D175" s="81">
        <f>线路!F172</f>
        <v>3035523.9914000002</v>
      </c>
      <c r="E175" s="85">
        <f>线路!G172</f>
        <v>10</v>
      </c>
      <c r="F175" s="85">
        <f>线路!H172</f>
        <v>36.005000000000003</v>
      </c>
      <c r="G175" s="86">
        <f>线路!L172</f>
        <v>19230.545375925165</v>
      </c>
      <c r="H175" s="86">
        <f>线路!M172</f>
        <v>19233.687404911067</v>
      </c>
      <c r="I175" s="86">
        <f>线路!N172</f>
        <v>19236.829433896972</v>
      </c>
      <c r="J175" s="83">
        <f t="shared" si="57"/>
        <v>6.2840579718067602</v>
      </c>
      <c r="K175" s="83">
        <f t="shared" si="67"/>
        <v>151.35638768332501</v>
      </c>
      <c r="L175" s="83">
        <f>IF(A175=1,断面设计!$D$7,IF(A175=2,断面设计!$D$8,IF(A175=3,断面设计!$D$9,IF(A175=4,断面设计!$D$10,IF(A175=5,断面设计!$D$11,IF(A175=6,断面设计!$D$12,IF(A175=7,断面设计!$D$13,IF(A175=8,断面设计!$D$14,IF(A175=9,断面设计!$D$15,IF(A175=10,断面设计!$D$16))))))))))</f>
        <v>0.8</v>
      </c>
      <c r="M175" s="83">
        <f t="shared" si="68"/>
        <v>1.2</v>
      </c>
      <c r="N175" s="110">
        <f t="shared" si="74"/>
        <v>1.4999999999999999E-2</v>
      </c>
      <c r="O175" s="83">
        <f>IF(A175=1,断面设计!$J$7,IF(A175=2,断面设计!$J$8,IF(A175=3,断面设计!$J$9,IF(A175=4,断面设计!$J$10,IF(A175=5,断面设计!$J$11,IF(A175=6,断面设计!$J$12,IF(A175=7,断面设计!$J$13,IF(A175=8,断面设计!$J$14,IF(A175=9,断面设计!$J$15,IF(A175=10,断面设计!$J$16))))))))))</f>
        <v>5000</v>
      </c>
      <c r="P175" s="111">
        <f>IF(A175=1,断面设计!$K$7,IF(A175=2,断面设计!$K$8,IF(A175=3,断面设计!$K$9,IF(A175=4,断面设计!$K$10,IF(A175=5,断面设计!$K$11,IF(A175=6,断面设计!$K$12,IF(A175=7,断面设计!$K$13,IF(A175=8,断面设计!$K$14,IF(A175=9,断面设计!$K$15,IF(A175=10,断面设计!$K$16))))))))))</f>
        <v>1.2005650086383313</v>
      </c>
      <c r="Q175" s="110">
        <f>IF(A175=1,断面设计!$C$7,IF(A175=2,断面设计!$C$8,IF(A175=3,断面设计!$C$9,IF(A175=4,断面设计!$C$10,IF(A175=5,断面设计!$C$11,IF(A175=6,断面设计!$C$12,IF(A175=7,断面设计!$C$13,IF(A175=8,断面设计!$C$14,IF(A175=9,断面设计!$C$15,IF(A175=10,断面设计!$C$16))))))))))</f>
        <v>0.999</v>
      </c>
      <c r="R175" s="83">
        <f>IF(A175=1,断面设计!$F$7,IF(A175=2,断面设计!$F$8,IF(A175=3,断面设计!$F$9,IF(A175=4,断面设计!$F$10,IF(A175=5,断面设计!$F$11,IF(A175=6,断面设计!$F$12,IF(A175=7,断面设计!$F$13,IF(A175=8,断面设计!$F$14,IF(A175=9,断面设计!$F$15,IF(A175=10,断面设计!$F$16))))))))))</f>
        <v>1.9968011999999999</v>
      </c>
      <c r="S175" s="83">
        <f>IF(A175=1,断面设计!$G$7,IF(A175=2,断面设计!$G$8,IF(A175=3,断面设计!$G$9,IF(A175=4,断面设计!$G$10,IF(A175=5,断面设计!$G$11,IF(A175=6,断面设计!$G$12,IF(A175=7,断面设计!$G$13,IF(A175=8,断面设计!$G$14,IF(A175=9,断面设计!$G$15,IF(A175=10,断面设计!$G$16))))))))))</f>
        <v>3.9209757704922987</v>
      </c>
      <c r="T175" s="83">
        <f t="shared" si="69"/>
        <v>0.50926129537120068</v>
      </c>
      <c r="U175" s="83">
        <f t="shared" si="70"/>
        <v>0.60124413418738498</v>
      </c>
      <c r="V175" s="123">
        <f t="shared" si="76"/>
        <v>5.89931484691794E-4</v>
      </c>
      <c r="W175" s="127"/>
      <c r="X175" s="110">
        <f>IF(AN175=0,IF(AN174=2,(H175-H174-AE174)/O175,(H175-H174)/O175),IF(AN175=1,IF(AN174=2,IF(AE175&lt;9,(H175-H174-AE175-AE174)/断面设计!$J$7,(H175-H174-AE175-AE174)/断面设计!$J$7),(H175-H174-AE175)/O174),(H175-H174)/O175))</f>
        <v>3.0271277536665003E-2</v>
      </c>
      <c r="Y175" s="133">
        <v>0</v>
      </c>
      <c r="Z175" s="134">
        <f t="shared" si="75"/>
        <v>0</v>
      </c>
      <c r="AA175" s="142"/>
      <c r="AB175" s="133">
        <f t="shared" si="58"/>
        <v>0.999</v>
      </c>
      <c r="AC175" s="110">
        <f t="shared" si="59"/>
        <v>3.0861209021356799E-2</v>
      </c>
      <c r="AD175" s="110">
        <f t="shared" ca="1" si="71"/>
        <v>2375.3552804427791</v>
      </c>
      <c r="AE175" s="82">
        <f t="shared" si="72"/>
        <v>0</v>
      </c>
      <c r="AF175" s="110" t="str">
        <f t="shared" si="60"/>
        <v xml:space="preserve"> </v>
      </c>
      <c r="AG175" s="110" t="str">
        <f>IF(AE175=0," ",AF175-断面设计!$C$7)</f>
        <v xml:space="preserve"> </v>
      </c>
      <c r="AH175" s="110">
        <f t="shared" ca="1" si="61"/>
        <v>2375.356498780061</v>
      </c>
      <c r="AI175" s="110">
        <f t="shared" ca="1" si="62"/>
        <v>2374.3574987800612</v>
      </c>
      <c r="AJ175" s="110">
        <f t="shared" ca="1" si="63"/>
        <v>2375.3546520369819</v>
      </c>
      <c r="AK175" s="110">
        <f t="shared" ca="1" si="64"/>
        <v>2374.3556520369821</v>
      </c>
      <c r="AL175" s="110">
        <f t="shared" ca="1" si="65"/>
        <v>2375.3555754085214</v>
      </c>
      <c r="AM175" s="110">
        <f t="shared" ca="1" si="66"/>
        <v>2374.3565754085216</v>
      </c>
      <c r="AN175" s="127"/>
      <c r="AO175" s="80">
        <v>0</v>
      </c>
      <c r="AU175" s="64" t="str">
        <f t="shared" ca="1" si="73"/>
        <v>19233.6874049111,2374.35657540852</v>
      </c>
      <c r="AV175" s="64" t="str">
        <f t="shared" ca="1" si="80"/>
        <v>19233.6874049111,2375.35557540852</v>
      </c>
      <c r="AW175" s="169" t="str">
        <f t="shared" si="81"/>
        <v xml:space="preserve">pl 19233.6874049111,0 19233.6874049111,76 </v>
      </c>
      <c r="AX175" s="161" t="str">
        <f t="shared" ca="1" si="77"/>
        <v>-text 19233.6874049111,48 3.5 90 2374.357</v>
      </c>
      <c r="AY175" s="161" t="str">
        <f t="shared" ca="1" si="78"/>
        <v>-text 19233.6874049111,62.5 3.5 90 2375.356</v>
      </c>
      <c r="AZ175" s="42" t="str">
        <f t="shared" si="79"/>
        <v>-text 19233.6874049111,23.5 3.5 90 马分19+233.69</v>
      </c>
    </row>
    <row r="176" spans="1:206" s="55" customFormat="1" x14ac:dyDescent="0.25">
      <c r="A176" s="92">
        <v>9</v>
      </c>
      <c r="B176" s="93" t="str">
        <f>线路!B173</f>
        <v>13#倒虹吸进</v>
      </c>
      <c r="C176" s="94">
        <f>线路!E173</f>
        <v>441603.48269999999</v>
      </c>
      <c r="D176" s="94">
        <f>线路!F173</f>
        <v>3035513.2832999998</v>
      </c>
      <c r="E176" s="95">
        <f>线路!G173</f>
        <v>0</v>
      </c>
      <c r="F176" s="95">
        <f>线路!H173</f>
        <v>0</v>
      </c>
      <c r="G176" s="96">
        <f>线路!L173</f>
        <v>19244.404070362547</v>
      </c>
      <c r="H176" s="96">
        <f>线路!M173</f>
        <v>19244.404070362547</v>
      </c>
      <c r="I176" s="96">
        <f>线路!N173</f>
        <v>19244.404070362547</v>
      </c>
      <c r="J176" s="115">
        <f t="shared" si="57"/>
        <v>0</v>
      </c>
      <c r="K176" s="115">
        <f t="shared" si="67"/>
        <v>10.716665451480367</v>
      </c>
      <c r="L176" s="115">
        <f>IF(A176=1,断面设计!$D$7,IF(A176=2,断面设计!$D$8,IF(A176=3,断面设计!$D$9,IF(A176=4,断面设计!$D$10,IF(A176=5,断面设计!$D$11,IF(A176=6,断面设计!$D$12,IF(A176=7,断面设计!$D$13,IF(A176=8,断面设计!$D$14,IF(A176=9,断面设计!$D$15,IF(A176=10,断面设计!$D$16))))))))))</f>
        <v>0.8</v>
      </c>
      <c r="M176" s="115">
        <f t="shared" si="68"/>
        <v>1.2</v>
      </c>
      <c r="N176" s="116">
        <f t="shared" si="74"/>
        <v>1.4999999999999999E-2</v>
      </c>
      <c r="O176" s="115">
        <f>IF(A176=1,断面设计!$J$7,IF(A176=2,断面设计!$J$8,IF(A176=3,断面设计!$J$9,IF(A176=4,断面设计!$J$10,IF(A176=5,断面设计!$J$11,IF(A176=6,断面设计!$J$12,IF(A176=7,断面设计!$J$13,IF(A176=8,断面设计!$J$14,IF(A176=9,断面设计!$J$15,IF(A176=10,断面设计!$J$16))))))))))</f>
        <v>5000</v>
      </c>
      <c r="P176" s="117">
        <f>IF(A176=1,断面设计!$K$7,IF(A176=2,断面设计!$K$8,IF(A176=3,断面设计!$K$9,IF(A176=4,断面设计!$K$10,IF(A176=5,断面设计!$K$11,IF(A176=6,断面设计!$K$12,IF(A176=7,断面设计!$K$13,IF(A176=8,断面设计!$K$14,IF(A176=9,断面设计!$K$15,IF(A176=10,断面设计!$K$16))))))))))</f>
        <v>1.2005650086383313</v>
      </c>
      <c r="Q176" s="116">
        <f>IF(A176=1,断面设计!$C$7,IF(A176=2,断面设计!$C$8,IF(A176=3,断面设计!$C$9,IF(A176=4,断面设计!$C$10,IF(A176=5,断面设计!$C$11,IF(A176=6,断面设计!$C$12,IF(A176=7,断面设计!$C$13,IF(A176=8,断面设计!$C$14,IF(A176=9,断面设计!$C$15,IF(A176=10,断面设计!$C$16))))))))))</f>
        <v>0.999</v>
      </c>
      <c r="R176" s="115">
        <f>IF(A176=1,断面设计!$F$7,IF(A176=2,断面设计!$F$8,IF(A176=3,断面设计!$F$9,IF(A176=4,断面设计!$F$10,IF(A176=5,断面设计!$F$11,IF(A176=6,断面设计!$F$12,IF(A176=7,断面设计!$F$13,IF(A176=8,断面设计!$F$14,IF(A176=9,断面设计!$F$15,IF(A176=10,断面设计!$F$16))))))))))</f>
        <v>1.9968011999999999</v>
      </c>
      <c r="S176" s="115">
        <f>IF(A176=1,断面设计!$G$7,IF(A176=2,断面设计!$G$8,IF(A176=3,断面设计!$G$9,IF(A176=4,断面设计!$G$10,IF(A176=5,断面设计!$G$11,IF(A176=6,断面设计!$G$12,IF(A176=7,断面设计!$G$13,IF(A176=8,断面设计!$G$14,IF(A176=9,断面设计!$G$15,IF(A176=10,断面设计!$G$16))))))))))</f>
        <v>3.9209757704922987</v>
      </c>
      <c r="T176" s="115">
        <f t="shared" si="69"/>
        <v>0.50926129537120068</v>
      </c>
      <c r="U176" s="115">
        <f t="shared" si="70"/>
        <v>0.60124413418738498</v>
      </c>
      <c r="V176" s="125"/>
      <c r="W176" s="178"/>
      <c r="X176" s="116"/>
      <c r="Y176" s="139">
        <v>0</v>
      </c>
      <c r="Z176" s="140">
        <f t="shared" si="75"/>
        <v>0</v>
      </c>
      <c r="AA176" s="143"/>
      <c r="AB176" s="139">
        <f t="shared" si="58"/>
        <v>0.999</v>
      </c>
      <c r="AC176" s="116">
        <f t="shared" si="59"/>
        <v>0</v>
      </c>
      <c r="AD176" s="116">
        <f t="shared" ca="1" si="71"/>
        <v>2375.3552804427791</v>
      </c>
      <c r="AE176" s="141">
        <f t="shared" si="72"/>
        <v>0</v>
      </c>
      <c r="AF176" s="116" t="str">
        <f t="shared" si="60"/>
        <v xml:space="preserve"> </v>
      </c>
      <c r="AG176" s="116" t="str">
        <f>IF(AE176=0," ",AF176-断面设计!$C$7)</f>
        <v xml:space="preserve"> </v>
      </c>
      <c r="AH176" s="116" t="str">
        <f t="shared" si="61"/>
        <v xml:space="preserve"> </v>
      </c>
      <c r="AI176" s="116" t="str">
        <f t="shared" si="62"/>
        <v xml:space="preserve"> </v>
      </c>
      <c r="AJ176" s="116" t="str">
        <f t="shared" si="63"/>
        <v xml:space="preserve"> </v>
      </c>
      <c r="AK176" s="116" t="str">
        <f t="shared" si="64"/>
        <v xml:space="preserve"> </v>
      </c>
      <c r="AL176" s="116">
        <f t="shared" ca="1" si="65"/>
        <v>2375.3552804427791</v>
      </c>
      <c r="AM176" s="116">
        <f t="shared" ca="1" si="66"/>
        <v>2374.3562804427793</v>
      </c>
      <c r="AN176" s="178"/>
      <c r="AO176" s="92">
        <v>0</v>
      </c>
      <c r="AP176" s="42"/>
      <c r="AQ176" s="42"/>
      <c r="AR176" s="42"/>
      <c r="AS176" s="42"/>
      <c r="AT176" s="42"/>
      <c r="AU176" s="64" t="str">
        <f t="shared" ca="1" si="73"/>
        <v>19244.4040703625,2374.35628044278</v>
      </c>
      <c r="AV176" s="64" t="str">
        <f t="shared" ca="1" si="80"/>
        <v>19244.4040703625,2375.35528044278</v>
      </c>
      <c r="AW176" s="169" t="str">
        <f t="shared" si="81"/>
        <v xml:space="preserve">pl 19244.4040703625,0 19244.4040703625,76 </v>
      </c>
      <c r="AX176" s="161" t="str">
        <f t="shared" ca="1" si="77"/>
        <v>-text 19244.4040703625,48 3.5 90 2374.356</v>
      </c>
      <c r="AY176" s="161" t="str">
        <f t="shared" ca="1" si="78"/>
        <v>-text 19244.4040703625,62.5 3.5 90 2375.355</v>
      </c>
      <c r="AZ176" s="42" t="str">
        <f t="shared" si="79"/>
        <v>-text 19244.4040703625,23.5 3.5 90 马分19+244.40</v>
      </c>
      <c r="BA176" s="42"/>
      <c r="BB176" s="42"/>
      <c r="BC176" s="42"/>
      <c r="BD176" s="42"/>
      <c r="BE176" s="42"/>
      <c r="BF176" s="42"/>
      <c r="BG176" s="42"/>
      <c r="BH176" s="42"/>
      <c r="BI176" s="42"/>
      <c r="BJ176" s="42"/>
      <c r="BK176" s="42"/>
      <c r="BL176" s="42"/>
      <c r="BM176" s="42"/>
      <c r="BN176" s="42"/>
      <c r="BO176" s="42"/>
      <c r="BP176" s="42"/>
      <c r="BQ176" s="42"/>
      <c r="BR176" s="42"/>
      <c r="BS176" s="42"/>
      <c r="BT176" s="42"/>
      <c r="BU176" s="42"/>
      <c r="BV176" s="42"/>
      <c r="BW176" s="42"/>
      <c r="BX176" s="42"/>
      <c r="BY176" s="42"/>
      <c r="BZ176" s="42"/>
      <c r="CA176" s="42"/>
      <c r="CB176" s="42"/>
      <c r="CC176" s="42"/>
      <c r="CD176" s="42"/>
      <c r="CE176" s="42"/>
      <c r="CF176" s="42"/>
      <c r="CG176" s="42"/>
      <c r="CH176" s="42"/>
      <c r="CI176" s="42"/>
      <c r="CJ176" s="42"/>
      <c r="CK176" s="42"/>
      <c r="CL176" s="42"/>
      <c r="CM176" s="42"/>
      <c r="CN176" s="42"/>
      <c r="CO176" s="42"/>
      <c r="CP176" s="42"/>
      <c r="CQ176" s="42"/>
      <c r="CR176" s="42"/>
      <c r="CS176" s="42"/>
      <c r="CT176" s="42"/>
      <c r="CU176" s="42"/>
      <c r="CV176" s="42"/>
      <c r="CW176" s="42"/>
      <c r="CX176" s="42"/>
      <c r="CY176" s="42"/>
      <c r="CZ176" s="42"/>
      <c r="DA176" s="42"/>
      <c r="DB176" s="42"/>
      <c r="DC176" s="42"/>
      <c r="DD176" s="42"/>
      <c r="DE176" s="42"/>
      <c r="DF176" s="42"/>
      <c r="DG176" s="42"/>
      <c r="DH176" s="42"/>
      <c r="DI176" s="42"/>
      <c r="DJ176" s="42"/>
      <c r="DK176" s="42"/>
      <c r="DL176" s="42"/>
      <c r="DM176" s="42"/>
      <c r="DN176" s="42"/>
      <c r="DO176" s="42"/>
      <c r="DP176" s="42"/>
      <c r="DQ176" s="42"/>
      <c r="DR176" s="42"/>
      <c r="DS176" s="42"/>
      <c r="DT176" s="42"/>
      <c r="DU176" s="42"/>
      <c r="DV176" s="42"/>
      <c r="DW176" s="42"/>
      <c r="DX176" s="42"/>
      <c r="DY176" s="42"/>
      <c r="DZ176" s="42"/>
      <c r="EA176" s="42"/>
      <c r="EB176" s="42"/>
      <c r="EC176" s="42"/>
      <c r="ED176" s="42"/>
      <c r="EE176" s="42"/>
      <c r="EF176" s="42"/>
      <c r="EG176" s="42"/>
      <c r="EH176" s="42"/>
      <c r="EI176" s="42"/>
      <c r="EJ176" s="42"/>
      <c r="EK176" s="42"/>
      <c r="EL176" s="42"/>
      <c r="EM176" s="42"/>
      <c r="EN176" s="42"/>
      <c r="EO176" s="42"/>
      <c r="EP176" s="42"/>
      <c r="EQ176" s="42"/>
      <c r="ER176" s="42"/>
      <c r="ES176" s="42"/>
      <c r="ET176" s="42"/>
      <c r="EU176" s="42"/>
      <c r="EV176" s="42"/>
      <c r="EW176" s="42"/>
      <c r="EX176" s="42"/>
      <c r="EY176" s="42"/>
      <c r="EZ176" s="42"/>
      <c r="FA176" s="42"/>
      <c r="FB176" s="42"/>
      <c r="FC176" s="42"/>
      <c r="FD176" s="42"/>
      <c r="FE176" s="42"/>
      <c r="FF176" s="42"/>
      <c r="FG176" s="42"/>
      <c r="FH176" s="42"/>
      <c r="FI176" s="42"/>
      <c r="FJ176" s="42"/>
      <c r="FK176" s="42"/>
      <c r="FL176" s="42"/>
      <c r="FM176" s="42"/>
      <c r="FN176" s="42"/>
      <c r="FO176" s="42"/>
      <c r="FP176" s="42"/>
      <c r="FQ176" s="42"/>
      <c r="FR176" s="42"/>
      <c r="FS176" s="42"/>
      <c r="FT176" s="42"/>
      <c r="FU176" s="42"/>
      <c r="FV176" s="42"/>
      <c r="FW176" s="42"/>
      <c r="FX176" s="42"/>
      <c r="FY176" s="42"/>
      <c r="FZ176" s="42"/>
      <c r="GA176" s="42"/>
      <c r="GB176" s="42"/>
      <c r="GC176" s="42"/>
      <c r="GD176" s="42"/>
      <c r="GE176" s="42"/>
      <c r="GF176" s="42"/>
      <c r="GG176" s="42"/>
      <c r="GH176" s="42"/>
      <c r="GI176" s="42"/>
      <c r="GJ176" s="42"/>
      <c r="GK176" s="42"/>
      <c r="GL176" s="42"/>
      <c r="GM176" s="42"/>
      <c r="GN176" s="42"/>
      <c r="GO176" s="42"/>
      <c r="GP176" s="42"/>
      <c r="GQ176" s="42"/>
      <c r="GR176" s="42"/>
      <c r="GS176" s="42"/>
      <c r="GT176" s="42"/>
      <c r="GU176" s="42"/>
      <c r="GV176" s="42"/>
      <c r="GW176" s="42"/>
      <c r="GX176" s="42"/>
    </row>
    <row r="177" spans="1:206" s="55" customFormat="1" x14ac:dyDescent="0.25">
      <c r="A177" s="92">
        <v>9</v>
      </c>
      <c r="B177" s="93" t="str">
        <f>线路!B174</f>
        <v>13#倒虹吸出</v>
      </c>
      <c r="C177" s="94">
        <f>线路!E174</f>
        <v>441568.00180000003</v>
      </c>
      <c r="D177" s="94">
        <f>线路!F174</f>
        <v>3035273.1217</v>
      </c>
      <c r="E177" s="95">
        <f>线路!G174</f>
        <v>0</v>
      </c>
      <c r="F177" s="95">
        <f>线路!H174</f>
        <v>0</v>
      </c>
      <c r="G177" s="96">
        <f>线路!L174</f>
        <v>19487.172454587617</v>
      </c>
      <c r="H177" s="96">
        <f>线路!M174</f>
        <v>19487.172454587617</v>
      </c>
      <c r="I177" s="96">
        <f>线路!N174</f>
        <v>19487.172454587617</v>
      </c>
      <c r="J177" s="115">
        <f t="shared" si="57"/>
        <v>0</v>
      </c>
      <c r="K177" s="115">
        <f t="shared" si="67"/>
        <v>242.76838422506989</v>
      </c>
      <c r="L177" s="115">
        <f>IF(A177=1,断面设计!$D$7,IF(A177=2,断面设计!$D$8,IF(A177=3,断面设计!$D$9,IF(A177=4,断面设计!$D$10,IF(A177=5,断面设计!$D$11,IF(A177=6,断面设计!$D$12,IF(A177=7,断面设计!$D$13,IF(A177=8,断面设计!$D$14,IF(A177=9,断面设计!$D$15,IF(A177=10,断面设计!$D$16))))))))))</f>
        <v>0.8</v>
      </c>
      <c r="M177" s="115">
        <f t="shared" si="68"/>
        <v>1.2</v>
      </c>
      <c r="N177" s="116">
        <f t="shared" si="74"/>
        <v>1.4999999999999999E-2</v>
      </c>
      <c r="O177" s="115">
        <f>IF(A177=1,断面设计!$J$7,IF(A177=2,断面设计!$J$8,IF(A177=3,断面设计!$J$9,IF(A177=4,断面设计!$J$10,IF(A177=5,断面设计!$J$11,IF(A177=6,断面设计!$J$12,IF(A177=7,断面设计!$J$13,IF(A177=8,断面设计!$J$14,IF(A177=9,断面设计!$J$15,IF(A177=10,断面设计!$J$16))))))))))</f>
        <v>5000</v>
      </c>
      <c r="P177" s="117">
        <f>IF(A177=1,断面设计!$K$7,IF(A177=2,断面设计!$K$8,IF(A177=3,断面设计!$K$9,IF(A177=4,断面设计!$K$10,IF(A177=5,断面设计!$K$11,IF(A177=6,断面设计!$K$12,IF(A177=7,断面设计!$K$13,IF(A177=8,断面设计!$K$14,IF(A177=9,断面设计!$K$15,IF(A177=10,断面设计!$K$16))))))))))</f>
        <v>1.2005650086383313</v>
      </c>
      <c r="Q177" s="116">
        <f>IF(A177=1,断面设计!$C$7,IF(A177=2,断面设计!$C$8,IF(A177=3,断面设计!$C$9,IF(A177=4,断面设计!$C$10,IF(A177=5,断面设计!$C$11,IF(A177=6,断面设计!$C$12,IF(A177=7,断面设计!$C$13,IF(A177=8,断面设计!$C$14,IF(A177=9,断面设计!$C$15,IF(A177=10,断面设计!$C$16))))))))))</f>
        <v>0.999</v>
      </c>
      <c r="R177" s="115">
        <f>IF(A177=1,断面设计!$F$7,IF(A177=2,断面设计!$F$8,IF(A177=3,断面设计!$F$9,IF(A177=4,断面设计!$F$10,IF(A177=5,断面设计!$F$11,IF(A177=6,断面设计!$F$12,IF(A177=7,断面设计!$F$13,IF(A177=8,断面设计!$F$14,IF(A177=9,断面设计!$F$15,IF(A177=10,断面设计!$F$16))))))))))</f>
        <v>1.9968011999999999</v>
      </c>
      <c r="S177" s="115">
        <f>IF(A177=1,断面设计!$G$7,IF(A177=2,断面设计!$G$8,IF(A177=3,断面设计!$G$9,IF(A177=4,断面设计!$G$10,IF(A177=5,断面设计!$G$11,IF(A177=6,断面设计!$G$12,IF(A177=7,断面设计!$G$13,IF(A177=8,断面设计!$G$14,IF(A177=9,断面设计!$G$15,IF(A177=10,断面设计!$G$16))))))))))</f>
        <v>3.9209757704922987</v>
      </c>
      <c r="T177" s="115">
        <f t="shared" si="69"/>
        <v>0.50926129537120068</v>
      </c>
      <c r="U177" s="115">
        <f t="shared" si="70"/>
        <v>0.60124413418738498</v>
      </c>
      <c r="V177" s="125"/>
      <c r="W177" s="178"/>
      <c r="X177" s="116">
        <f ca="1">倒虹管水头损失计算!D809</f>
        <v>0.20261694697208638</v>
      </c>
      <c r="Y177" s="139">
        <v>0</v>
      </c>
      <c r="Z177" s="140">
        <f t="shared" si="75"/>
        <v>0</v>
      </c>
      <c r="AA177" s="143"/>
      <c r="AB177" s="139">
        <f t="shared" si="58"/>
        <v>0.999</v>
      </c>
      <c r="AC177" s="116">
        <f t="shared" ca="1" si="59"/>
        <v>0.20261694697208638</v>
      </c>
      <c r="AD177" s="116">
        <f t="shared" ca="1" si="71"/>
        <v>2375.1526634958068</v>
      </c>
      <c r="AE177" s="141">
        <f t="shared" si="72"/>
        <v>0</v>
      </c>
      <c r="AF177" s="116" t="str">
        <f t="shared" si="60"/>
        <v xml:space="preserve"> </v>
      </c>
      <c r="AG177" s="116" t="str">
        <f>IF(AE177=0," ",AF177-断面设计!$C$7)</f>
        <v xml:space="preserve"> </v>
      </c>
      <c r="AH177" s="116" t="str">
        <f t="shared" si="61"/>
        <v xml:space="preserve"> </v>
      </c>
      <c r="AI177" s="116" t="str">
        <f t="shared" si="62"/>
        <v xml:space="preserve"> </v>
      </c>
      <c r="AJ177" s="116" t="str">
        <f t="shared" si="63"/>
        <v xml:space="preserve"> </v>
      </c>
      <c r="AK177" s="116" t="str">
        <f t="shared" si="64"/>
        <v xml:space="preserve"> </v>
      </c>
      <c r="AL177" s="116">
        <f t="shared" ca="1" si="65"/>
        <v>2375.1526634958068</v>
      </c>
      <c r="AM177" s="116">
        <f t="shared" ca="1" si="66"/>
        <v>2374.153663495807</v>
      </c>
      <c r="AN177" s="178"/>
      <c r="AO177" s="92">
        <v>0</v>
      </c>
      <c r="AP177" s="42"/>
      <c r="AQ177" s="42"/>
      <c r="AR177" s="42"/>
      <c r="AS177" s="42"/>
      <c r="AT177" s="42"/>
      <c r="AU177" s="64" t="str">
        <f t="shared" ca="1" si="73"/>
        <v>19487.1724545876,2374.15366349581</v>
      </c>
      <c r="AV177" s="64" t="str">
        <f t="shared" ca="1" si="80"/>
        <v>19487.1724545876,2375.15266349581</v>
      </c>
      <c r="AW177" s="169" t="str">
        <f t="shared" si="81"/>
        <v xml:space="preserve">pl 19487.1724545876,0 19487.1724545876,76 </v>
      </c>
      <c r="AX177" s="161" t="str">
        <f t="shared" ca="1" si="77"/>
        <v>-text 19487.1724545876,48 3.5 90 2374.154</v>
      </c>
      <c r="AY177" s="161" t="str">
        <f t="shared" ca="1" si="78"/>
        <v>-text 19487.1724545876,62.5 3.5 90 2375.153</v>
      </c>
      <c r="AZ177" s="42" t="str">
        <f t="shared" si="79"/>
        <v>-text 19487.1724545876,23.5 3.5 90 马分19+487.17</v>
      </c>
      <c r="BA177" s="42"/>
      <c r="BB177" s="42"/>
      <c r="BC177" s="42"/>
      <c r="BD177" s="42"/>
      <c r="BE177" s="42"/>
      <c r="BF177" s="42"/>
      <c r="BG177" s="42"/>
      <c r="BH177" s="42"/>
      <c r="BI177" s="42"/>
      <c r="BJ177" s="42"/>
      <c r="BK177" s="42"/>
      <c r="BL177" s="42"/>
      <c r="BM177" s="42"/>
      <c r="BN177" s="42"/>
      <c r="BO177" s="42"/>
      <c r="BP177" s="42"/>
      <c r="BQ177" s="42"/>
      <c r="BR177" s="42"/>
      <c r="BS177" s="42"/>
      <c r="BT177" s="42"/>
      <c r="BU177" s="42"/>
      <c r="BV177" s="42"/>
      <c r="BW177" s="42"/>
      <c r="BX177" s="42"/>
      <c r="BY177" s="42"/>
      <c r="BZ177" s="42"/>
      <c r="CA177" s="42"/>
      <c r="CB177" s="42"/>
      <c r="CC177" s="42"/>
      <c r="CD177" s="42"/>
      <c r="CE177" s="42"/>
      <c r="CF177" s="42"/>
      <c r="CG177" s="42"/>
      <c r="CH177" s="42"/>
      <c r="CI177" s="42"/>
      <c r="CJ177" s="42"/>
      <c r="CK177" s="42"/>
      <c r="CL177" s="42"/>
      <c r="CM177" s="42"/>
      <c r="CN177" s="42"/>
      <c r="CO177" s="42"/>
      <c r="CP177" s="42"/>
      <c r="CQ177" s="42"/>
      <c r="CR177" s="42"/>
      <c r="CS177" s="42"/>
      <c r="CT177" s="42"/>
      <c r="CU177" s="42"/>
      <c r="CV177" s="42"/>
      <c r="CW177" s="42"/>
      <c r="CX177" s="42"/>
      <c r="CY177" s="42"/>
      <c r="CZ177" s="42"/>
      <c r="DA177" s="42"/>
      <c r="DB177" s="42"/>
      <c r="DC177" s="42"/>
      <c r="DD177" s="42"/>
      <c r="DE177" s="42"/>
      <c r="DF177" s="42"/>
      <c r="DG177" s="42"/>
      <c r="DH177" s="42"/>
      <c r="DI177" s="42"/>
      <c r="DJ177" s="42"/>
      <c r="DK177" s="42"/>
      <c r="DL177" s="42"/>
      <c r="DM177" s="42"/>
      <c r="DN177" s="42"/>
      <c r="DO177" s="42"/>
      <c r="DP177" s="42"/>
      <c r="DQ177" s="42"/>
      <c r="DR177" s="42"/>
      <c r="DS177" s="42"/>
      <c r="DT177" s="42"/>
      <c r="DU177" s="42"/>
      <c r="DV177" s="42"/>
      <c r="DW177" s="42"/>
      <c r="DX177" s="42"/>
      <c r="DY177" s="42"/>
      <c r="DZ177" s="42"/>
      <c r="EA177" s="42"/>
      <c r="EB177" s="42"/>
      <c r="EC177" s="42"/>
      <c r="ED177" s="42"/>
      <c r="EE177" s="42"/>
      <c r="EF177" s="42"/>
      <c r="EG177" s="42"/>
      <c r="EH177" s="42"/>
      <c r="EI177" s="42"/>
      <c r="EJ177" s="42"/>
      <c r="EK177" s="42"/>
      <c r="EL177" s="42"/>
      <c r="EM177" s="42"/>
      <c r="EN177" s="42"/>
      <c r="EO177" s="42"/>
      <c r="EP177" s="42"/>
      <c r="EQ177" s="42"/>
      <c r="ER177" s="42"/>
      <c r="ES177" s="42"/>
      <c r="ET177" s="42"/>
      <c r="EU177" s="42"/>
      <c r="EV177" s="42"/>
      <c r="EW177" s="42"/>
      <c r="EX177" s="42"/>
      <c r="EY177" s="42"/>
      <c r="EZ177" s="42"/>
      <c r="FA177" s="42"/>
      <c r="FB177" s="42"/>
      <c r="FC177" s="42"/>
      <c r="FD177" s="42"/>
      <c r="FE177" s="42"/>
      <c r="FF177" s="42"/>
      <c r="FG177" s="42"/>
      <c r="FH177" s="42"/>
      <c r="FI177" s="42"/>
      <c r="FJ177" s="42"/>
      <c r="FK177" s="42"/>
      <c r="FL177" s="42"/>
      <c r="FM177" s="42"/>
      <c r="FN177" s="42"/>
      <c r="FO177" s="42"/>
      <c r="FP177" s="42"/>
      <c r="FQ177" s="42"/>
      <c r="FR177" s="42"/>
      <c r="FS177" s="42"/>
      <c r="FT177" s="42"/>
      <c r="FU177" s="42"/>
      <c r="FV177" s="42"/>
      <c r="FW177" s="42"/>
      <c r="FX177" s="42"/>
      <c r="FY177" s="42"/>
      <c r="FZ177" s="42"/>
      <c r="GA177" s="42"/>
      <c r="GB177" s="42"/>
      <c r="GC177" s="42"/>
      <c r="GD177" s="42"/>
      <c r="GE177" s="42"/>
      <c r="GF177" s="42"/>
      <c r="GG177" s="42"/>
      <c r="GH177" s="42"/>
      <c r="GI177" s="42"/>
      <c r="GJ177" s="42"/>
      <c r="GK177" s="42"/>
      <c r="GL177" s="42"/>
      <c r="GM177" s="42"/>
      <c r="GN177" s="42"/>
      <c r="GO177" s="42"/>
      <c r="GP177" s="42"/>
      <c r="GQ177" s="42"/>
      <c r="GR177" s="42"/>
      <c r="GS177" s="42"/>
      <c r="GT177" s="42"/>
      <c r="GU177" s="42"/>
      <c r="GV177" s="42"/>
      <c r="GW177" s="42"/>
      <c r="GX177" s="42"/>
    </row>
    <row r="178" spans="1:206" s="42" customFormat="1" x14ac:dyDescent="0.25">
      <c r="A178" s="80">
        <v>9</v>
      </c>
      <c r="B178" s="76" t="str">
        <f>线路!B175</f>
        <v>IP115</v>
      </c>
      <c r="C178" s="81">
        <f>线路!E175</f>
        <v>441565.65279999998</v>
      </c>
      <c r="D178" s="81">
        <f>线路!F175</f>
        <v>3035257.2218999998</v>
      </c>
      <c r="E178" s="85">
        <f>线路!G175</f>
        <v>10</v>
      </c>
      <c r="F178" s="85">
        <f>线路!H175</f>
        <v>18.96</v>
      </c>
      <c r="G178" s="86">
        <f>线路!L175</f>
        <v>19501.574998008982</v>
      </c>
      <c r="H178" s="86">
        <f>线路!M175</f>
        <v>19503.229570139873</v>
      </c>
      <c r="I178" s="86">
        <f>线路!N175</f>
        <v>19504.884142270763</v>
      </c>
      <c r="J178" s="83">
        <f t="shared" si="57"/>
        <v>3.3091442617806024</v>
      </c>
      <c r="K178" s="83">
        <f t="shared" si="67"/>
        <v>16.057115552255709</v>
      </c>
      <c r="L178" s="83">
        <f>IF(A178=1,断面设计!$D$7,IF(A178=2,断面设计!$D$8,IF(A178=3,断面设计!$D$9,IF(A178=4,断面设计!$D$10,IF(A178=5,断面设计!$D$11,IF(A178=6,断面设计!$D$12,IF(A178=7,断面设计!$D$13,IF(A178=8,断面设计!$D$14,IF(A178=9,断面设计!$D$15,IF(A178=10,断面设计!$D$16))))))))))</f>
        <v>0.8</v>
      </c>
      <c r="M178" s="83">
        <f t="shared" si="68"/>
        <v>1.2</v>
      </c>
      <c r="N178" s="110">
        <f t="shared" si="74"/>
        <v>1.4999999999999999E-2</v>
      </c>
      <c r="O178" s="83">
        <f>IF(A178=1,断面设计!$J$7,IF(A178=2,断面设计!$J$8,IF(A178=3,断面设计!$J$9,IF(A178=4,断面设计!$J$10,IF(A178=5,断面设计!$J$11,IF(A178=6,断面设计!$J$12,IF(A178=7,断面设计!$J$13,IF(A178=8,断面设计!$J$14,IF(A178=9,断面设计!$J$15,IF(A178=10,断面设计!$J$16))))))))))</f>
        <v>5000</v>
      </c>
      <c r="P178" s="111">
        <f>IF(A178=1,断面设计!$K$7,IF(A178=2,断面设计!$K$8,IF(A178=3,断面设计!$K$9,IF(A178=4,断面设计!$K$10,IF(A178=5,断面设计!$K$11,IF(A178=6,断面设计!$K$12,IF(A178=7,断面设计!$K$13,IF(A178=8,断面设计!$K$14,IF(A178=9,断面设计!$K$15,IF(A178=10,断面设计!$K$16))))))))))</f>
        <v>1.2005650086383313</v>
      </c>
      <c r="Q178" s="110">
        <f>IF(A178=1,断面设计!$C$7,IF(A178=2,断面设计!$C$8,IF(A178=3,断面设计!$C$9,IF(A178=4,断面设计!$C$10,IF(A178=5,断面设计!$C$11,IF(A178=6,断面设计!$C$12,IF(A178=7,断面设计!$C$13,IF(A178=8,断面设计!$C$14,IF(A178=9,断面设计!$C$15,IF(A178=10,断面设计!$C$16))))))))))</f>
        <v>0.999</v>
      </c>
      <c r="R178" s="83">
        <f>IF(A178=1,断面设计!$F$7,IF(A178=2,断面设计!$F$8,IF(A178=3,断面设计!$F$9,IF(A178=4,断面设计!$F$10,IF(A178=5,断面设计!$F$11,IF(A178=6,断面设计!$F$12,IF(A178=7,断面设计!$F$13,IF(A178=8,断面设计!$F$14,IF(A178=9,断面设计!$F$15,IF(A178=10,断面设计!$F$16))))))))))</f>
        <v>1.9968011999999999</v>
      </c>
      <c r="S178" s="83">
        <f>IF(A178=1,断面设计!$G$7,IF(A178=2,断面设计!$G$8,IF(A178=3,断面设计!$G$9,IF(A178=4,断面设计!$G$10,IF(A178=5,断面设计!$G$11,IF(A178=6,断面设计!$G$12,IF(A178=7,断面设计!$G$13,IF(A178=8,断面设计!$G$14,IF(A178=9,断面设计!$G$15,IF(A178=10,断面设计!$G$16))))))))))</f>
        <v>3.9209757704922987</v>
      </c>
      <c r="T178" s="83">
        <f t="shared" si="69"/>
        <v>0.50926129537120068</v>
      </c>
      <c r="U178" s="83">
        <f t="shared" si="70"/>
        <v>0.60124413418738498</v>
      </c>
      <c r="V178" s="123">
        <f t="shared" si="76"/>
        <v>3.1065410220114251E-4</v>
      </c>
      <c r="W178" s="110"/>
      <c r="X178" s="110">
        <f>IF(AN178=0,IF(AN177=2,(H178-H177-AE177)/O178,(H178-H177)/O178),IF(AN178=1,IF(AN177=2,IF(AE178&lt;9,(H178-H177-AE178-AE177)/断面设计!$J$7,(H178-H177-AE178-AE177)/断面设计!$J$7),(H178-H177-AE178)/O177),(H178-H177)/O178))</f>
        <v>3.2114231104511419E-3</v>
      </c>
      <c r="Y178" s="133">
        <v>0</v>
      </c>
      <c r="Z178" s="134">
        <f t="shared" si="75"/>
        <v>0</v>
      </c>
      <c r="AA178" s="142"/>
      <c r="AB178" s="133">
        <f t="shared" si="58"/>
        <v>0.999</v>
      </c>
      <c r="AC178" s="110">
        <f t="shared" si="59"/>
        <v>3.5220772126522844E-3</v>
      </c>
      <c r="AD178" s="110">
        <f t="shared" ca="1" si="71"/>
        <v>2375.1491414185944</v>
      </c>
      <c r="AE178" s="82">
        <f t="shared" si="72"/>
        <v>0</v>
      </c>
      <c r="AF178" s="110" t="str">
        <f t="shared" si="60"/>
        <v xml:space="preserve"> </v>
      </c>
      <c r="AG178" s="110" t="str">
        <f>IF(AE178=0," ",AF178-断面设计!$C$16)</f>
        <v xml:space="preserve"> </v>
      </c>
      <c r="AH178" s="110">
        <f t="shared" ca="1" si="61"/>
        <v>2375.1497829871228</v>
      </c>
      <c r="AI178" s="110">
        <f t="shared" ca="1" si="62"/>
        <v>2374.150782987123</v>
      </c>
      <c r="AJ178" s="110">
        <f t="shared" ca="1" si="63"/>
        <v>2375.1488105041681</v>
      </c>
      <c r="AK178" s="110">
        <f t="shared" ca="1" si="64"/>
        <v>2374.1498105041683</v>
      </c>
      <c r="AL178" s="110">
        <f t="shared" ca="1" si="65"/>
        <v>2375.1492967456456</v>
      </c>
      <c r="AM178" s="110">
        <f t="shared" ca="1" si="66"/>
        <v>2374.1502967456458</v>
      </c>
      <c r="AN178" s="127"/>
      <c r="AO178" s="80">
        <v>0</v>
      </c>
      <c r="AU178" s="64" t="str">
        <f t="shared" ca="1" si="73"/>
        <v>19503.2295701399,2374.15029674565</v>
      </c>
      <c r="AV178" s="64" t="str">
        <f t="shared" ca="1" si="80"/>
        <v>19503.2295701399,2375.14929674565</v>
      </c>
      <c r="AW178" s="169" t="str">
        <f t="shared" si="81"/>
        <v xml:space="preserve">pl 19503.2295701399,0 19503.2295701399,76 </v>
      </c>
      <c r="AX178" s="161" t="str">
        <f t="shared" ca="1" si="77"/>
        <v>-text 19503.2295701399,48 3.5 90 2374.150</v>
      </c>
      <c r="AY178" s="161" t="str">
        <f t="shared" ca="1" si="78"/>
        <v>-text 19503.2295701399,62.5 3.5 90 2375.149</v>
      </c>
      <c r="AZ178" s="42" t="str">
        <f t="shared" si="79"/>
        <v>-text 19503.2295701399,23.5 3.5 90 马分19+503.23</v>
      </c>
    </row>
    <row r="179" spans="1:206" s="55" customFormat="1" ht="15" customHeight="1" x14ac:dyDescent="0.25">
      <c r="A179" s="92">
        <v>9</v>
      </c>
      <c r="B179" s="93" t="str">
        <f>线路!B176</f>
        <v>14#倒虹吸进</v>
      </c>
      <c r="C179" s="94">
        <f>线路!E176</f>
        <v>441512.26360000001</v>
      </c>
      <c r="D179" s="94">
        <f>线路!F176</f>
        <v>3035154.0643000002</v>
      </c>
      <c r="E179" s="95">
        <f>线路!G176</f>
        <v>0</v>
      </c>
      <c r="F179" s="95">
        <f>线路!H176</f>
        <v>0</v>
      </c>
      <c r="G179" s="96">
        <f>线路!L176</f>
        <v>19619.368930264067</v>
      </c>
      <c r="H179" s="96">
        <f>线路!M176</f>
        <v>19619.368930264067</v>
      </c>
      <c r="I179" s="96">
        <f>线路!N176</f>
        <v>19619.368930264067</v>
      </c>
      <c r="J179" s="115">
        <f t="shared" si="57"/>
        <v>0</v>
      </c>
      <c r="K179" s="115">
        <f t="shared" si="67"/>
        <v>116.13936012419435</v>
      </c>
      <c r="L179" s="115">
        <f>IF(A179=1,断面设计!$D$7,IF(A179=2,断面设计!$D$8,IF(A179=3,断面设计!$D$9,IF(A179=4,断面设计!$D$10,IF(A179=5,断面设计!$D$11,IF(A179=6,断面设计!$D$12,IF(A179=7,断面设计!$D$13,IF(A179=8,断面设计!$D$14,IF(A179=9,断面设计!$D$15,IF(A179=10,断面设计!$D$16))))))))))</f>
        <v>0.8</v>
      </c>
      <c r="M179" s="115">
        <f t="shared" si="68"/>
        <v>1.2</v>
      </c>
      <c r="N179" s="116">
        <f t="shared" si="74"/>
        <v>1.4999999999999999E-2</v>
      </c>
      <c r="O179" s="115">
        <f>IF(A179=1,断面设计!$J$7,IF(A179=2,断面设计!$J$8,IF(A179=3,断面设计!$J$9,IF(A179=4,断面设计!$J$10,IF(A179=5,断面设计!$J$11,IF(A179=6,断面设计!$J$12,IF(A179=7,断面设计!$J$13,IF(A179=8,断面设计!$J$14,IF(A179=9,断面设计!$J$15,IF(A179=10,断面设计!$J$16))))))))))</f>
        <v>5000</v>
      </c>
      <c r="P179" s="117">
        <f>IF(A179=1,断面设计!$K$7,IF(A179=2,断面设计!$K$8,IF(A179=3,断面设计!$K$9,IF(A179=4,断面设计!$K$10,IF(A179=5,断面设计!$K$11,IF(A179=6,断面设计!$K$12,IF(A179=7,断面设计!$K$13,IF(A179=8,断面设计!$K$14,IF(A179=9,断面设计!$K$15,IF(A179=10,断面设计!$K$16))))))))))</f>
        <v>1.2005650086383313</v>
      </c>
      <c r="Q179" s="116">
        <f>IF(A179=1,断面设计!$C$7,IF(A179=2,断面设计!$C$8,IF(A179=3,断面设计!$C$9,IF(A179=4,断面设计!$C$10,IF(A179=5,断面设计!$C$11,IF(A179=6,断面设计!$C$12,IF(A179=7,断面设计!$C$13,IF(A179=8,断面设计!$C$14,IF(A179=9,断面设计!$C$15,IF(A179=10,断面设计!$C$16))))))))))</f>
        <v>0.999</v>
      </c>
      <c r="R179" s="115">
        <f>IF(A179=1,断面设计!$F$7,IF(A179=2,断面设计!$F$8,IF(A179=3,断面设计!$F$9,IF(A179=4,断面设计!$F$10,IF(A179=5,断面设计!$F$11,IF(A179=6,断面设计!$F$12,IF(A179=7,断面设计!$F$13,IF(A179=8,断面设计!$F$14,IF(A179=9,断面设计!$F$15,IF(A179=10,断面设计!$F$16))))))))))</f>
        <v>1.9968011999999999</v>
      </c>
      <c r="S179" s="115">
        <f>IF(A179=1,断面设计!$G$7,IF(A179=2,断面设计!$G$8,IF(A179=3,断面设计!$G$9,IF(A179=4,断面设计!$G$10,IF(A179=5,断面设计!$G$11,IF(A179=6,断面设计!$G$12,IF(A179=7,断面设计!$G$13,IF(A179=8,断面设计!$G$14,IF(A179=9,断面设计!$G$15,IF(A179=10,断面设计!$G$16))))))))))</f>
        <v>3.9209757704922987</v>
      </c>
      <c r="T179" s="115">
        <f t="shared" si="69"/>
        <v>0.50926129537120068</v>
      </c>
      <c r="U179" s="115">
        <f t="shared" si="70"/>
        <v>0.60124413418738498</v>
      </c>
      <c r="V179" s="125"/>
      <c r="W179" s="178"/>
      <c r="X179" s="116"/>
      <c r="Y179" s="139">
        <v>0</v>
      </c>
      <c r="Z179" s="140">
        <f t="shared" si="75"/>
        <v>0</v>
      </c>
      <c r="AA179" s="143"/>
      <c r="AB179" s="139">
        <f t="shared" si="58"/>
        <v>0.999</v>
      </c>
      <c r="AC179" s="116">
        <f t="shared" si="59"/>
        <v>0</v>
      </c>
      <c r="AD179" s="116">
        <f t="shared" ca="1" si="71"/>
        <v>2375.1491414185944</v>
      </c>
      <c r="AE179" s="141">
        <f t="shared" si="72"/>
        <v>0</v>
      </c>
      <c r="AF179" s="116" t="str">
        <f t="shared" si="60"/>
        <v xml:space="preserve"> </v>
      </c>
      <c r="AG179" s="116" t="str">
        <f>IF(AE179=0," ",AF179-断面设计!$C$7)</f>
        <v xml:space="preserve"> </v>
      </c>
      <c r="AH179" s="116" t="str">
        <f t="shared" si="61"/>
        <v xml:space="preserve"> </v>
      </c>
      <c r="AI179" s="116" t="str">
        <f t="shared" si="62"/>
        <v xml:space="preserve"> </v>
      </c>
      <c r="AJ179" s="116" t="str">
        <f t="shared" si="63"/>
        <v xml:space="preserve"> </v>
      </c>
      <c r="AK179" s="116" t="str">
        <f t="shared" si="64"/>
        <v xml:space="preserve"> </v>
      </c>
      <c r="AL179" s="116">
        <f t="shared" ca="1" si="65"/>
        <v>2375.1491414185944</v>
      </c>
      <c r="AM179" s="116">
        <f t="shared" ca="1" si="66"/>
        <v>2374.1501414185946</v>
      </c>
      <c r="AN179" s="178"/>
      <c r="AO179" s="92">
        <v>0</v>
      </c>
      <c r="AP179" s="42"/>
      <c r="AQ179" s="42"/>
      <c r="AR179" s="42"/>
      <c r="AS179" s="42"/>
      <c r="AT179" s="42"/>
      <c r="AU179" s="64" t="str">
        <f t="shared" ca="1" si="73"/>
        <v>19619.3689302641,2374.15014141859</v>
      </c>
      <c r="AV179" s="64" t="str">
        <f t="shared" ca="1" si="80"/>
        <v>19619.3689302641,2375.14914141859</v>
      </c>
      <c r="AW179" s="169" t="str">
        <f t="shared" si="81"/>
        <v xml:space="preserve">pl 19619.3689302641,0 19619.3689302641,76 </v>
      </c>
      <c r="AX179" s="161" t="str">
        <f t="shared" ca="1" si="77"/>
        <v>-text 19619.3689302641,48 3.5 90 2374.150</v>
      </c>
      <c r="AY179" s="161" t="str">
        <f t="shared" ca="1" si="78"/>
        <v>-text 19619.3689302641,62.5 3.5 90 2375.149</v>
      </c>
      <c r="AZ179" s="42" t="str">
        <f t="shared" si="79"/>
        <v>-text 19619.3689302641,23.5 3.5 90 马分19+619.37</v>
      </c>
      <c r="BA179" s="42"/>
      <c r="BB179" s="42"/>
      <c r="BC179" s="42"/>
      <c r="BD179" s="42"/>
      <c r="BE179" s="42"/>
      <c r="BF179" s="42"/>
      <c r="BG179" s="42"/>
      <c r="BH179" s="42"/>
      <c r="BI179" s="42"/>
      <c r="BJ179" s="42"/>
      <c r="BK179" s="42"/>
      <c r="BL179" s="42"/>
      <c r="BM179" s="42"/>
      <c r="BN179" s="42"/>
      <c r="BO179" s="42"/>
      <c r="BP179" s="42"/>
      <c r="BQ179" s="42"/>
      <c r="BR179" s="42"/>
      <c r="BS179" s="42"/>
      <c r="BT179" s="42"/>
      <c r="BU179" s="42"/>
      <c r="BV179" s="42"/>
      <c r="BW179" s="42"/>
      <c r="BX179" s="42"/>
      <c r="BY179" s="42"/>
      <c r="BZ179" s="42"/>
      <c r="CA179" s="42"/>
      <c r="CB179" s="42"/>
      <c r="CC179" s="42"/>
      <c r="CD179" s="42"/>
      <c r="CE179" s="42"/>
      <c r="CF179" s="42"/>
      <c r="CG179" s="42"/>
      <c r="CH179" s="42"/>
      <c r="CI179" s="42"/>
      <c r="CJ179" s="42"/>
      <c r="CK179" s="42"/>
      <c r="CL179" s="42"/>
      <c r="CM179" s="42"/>
      <c r="CN179" s="42"/>
      <c r="CO179" s="42"/>
      <c r="CP179" s="42"/>
      <c r="CQ179" s="42"/>
      <c r="CR179" s="42"/>
      <c r="CS179" s="42"/>
      <c r="CT179" s="42"/>
      <c r="CU179" s="42"/>
      <c r="CV179" s="42"/>
      <c r="CW179" s="42"/>
      <c r="CX179" s="42"/>
      <c r="CY179" s="42"/>
      <c r="CZ179" s="42"/>
      <c r="DA179" s="42"/>
      <c r="DB179" s="42"/>
      <c r="DC179" s="42"/>
      <c r="DD179" s="42"/>
      <c r="DE179" s="42"/>
      <c r="DF179" s="42"/>
      <c r="DG179" s="42"/>
      <c r="DH179" s="42"/>
      <c r="DI179" s="42"/>
      <c r="DJ179" s="42"/>
      <c r="DK179" s="42"/>
      <c r="DL179" s="42"/>
      <c r="DM179" s="42"/>
      <c r="DN179" s="42"/>
      <c r="DO179" s="42"/>
      <c r="DP179" s="42"/>
      <c r="DQ179" s="42"/>
      <c r="DR179" s="42"/>
      <c r="DS179" s="42"/>
      <c r="DT179" s="42"/>
      <c r="DU179" s="42"/>
      <c r="DV179" s="42"/>
      <c r="DW179" s="42"/>
      <c r="DX179" s="42"/>
      <c r="DY179" s="42"/>
      <c r="DZ179" s="42"/>
      <c r="EA179" s="42"/>
      <c r="EB179" s="42"/>
      <c r="EC179" s="42"/>
      <c r="ED179" s="42"/>
      <c r="EE179" s="42"/>
      <c r="EF179" s="42"/>
      <c r="EG179" s="42"/>
      <c r="EH179" s="42"/>
      <c r="EI179" s="42"/>
      <c r="EJ179" s="42"/>
      <c r="EK179" s="42"/>
      <c r="EL179" s="42"/>
      <c r="EM179" s="42"/>
      <c r="EN179" s="42"/>
      <c r="EO179" s="42"/>
      <c r="EP179" s="42"/>
      <c r="EQ179" s="42"/>
      <c r="ER179" s="42"/>
      <c r="ES179" s="42"/>
      <c r="ET179" s="42"/>
      <c r="EU179" s="42"/>
      <c r="EV179" s="42"/>
      <c r="EW179" s="42"/>
      <c r="EX179" s="42"/>
      <c r="EY179" s="42"/>
      <c r="EZ179" s="42"/>
      <c r="FA179" s="42"/>
      <c r="FB179" s="42"/>
      <c r="FC179" s="42"/>
      <c r="FD179" s="42"/>
      <c r="FE179" s="42"/>
      <c r="FF179" s="42"/>
      <c r="FG179" s="42"/>
      <c r="FH179" s="42"/>
      <c r="FI179" s="42"/>
      <c r="FJ179" s="42"/>
      <c r="FK179" s="42"/>
      <c r="FL179" s="42"/>
      <c r="FM179" s="42"/>
      <c r="FN179" s="42"/>
      <c r="FO179" s="42"/>
      <c r="FP179" s="42"/>
      <c r="FQ179" s="42"/>
      <c r="FR179" s="42"/>
      <c r="FS179" s="42"/>
      <c r="FT179" s="42"/>
      <c r="FU179" s="42"/>
      <c r="FV179" s="42"/>
      <c r="FW179" s="42"/>
      <c r="FX179" s="42"/>
      <c r="FY179" s="42"/>
      <c r="FZ179" s="42"/>
      <c r="GA179" s="42"/>
      <c r="GB179" s="42"/>
      <c r="GC179" s="42"/>
      <c r="GD179" s="42"/>
      <c r="GE179" s="42"/>
      <c r="GF179" s="42"/>
      <c r="GG179" s="42"/>
      <c r="GH179" s="42"/>
      <c r="GI179" s="42"/>
      <c r="GJ179" s="42"/>
      <c r="GK179" s="42"/>
      <c r="GL179" s="42"/>
      <c r="GM179" s="42"/>
      <c r="GN179" s="42"/>
      <c r="GO179" s="42"/>
      <c r="GP179" s="42"/>
      <c r="GQ179" s="42"/>
      <c r="GR179" s="42"/>
      <c r="GS179" s="42"/>
      <c r="GT179" s="42"/>
      <c r="GU179" s="42"/>
      <c r="GV179" s="42"/>
      <c r="GW179" s="42"/>
      <c r="GX179" s="42"/>
    </row>
    <row r="180" spans="1:206" s="55" customFormat="1" x14ac:dyDescent="0.25">
      <c r="A180" s="92">
        <v>9</v>
      </c>
      <c r="B180" s="93" t="str">
        <f>线路!B177</f>
        <v>14#倒虹吸出</v>
      </c>
      <c r="C180" s="94">
        <f>线路!E177</f>
        <v>441336.3713</v>
      </c>
      <c r="D180" s="94">
        <f>线路!F177</f>
        <v>3034814.2085000002</v>
      </c>
      <c r="E180" s="95">
        <f>线路!G177</f>
        <v>0</v>
      </c>
      <c r="F180" s="95">
        <f>线路!H177</f>
        <v>0</v>
      </c>
      <c r="G180" s="96">
        <f>线路!L177</f>
        <v>20002.043813151544</v>
      </c>
      <c r="H180" s="96">
        <f>线路!M177</f>
        <v>20002.043813151544</v>
      </c>
      <c r="I180" s="96">
        <f>线路!N177</f>
        <v>20002.043813151544</v>
      </c>
      <c r="J180" s="115">
        <f t="shared" si="57"/>
        <v>0</v>
      </c>
      <c r="K180" s="115">
        <f t="shared" si="67"/>
        <v>382.674882887477</v>
      </c>
      <c r="L180" s="115">
        <f>IF(A180=1,断面设计!$D$7,IF(A180=2,断面设计!$D$8,IF(A180=3,断面设计!$D$9,IF(A180=4,断面设计!$D$10,IF(A180=5,断面设计!$D$11,IF(A180=6,断面设计!$D$12,IF(A180=7,断面设计!$D$13,IF(A180=8,断面设计!$D$14,IF(A180=9,断面设计!$D$15,IF(A180=10,断面设计!$D$16))))))))))</f>
        <v>0.8</v>
      </c>
      <c r="M180" s="115">
        <f t="shared" si="68"/>
        <v>1.2</v>
      </c>
      <c r="N180" s="116">
        <f t="shared" si="74"/>
        <v>1.4999999999999999E-2</v>
      </c>
      <c r="O180" s="115">
        <f>IF(A180=1,断面设计!$J$7,IF(A180=2,断面设计!$J$8,IF(A180=3,断面设计!$J$9,IF(A180=4,断面设计!$J$10,IF(A180=5,断面设计!$J$11,IF(A180=6,断面设计!$J$12,IF(A180=7,断面设计!$J$13,IF(A180=8,断面设计!$J$14,IF(A180=9,断面设计!$J$15,IF(A180=10,断面设计!$J$16))))))))))</f>
        <v>5000</v>
      </c>
      <c r="P180" s="117">
        <f>IF(A180=1,断面设计!$K$7,IF(A180=2,断面设计!$K$8,IF(A180=3,断面设计!$K$9,IF(A180=4,断面设计!$K$10,IF(A180=5,断面设计!$K$11,IF(A180=6,断面设计!$K$12,IF(A180=7,断面设计!$K$13,IF(A180=8,断面设计!$K$14,IF(A180=9,断面设计!$K$15,IF(A180=10,断面设计!$K$16))))))))))</f>
        <v>1.2005650086383313</v>
      </c>
      <c r="Q180" s="116">
        <f>IF(A180=1,断面设计!$C$7,IF(A180=2,断面设计!$C$8,IF(A180=3,断面设计!$C$9,IF(A180=4,断面设计!$C$10,IF(A180=5,断面设计!$C$11,IF(A180=6,断面设计!$C$12,IF(A180=7,断面设计!$C$13,IF(A180=8,断面设计!$C$14,IF(A180=9,断面设计!$C$15,IF(A180=10,断面设计!$C$16))))))))))</f>
        <v>0.999</v>
      </c>
      <c r="R180" s="115">
        <f>IF(A180=1,断面设计!$F$7,IF(A180=2,断面设计!$F$8,IF(A180=3,断面设计!$F$9,IF(A180=4,断面设计!$F$10,IF(A180=5,断面设计!$F$11,IF(A180=6,断面设计!$F$12,IF(A180=7,断面设计!$F$13,IF(A180=8,断面设计!$F$14,IF(A180=9,断面设计!$F$15,IF(A180=10,断面设计!$F$16))))))))))</f>
        <v>1.9968011999999999</v>
      </c>
      <c r="S180" s="115">
        <f>IF(A180=1,断面设计!$G$7,IF(A180=2,断面设计!$G$8,IF(A180=3,断面设计!$G$9,IF(A180=4,断面设计!$G$10,IF(A180=5,断面设计!$G$11,IF(A180=6,断面设计!$G$12,IF(A180=7,断面设计!$G$13,IF(A180=8,断面设计!$G$14,IF(A180=9,断面设计!$G$15,IF(A180=10,断面设计!$G$16))))))))))</f>
        <v>3.9209757704922987</v>
      </c>
      <c r="T180" s="115">
        <f t="shared" si="69"/>
        <v>0.50926129537120068</v>
      </c>
      <c r="U180" s="115">
        <f t="shared" si="70"/>
        <v>0.60124413418738498</v>
      </c>
      <c r="V180" s="125"/>
      <c r="W180" s="116"/>
      <c r="X180" s="116">
        <f ca="1">倒虹管水头损失计算!D864</f>
        <v>0.26433008066372554</v>
      </c>
      <c r="Y180" s="139">
        <v>0</v>
      </c>
      <c r="Z180" s="140">
        <f t="shared" si="75"/>
        <v>0</v>
      </c>
      <c r="AA180" s="143"/>
      <c r="AB180" s="139">
        <f t="shared" si="58"/>
        <v>0.999</v>
      </c>
      <c r="AC180" s="116">
        <f t="shared" ca="1" si="59"/>
        <v>0.26433008066372554</v>
      </c>
      <c r="AD180" s="116">
        <f t="shared" ca="1" si="71"/>
        <v>2374.8848113379308</v>
      </c>
      <c r="AE180" s="141">
        <f t="shared" si="72"/>
        <v>0</v>
      </c>
      <c r="AF180" s="116" t="str">
        <f t="shared" si="60"/>
        <v xml:space="preserve"> </v>
      </c>
      <c r="AG180" s="116" t="str">
        <f>IF(AE180=0," ",AF180-断面设计!$C$16)</f>
        <v xml:space="preserve"> </v>
      </c>
      <c r="AH180" s="116" t="str">
        <f t="shared" si="61"/>
        <v xml:space="preserve"> </v>
      </c>
      <c r="AI180" s="116" t="str">
        <f t="shared" si="62"/>
        <v xml:space="preserve"> </v>
      </c>
      <c r="AJ180" s="116" t="str">
        <f t="shared" si="63"/>
        <v xml:space="preserve"> </v>
      </c>
      <c r="AK180" s="116" t="str">
        <f t="shared" si="64"/>
        <v xml:space="preserve"> </v>
      </c>
      <c r="AL180" s="116">
        <f t="shared" ca="1" si="65"/>
        <v>2374.8848113379308</v>
      </c>
      <c r="AM180" s="116">
        <f t="shared" ca="1" si="66"/>
        <v>2373.885811337931</v>
      </c>
      <c r="AN180" s="178"/>
      <c r="AO180" s="92">
        <v>0</v>
      </c>
      <c r="AP180" s="42"/>
      <c r="AQ180" s="42"/>
      <c r="AR180" s="42"/>
      <c r="AS180" s="42"/>
      <c r="AT180" s="42"/>
      <c r="AU180" s="64" t="str">
        <f t="shared" ca="1" si="73"/>
        <v>20002.0438131515,2373.88581133793</v>
      </c>
      <c r="AV180" s="64" t="str">
        <f t="shared" ca="1" si="80"/>
        <v>20002.0438131515,2374.88481133793</v>
      </c>
      <c r="AW180" s="169" t="str">
        <f t="shared" si="81"/>
        <v xml:space="preserve">pl 20002.0438131515,0 20002.0438131515,76 </v>
      </c>
      <c r="AX180" s="161" t="str">
        <f t="shared" ca="1" si="77"/>
        <v>-text 20002.0438131515,48 3.5 90 2373.886</v>
      </c>
      <c r="AY180" s="161" t="str">
        <f t="shared" ca="1" si="78"/>
        <v>-text 20002.0438131515,62.5 3.5 90 2374.885</v>
      </c>
      <c r="AZ180" s="42" t="str">
        <f t="shared" si="79"/>
        <v>-text 20002.0438131515,23.5 3.5 90 马分20+002.04</v>
      </c>
      <c r="BA180" s="42"/>
      <c r="BB180" s="42"/>
      <c r="BC180" s="42"/>
      <c r="BD180" s="42"/>
      <c r="BE180" s="42"/>
      <c r="BF180" s="42"/>
      <c r="BG180" s="42"/>
      <c r="BH180" s="42"/>
      <c r="BI180" s="42"/>
      <c r="BJ180" s="42"/>
      <c r="BK180" s="42"/>
      <c r="BL180" s="42"/>
      <c r="BM180" s="42"/>
      <c r="BN180" s="42"/>
      <c r="BO180" s="42"/>
      <c r="BP180" s="42"/>
      <c r="BQ180" s="42"/>
      <c r="BR180" s="42"/>
      <c r="BS180" s="42"/>
      <c r="BT180" s="42"/>
      <c r="BU180" s="42"/>
      <c r="BV180" s="42"/>
      <c r="BW180" s="42"/>
      <c r="BX180" s="42"/>
      <c r="BY180" s="42"/>
      <c r="BZ180" s="42"/>
      <c r="CA180" s="42"/>
      <c r="CB180" s="42"/>
      <c r="CC180" s="42"/>
      <c r="CD180" s="42"/>
      <c r="CE180" s="42"/>
      <c r="CF180" s="42"/>
      <c r="CG180" s="42"/>
      <c r="CH180" s="42"/>
      <c r="CI180" s="42"/>
      <c r="CJ180" s="42"/>
      <c r="CK180" s="42"/>
      <c r="CL180" s="42"/>
      <c r="CM180" s="42"/>
      <c r="CN180" s="42"/>
      <c r="CO180" s="42"/>
      <c r="CP180" s="42"/>
      <c r="CQ180" s="42"/>
      <c r="CR180" s="42"/>
      <c r="CS180" s="42"/>
      <c r="CT180" s="42"/>
      <c r="CU180" s="42"/>
      <c r="CV180" s="42"/>
      <c r="CW180" s="42"/>
      <c r="CX180" s="42"/>
      <c r="CY180" s="42"/>
      <c r="CZ180" s="42"/>
      <c r="DA180" s="42"/>
      <c r="DB180" s="42"/>
      <c r="DC180" s="42"/>
      <c r="DD180" s="42"/>
      <c r="DE180" s="42"/>
      <c r="DF180" s="42"/>
      <c r="DG180" s="42"/>
      <c r="DH180" s="42"/>
      <c r="DI180" s="42"/>
      <c r="DJ180" s="42"/>
      <c r="DK180" s="42"/>
      <c r="DL180" s="42"/>
      <c r="DM180" s="42"/>
      <c r="DN180" s="42"/>
      <c r="DO180" s="42"/>
      <c r="DP180" s="42"/>
      <c r="DQ180" s="42"/>
      <c r="DR180" s="42"/>
      <c r="DS180" s="42"/>
      <c r="DT180" s="42"/>
      <c r="DU180" s="42"/>
      <c r="DV180" s="42"/>
      <c r="DW180" s="42"/>
      <c r="DX180" s="42"/>
      <c r="DY180" s="42"/>
      <c r="DZ180" s="42"/>
      <c r="EA180" s="42"/>
      <c r="EB180" s="42"/>
      <c r="EC180" s="42"/>
      <c r="ED180" s="42"/>
      <c r="EE180" s="42"/>
      <c r="EF180" s="42"/>
      <c r="EG180" s="42"/>
      <c r="EH180" s="42"/>
      <c r="EI180" s="42"/>
      <c r="EJ180" s="42"/>
      <c r="EK180" s="42"/>
      <c r="EL180" s="42"/>
      <c r="EM180" s="42"/>
      <c r="EN180" s="42"/>
      <c r="EO180" s="42"/>
      <c r="EP180" s="42"/>
      <c r="EQ180" s="42"/>
      <c r="ER180" s="42"/>
      <c r="ES180" s="42"/>
      <c r="ET180" s="42"/>
      <c r="EU180" s="42"/>
      <c r="EV180" s="42"/>
      <c r="EW180" s="42"/>
      <c r="EX180" s="42"/>
      <c r="EY180" s="42"/>
      <c r="EZ180" s="42"/>
      <c r="FA180" s="42"/>
      <c r="FB180" s="42"/>
      <c r="FC180" s="42"/>
      <c r="FD180" s="42"/>
      <c r="FE180" s="42"/>
      <c r="FF180" s="42"/>
      <c r="FG180" s="42"/>
      <c r="FH180" s="42"/>
      <c r="FI180" s="42"/>
      <c r="FJ180" s="42"/>
      <c r="FK180" s="42"/>
      <c r="FL180" s="42"/>
      <c r="FM180" s="42"/>
      <c r="FN180" s="42"/>
      <c r="FO180" s="42"/>
      <c r="FP180" s="42"/>
      <c r="FQ180" s="42"/>
      <c r="FR180" s="42"/>
      <c r="FS180" s="42"/>
      <c r="FT180" s="42"/>
      <c r="FU180" s="42"/>
      <c r="FV180" s="42"/>
      <c r="FW180" s="42"/>
      <c r="FX180" s="42"/>
      <c r="FY180" s="42"/>
      <c r="FZ180" s="42"/>
      <c r="GA180" s="42"/>
      <c r="GB180" s="42"/>
      <c r="GC180" s="42"/>
      <c r="GD180" s="42"/>
      <c r="GE180" s="42"/>
      <c r="GF180" s="42"/>
      <c r="GG180" s="42"/>
      <c r="GH180" s="42"/>
      <c r="GI180" s="42"/>
      <c r="GJ180" s="42"/>
      <c r="GK180" s="42"/>
      <c r="GL180" s="42"/>
      <c r="GM180" s="42"/>
      <c r="GN180" s="42"/>
      <c r="GO180" s="42"/>
      <c r="GP180" s="42"/>
      <c r="GQ180" s="42"/>
      <c r="GR180" s="42"/>
      <c r="GS180" s="42"/>
      <c r="GT180" s="42"/>
      <c r="GU180" s="42"/>
      <c r="GV180" s="42"/>
      <c r="GW180" s="42"/>
      <c r="GX180" s="42"/>
    </row>
    <row r="181" spans="1:206" s="58" customFormat="1" x14ac:dyDescent="0.25">
      <c r="A181" s="170">
        <v>9</v>
      </c>
      <c r="B181" s="171" t="str">
        <f>线路!B178</f>
        <v>7#隧洞进</v>
      </c>
      <c r="C181" s="172">
        <f>线路!E178</f>
        <v>441333.15340000001</v>
      </c>
      <c r="D181" s="172">
        <f>线路!F178</f>
        <v>3034807.9909999999</v>
      </c>
      <c r="E181" s="173">
        <f>线路!G178</f>
        <v>0</v>
      </c>
      <c r="F181" s="173">
        <f>线路!H178</f>
        <v>0</v>
      </c>
      <c r="G181" s="174">
        <f>线路!L178</f>
        <v>20009.044683573367</v>
      </c>
      <c r="H181" s="174">
        <f>线路!M178</f>
        <v>20009.044683573367</v>
      </c>
      <c r="I181" s="174">
        <f>线路!N178</f>
        <v>20009.044683573367</v>
      </c>
      <c r="J181" s="175">
        <f t="shared" si="57"/>
        <v>0</v>
      </c>
      <c r="K181" s="175">
        <f t="shared" si="67"/>
        <v>7.0008704218234925</v>
      </c>
      <c r="L181" s="175">
        <f>IF(A181=1,断面设计!$D$7,IF(A181=2,断面设计!$D$8,IF(A181=3,断面设计!$D$9,IF(A181=4,断面设计!$D$10,IF(A181=5,断面设计!$D$11,IF(A181=6,断面设计!$D$12,IF(A181=7,断面设计!$D$13,IF(A181=8,断面设计!$D$14,IF(A181=9,断面设计!$D$15,IF(A181=10,断面设计!$D$16))))))))))</f>
        <v>0.8</v>
      </c>
      <c r="M181" s="175">
        <f t="shared" si="68"/>
        <v>0</v>
      </c>
      <c r="N181" s="176">
        <f t="shared" si="74"/>
        <v>1.4E-2</v>
      </c>
      <c r="O181" s="175">
        <f>IF(A181=5,断面设计!$O$37,IF(A181=6,断面设计!$O$38,IF(A181=7,断面设计!$O$39,IF(A181=9,断面设计!$O$40,IF(A181=10,断面设计!$O$41)))))</f>
        <v>2000</v>
      </c>
      <c r="P181" s="177">
        <f>IF(A181=1,断面设计!$K$7,IF(A181=2,断面设计!$K$8,IF(A181=3,断面设计!$K$9,IF(A181=4,断面设计!$K$10,IF(A181=5,断面设计!$K$11,IF(A181=6,断面设计!$K$12,IF(A181=7,断面设计!$K$13,IF(A181=8,断面设计!$K$14,IF(A181=9,断面设计!$K$15,IF(A181=10,断面设计!$K$16))))))))))</f>
        <v>1.2005650086383313</v>
      </c>
      <c r="Q181" s="176">
        <f>IF(A181=5,断面设计!$C$37,IF(A181=6,断面设计!$C$38,IF(A181=7,断面设计!$C$39,IF(A181=9,断面设计!$C$40,IF(A181=10,断面设计!$C$41)))))</f>
        <v>0.75544172988763603</v>
      </c>
      <c r="R181" s="175">
        <f>IF(A181=5,断面设计!$K$37,IF(A181=6,断面设计!$K$38,IF(A181=7,断面设计!$K$39,IF(A181=9,断面设计!$K$40,IF(A181=10,断面设计!$K$41)))))</f>
        <v>1.3597951137977449</v>
      </c>
      <c r="S181" s="175">
        <f>IF(A181=5,断面设计!$L$37,IF(A181=6,断面设计!$L$38,IF(A181=7,断面设计!$L$39,IF(A181=9,断面设计!$L$40,IF(A181=10,断面设计!$L$41)))))</f>
        <v>3.3108834597752721</v>
      </c>
      <c r="T181" s="175">
        <f t="shared" si="69"/>
        <v>0.4107046141364461</v>
      </c>
      <c r="U181" s="175">
        <f t="shared" si="70"/>
        <v>0.88290139923013622</v>
      </c>
      <c r="V181" s="179"/>
      <c r="W181" s="176">
        <f>1.15*(U181^2/2-U180^2/2)/9.81</f>
        <v>2.450170375371882E-2</v>
      </c>
      <c r="X181" s="176">
        <f>IF(AN181=0,IF(AN180=2,(H181-H180-AE180)/O181,(H181-H180)/O181),IF(AN181=1,IF(AN180=2,IF(AE181&lt;9,(H181-H180-AE181-AE180)/断面设计!$J$7,(H181-H180-AE181-AE180)/断面设计!$J$7),(H181-H180-AE181)/O180),(H181-H180)/O181))</f>
        <v>8.0017408436469845E-4</v>
      </c>
      <c r="Y181" s="181">
        <v>0</v>
      </c>
      <c r="Z181" s="182">
        <f t="shared" si="75"/>
        <v>0</v>
      </c>
      <c r="AA181" s="183"/>
      <c r="AB181" s="181">
        <f t="shared" si="58"/>
        <v>0.75544172988763603</v>
      </c>
      <c r="AC181" s="176">
        <f t="shared" si="59"/>
        <v>2.530187783808352E-2</v>
      </c>
      <c r="AD181" s="176">
        <f t="shared" ca="1" si="71"/>
        <v>2374.8595094600928</v>
      </c>
      <c r="AE181" s="184">
        <v>3</v>
      </c>
      <c r="AF181" s="176">
        <f t="shared" ca="1" si="60"/>
        <v>2374.8840111638465</v>
      </c>
      <c r="AG181" s="176">
        <f ca="1">IF(AE181=0," ",AF181-断面设计!$C$7)</f>
        <v>2373.2840653274466</v>
      </c>
      <c r="AH181" s="176" t="str">
        <f t="shared" si="61"/>
        <v xml:space="preserve"> </v>
      </c>
      <c r="AI181" s="176" t="str">
        <f t="shared" si="62"/>
        <v xml:space="preserve"> </v>
      </c>
      <c r="AJ181" s="176" t="str">
        <f t="shared" si="63"/>
        <v xml:space="preserve"> </v>
      </c>
      <c r="AK181" s="176" t="str">
        <f t="shared" si="64"/>
        <v xml:space="preserve"> </v>
      </c>
      <c r="AL181" s="176">
        <f t="shared" ca="1" si="65"/>
        <v>2374.8595094600928</v>
      </c>
      <c r="AM181" s="176">
        <f t="shared" ca="1" si="66"/>
        <v>2374.1040677302053</v>
      </c>
      <c r="AN181" s="180">
        <v>1</v>
      </c>
      <c r="AO181" s="170">
        <v>1</v>
      </c>
      <c r="AP181" s="42"/>
      <c r="AQ181" s="42"/>
      <c r="AR181" s="42"/>
      <c r="AS181" s="42"/>
      <c r="AT181" s="42"/>
      <c r="AU181" s="64" t="str">
        <f t="shared" ca="1" si="73"/>
        <v>20009.0446835734,2374.10406773021</v>
      </c>
      <c r="AV181" s="64" t="str">
        <f t="shared" ca="1" si="80"/>
        <v>20009.0446835734,2374.85950946009</v>
      </c>
      <c r="AW181" s="169" t="str">
        <f t="shared" si="81"/>
        <v xml:space="preserve">pl 20009.0446835734,0 20009.0446835734,76 </v>
      </c>
      <c r="AX181" s="161" t="str">
        <f t="shared" ca="1" si="77"/>
        <v>-text 20009.0446835734,48 3.5 90 2374.104</v>
      </c>
      <c r="AY181" s="161" t="str">
        <f t="shared" ca="1" si="78"/>
        <v>-text 20009.0446835734,62.5 3.5 90 2374.860</v>
      </c>
      <c r="AZ181" s="42" t="str">
        <f t="shared" si="79"/>
        <v>-text 20009.0446835734,23.5 3.5 90 马分20+009.04</v>
      </c>
      <c r="BA181" s="42"/>
      <c r="BB181" s="42"/>
      <c r="BC181" s="42"/>
      <c r="BD181" s="42"/>
      <c r="BE181" s="42"/>
      <c r="BF181" s="42"/>
      <c r="BG181" s="42"/>
      <c r="BH181" s="42"/>
      <c r="BI181" s="42"/>
      <c r="BJ181" s="42"/>
      <c r="BK181" s="42"/>
      <c r="BL181" s="42"/>
      <c r="BM181" s="42"/>
      <c r="BN181" s="42"/>
      <c r="BO181" s="42"/>
      <c r="BP181" s="42"/>
      <c r="BQ181" s="42"/>
      <c r="BR181" s="42"/>
      <c r="BS181" s="42"/>
      <c r="BT181" s="42"/>
      <c r="BU181" s="42"/>
      <c r="BV181" s="42"/>
      <c r="BW181" s="42"/>
      <c r="BX181" s="42"/>
      <c r="BY181" s="42"/>
      <c r="BZ181" s="42"/>
      <c r="CA181" s="42"/>
      <c r="CB181" s="42"/>
      <c r="CC181" s="42"/>
      <c r="CD181" s="42"/>
      <c r="CE181" s="42"/>
      <c r="CF181" s="42"/>
      <c r="CG181" s="42"/>
      <c r="CH181" s="42"/>
      <c r="CI181" s="42"/>
      <c r="CJ181" s="42"/>
      <c r="CK181" s="42"/>
      <c r="CL181" s="42"/>
      <c r="CM181" s="42"/>
      <c r="CN181" s="42"/>
      <c r="CO181" s="42"/>
      <c r="CP181" s="42"/>
      <c r="CQ181" s="42"/>
      <c r="CR181" s="42"/>
      <c r="CS181" s="42"/>
      <c r="CT181" s="42"/>
      <c r="CU181" s="42"/>
      <c r="CV181" s="42"/>
      <c r="CW181" s="42"/>
      <c r="CX181" s="42"/>
      <c r="CY181" s="42"/>
      <c r="CZ181" s="42"/>
      <c r="DA181" s="42"/>
      <c r="DB181" s="42"/>
      <c r="DC181" s="42"/>
      <c r="DD181" s="42"/>
      <c r="DE181" s="42"/>
      <c r="DF181" s="42"/>
      <c r="DG181" s="42"/>
      <c r="DH181" s="42"/>
      <c r="DI181" s="42"/>
      <c r="DJ181" s="42"/>
      <c r="DK181" s="42"/>
      <c r="DL181" s="42"/>
      <c r="DM181" s="42"/>
      <c r="DN181" s="42"/>
      <c r="DO181" s="42"/>
      <c r="DP181" s="42"/>
      <c r="DQ181" s="42"/>
      <c r="DR181" s="42"/>
      <c r="DS181" s="42"/>
      <c r="DT181" s="42"/>
      <c r="DU181" s="42"/>
      <c r="DV181" s="42"/>
      <c r="DW181" s="42"/>
      <c r="DX181" s="42"/>
      <c r="DY181" s="42"/>
      <c r="DZ181" s="42"/>
      <c r="EA181" s="42"/>
      <c r="EB181" s="42"/>
      <c r="EC181" s="42"/>
      <c r="ED181" s="42"/>
      <c r="EE181" s="42"/>
      <c r="EF181" s="42"/>
      <c r="EG181" s="42"/>
      <c r="EH181" s="42"/>
      <c r="EI181" s="42"/>
      <c r="EJ181" s="42"/>
      <c r="EK181" s="42"/>
      <c r="EL181" s="42"/>
      <c r="EM181" s="42"/>
      <c r="EN181" s="42"/>
      <c r="EO181" s="42"/>
      <c r="EP181" s="42"/>
      <c r="EQ181" s="42"/>
      <c r="ER181" s="42"/>
      <c r="ES181" s="42"/>
      <c r="ET181" s="42"/>
      <c r="EU181" s="42"/>
      <c r="EV181" s="42"/>
      <c r="EW181" s="42"/>
      <c r="EX181" s="42"/>
      <c r="EY181" s="42"/>
      <c r="EZ181" s="42"/>
      <c r="FA181" s="42"/>
      <c r="FB181" s="42"/>
      <c r="FC181" s="42"/>
      <c r="FD181" s="42"/>
      <c r="FE181" s="42"/>
      <c r="FF181" s="42"/>
      <c r="FG181" s="42"/>
      <c r="FH181" s="42"/>
      <c r="FI181" s="42"/>
      <c r="FJ181" s="42"/>
      <c r="FK181" s="42"/>
      <c r="FL181" s="42"/>
      <c r="FM181" s="42"/>
      <c r="FN181" s="42"/>
      <c r="FO181" s="42"/>
      <c r="FP181" s="42"/>
      <c r="FQ181" s="42"/>
      <c r="FR181" s="42"/>
      <c r="FS181" s="42"/>
      <c r="FT181" s="42"/>
      <c r="FU181" s="42"/>
      <c r="FV181" s="42"/>
      <c r="FW181" s="42"/>
      <c r="FX181" s="42"/>
      <c r="FY181" s="42"/>
      <c r="FZ181" s="42"/>
      <c r="GA181" s="42"/>
      <c r="GB181" s="42"/>
      <c r="GC181" s="42"/>
      <c r="GD181" s="42"/>
      <c r="GE181" s="42"/>
      <c r="GF181" s="42"/>
      <c r="GG181" s="42"/>
      <c r="GH181" s="42"/>
      <c r="GI181" s="42"/>
      <c r="GJ181" s="42"/>
      <c r="GK181" s="42"/>
      <c r="GL181" s="42"/>
      <c r="GM181" s="42"/>
      <c r="GN181" s="42"/>
      <c r="GO181" s="42"/>
      <c r="GP181" s="42"/>
      <c r="GQ181" s="42"/>
      <c r="GR181" s="42"/>
      <c r="GS181" s="42"/>
      <c r="GT181" s="42"/>
      <c r="GU181" s="42"/>
      <c r="GV181" s="42"/>
      <c r="GW181" s="42"/>
      <c r="GX181" s="42"/>
    </row>
    <row r="182" spans="1:206" s="58" customFormat="1" x14ac:dyDescent="0.25">
      <c r="A182" s="170">
        <v>9</v>
      </c>
      <c r="B182" s="171" t="str">
        <f>线路!B179</f>
        <v>IP116</v>
      </c>
      <c r="C182" s="172">
        <f>线路!E179</f>
        <v>441305.21990000003</v>
      </c>
      <c r="D182" s="172">
        <f>线路!F179</f>
        <v>3034754.0183999999</v>
      </c>
      <c r="E182" s="173">
        <f>线路!G179</f>
        <v>10</v>
      </c>
      <c r="F182" s="173">
        <f>线路!H179</f>
        <v>58.817</v>
      </c>
      <c r="G182" s="174">
        <f>线路!L179</f>
        <v>20064.180725911981</v>
      </c>
      <c r="H182" s="174">
        <f>线路!M179</f>
        <v>20069.313477442709</v>
      </c>
      <c r="I182" s="174">
        <f>线路!N179</f>
        <v>20074.446228973437</v>
      </c>
      <c r="J182" s="175">
        <f t="shared" si="57"/>
        <v>10.265503061455092</v>
      </c>
      <c r="K182" s="175">
        <f t="shared" si="67"/>
        <v>60.268793869341607</v>
      </c>
      <c r="L182" s="175">
        <f>IF(A182=1,断面设计!$D$7,IF(A182=2,断面设计!$D$8,IF(A182=3,断面设计!$D$9,IF(A182=4,断面设计!$D$10,IF(A182=5,断面设计!$D$11,IF(A182=6,断面设计!$D$12,IF(A182=7,断面设计!$D$13,IF(A182=8,断面设计!$D$14,IF(A182=9,断面设计!$D$15,IF(A182=10,断面设计!$D$16))))))))))</f>
        <v>0.8</v>
      </c>
      <c r="M182" s="175">
        <f t="shared" si="68"/>
        <v>0</v>
      </c>
      <c r="N182" s="176">
        <f t="shared" si="74"/>
        <v>1.4E-2</v>
      </c>
      <c r="O182" s="175">
        <f>IF(A182=5,断面设计!$O$37,IF(A182=6,断面设计!$O$38,IF(A182=7,断面设计!$O$39,IF(A182=9,断面设计!$O$40,IF(A182=10,断面设计!$O$41)))))</f>
        <v>2000</v>
      </c>
      <c r="P182" s="177">
        <f>IF(A182=1,断面设计!$K$7,IF(A182=2,断面设计!$K$8,IF(A182=3,断面设计!$K$9,IF(A182=4,断面设计!$K$10,IF(A182=5,断面设计!$K$11,IF(A182=6,断面设计!$K$12,IF(A182=7,断面设计!$K$13,IF(A182=8,断面设计!$K$14,IF(A182=9,断面设计!$K$15,IF(A182=10,断面设计!$K$16))))))))))</f>
        <v>1.2005650086383313</v>
      </c>
      <c r="Q182" s="176">
        <f>IF(A182=5,断面设计!$C$37,IF(A182=6,断面设计!$C$38,IF(A182=7,断面设计!$C$39,IF(A182=9,断面设计!$C$40,IF(A182=10,断面设计!$C$41)))))</f>
        <v>0.75544172988763603</v>
      </c>
      <c r="R182" s="175">
        <f>IF(A182=5,断面设计!$K$37,IF(A182=6,断面设计!$K$38,IF(A182=7,断面设计!$K$39,IF(A182=9,断面设计!$K$40,IF(A182=10,断面设计!$K$41)))))</f>
        <v>1.3597951137977449</v>
      </c>
      <c r="S182" s="175">
        <f>IF(A182=5,断面设计!$L$37,IF(A182=6,断面设计!$L$38,IF(A182=7,断面设计!$L$39,IF(A182=9,断面设计!$L$40,IF(A182=10,断面设计!$L$41)))))</f>
        <v>3.3108834597752721</v>
      </c>
      <c r="T182" s="175">
        <f t="shared" si="69"/>
        <v>0.4107046141364461</v>
      </c>
      <c r="U182" s="175">
        <f t="shared" si="70"/>
        <v>0.88290139923013622</v>
      </c>
      <c r="V182" s="179">
        <f t="shared" si="76"/>
        <v>1.0898352879635967E-3</v>
      </c>
      <c r="W182" s="180"/>
      <c r="X182" s="176">
        <f>IF(AN182=0,IF(AN181=2,(H182-H181-AE181)/O182,(H182-H181)/O182),IF(AN182=1,IF(AN181=2,IF(AE182&lt;9,(H182-H181-AE182-AE181)/断面设计!$J$7,(H182-H181-AE182-AE181)/断面设计!$J$7),(H182-H181-AE182)/O181),(H182-H181)/O182))</f>
        <v>3.0134396934670803E-2</v>
      </c>
      <c r="Y182" s="181">
        <v>0</v>
      </c>
      <c r="Z182" s="182">
        <f t="shared" si="75"/>
        <v>0</v>
      </c>
      <c r="AA182" s="183"/>
      <c r="AB182" s="181">
        <f t="shared" si="58"/>
        <v>0.75544172988763603</v>
      </c>
      <c r="AC182" s="176">
        <f t="shared" si="59"/>
        <v>3.1224232222634402E-2</v>
      </c>
      <c r="AD182" s="176">
        <f t="shared" ca="1" si="71"/>
        <v>2374.8282852278703</v>
      </c>
      <c r="AE182" s="184">
        <f t="shared" si="72"/>
        <v>0</v>
      </c>
      <c r="AF182" s="176" t="str">
        <f t="shared" si="60"/>
        <v xml:space="preserve"> </v>
      </c>
      <c r="AG182" s="176" t="str">
        <f>IF(AE182=0," ",AF182-断面设计!$C$7)</f>
        <v xml:space="preserve"> </v>
      </c>
      <c r="AH182" s="176">
        <f t="shared" ca="1" si="61"/>
        <v>2374.8319414389239</v>
      </c>
      <c r="AI182" s="176">
        <f t="shared" ca="1" si="62"/>
        <v>2374.0764997090364</v>
      </c>
      <c r="AJ182" s="176">
        <f t="shared" ca="1" si="63"/>
        <v>2374.8257188521047</v>
      </c>
      <c r="AK182" s="176">
        <f t="shared" ca="1" si="64"/>
        <v>2374.0702771222172</v>
      </c>
      <c r="AL182" s="176">
        <f t="shared" ca="1" si="65"/>
        <v>2374.8288301455141</v>
      </c>
      <c r="AM182" s="176">
        <f t="shared" ca="1" si="66"/>
        <v>2374.0733884156266</v>
      </c>
      <c r="AN182" s="180"/>
      <c r="AO182" s="170">
        <v>1</v>
      </c>
      <c r="AP182" s="42"/>
      <c r="AQ182" s="42"/>
      <c r="AR182" s="42"/>
      <c r="AS182" s="42"/>
      <c r="AT182" s="42"/>
      <c r="AU182" s="64" t="str">
        <f t="shared" ca="1" si="73"/>
        <v>20069.3134774427,2374.07338841563</v>
      </c>
      <c r="AV182" s="64" t="str">
        <f t="shared" ca="1" si="80"/>
        <v>20069.3134774427,2374.82883014551</v>
      </c>
      <c r="AW182" s="169" t="str">
        <f t="shared" si="81"/>
        <v xml:space="preserve">pl 20069.3134774427,0 20069.3134774427,76 </v>
      </c>
      <c r="AX182" s="161" t="str">
        <f t="shared" ca="1" si="77"/>
        <v>-text 20069.3134774427,48 3.5 90 2374.073</v>
      </c>
      <c r="AY182" s="161" t="str">
        <f t="shared" ca="1" si="78"/>
        <v>-text 20069.3134774427,62.5 3.5 90 2374.829</v>
      </c>
      <c r="AZ182" s="42" t="str">
        <f t="shared" si="79"/>
        <v>-text 20069.3134774427,23.5 3.5 90 马分20+069.31</v>
      </c>
      <c r="BA182" s="42"/>
      <c r="BB182" s="42"/>
      <c r="BC182" s="42"/>
      <c r="BD182" s="42"/>
      <c r="BE182" s="42"/>
      <c r="BF182" s="42"/>
      <c r="BG182" s="42"/>
      <c r="BH182" s="42"/>
      <c r="BI182" s="42"/>
      <c r="BJ182" s="42"/>
      <c r="BK182" s="42"/>
      <c r="BL182" s="42"/>
      <c r="BM182" s="42"/>
      <c r="BN182" s="42"/>
      <c r="BO182" s="42"/>
      <c r="BP182" s="42"/>
      <c r="BQ182" s="42"/>
      <c r="BR182" s="42"/>
      <c r="BS182" s="42"/>
      <c r="BT182" s="42"/>
      <c r="BU182" s="42"/>
      <c r="BV182" s="42"/>
      <c r="BW182" s="42"/>
      <c r="BX182" s="42"/>
      <c r="BY182" s="42"/>
      <c r="BZ182" s="42"/>
      <c r="CA182" s="42"/>
      <c r="CB182" s="42"/>
      <c r="CC182" s="42"/>
      <c r="CD182" s="42"/>
      <c r="CE182" s="42"/>
      <c r="CF182" s="42"/>
      <c r="CG182" s="42"/>
      <c r="CH182" s="42"/>
      <c r="CI182" s="42"/>
      <c r="CJ182" s="42"/>
      <c r="CK182" s="42"/>
      <c r="CL182" s="42"/>
      <c r="CM182" s="42"/>
      <c r="CN182" s="42"/>
      <c r="CO182" s="42"/>
      <c r="CP182" s="42"/>
      <c r="CQ182" s="42"/>
      <c r="CR182" s="42"/>
      <c r="CS182" s="42"/>
      <c r="CT182" s="42"/>
      <c r="CU182" s="42"/>
      <c r="CV182" s="42"/>
      <c r="CW182" s="42"/>
      <c r="CX182" s="42"/>
      <c r="CY182" s="42"/>
      <c r="CZ182" s="42"/>
      <c r="DA182" s="42"/>
      <c r="DB182" s="42"/>
      <c r="DC182" s="42"/>
      <c r="DD182" s="42"/>
      <c r="DE182" s="42"/>
      <c r="DF182" s="42"/>
      <c r="DG182" s="42"/>
      <c r="DH182" s="42"/>
      <c r="DI182" s="42"/>
      <c r="DJ182" s="42"/>
      <c r="DK182" s="42"/>
      <c r="DL182" s="42"/>
      <c r="DM182" s="42"/>
      <c r="DN182" s="42"/>
      <c r="DO182" s="42"/>
      <c r="DP182" s="42"/>
      <c r="DQ182" s="42"/>
      <c r="DR182" s="42"/>
      <c r="DS182" s="42"/>
      <c r="DT182" s="42"/>
      <c r="DU182" s="42"/>
      <c r="DV182" s="42"/>
      <c r="DW182" s="42"/>
      <c r="DX182" s="42"/>
      <c r="DY182" s="42"/>
      <c r="DZ182" s="42"/>
      <c r="EA182" s="42"/>
      <c r="EB182" s="42"/>
      <c r="EC182" s="42"/>
      <c r="ED182" s="42"/>
      <c r="EE182" s="42"/>
      <c r="EF182" s="42"/>
      <c r="EG182" s="42"/>
      <c r="EH182" s="42"/>
      <c r="EI182" s="42"/>
      <c r="EJ182" s="42"/>
      <c r="EK182" s="42"/>
      <c r="EL182" s="42"/>
      <c r="EM182" s="42"/>
      <c r="EN182" s="42"/>
      <c r="EO182" s="42"/>
      <c r="EP182" s="42"/>
      <c r="EQ182" s="42"/>
      <c r="ER182" s="42"/>
      <c r="ES182" s="42"/>
      <c r="ET182" s="42"/>
      <c r="EU182" s="42"/>
      <c r="EV182" s="42"/>
      <c r="EW182" s="42"/>
      <c r="EX182" s="42"/>
      <c r="EY182" s="42"/>
      <c r="EZ182" s="42"/>
      <c r="FA182" s="42"/>
      <c r="FB182" s="42"/>
      <c r="FC182" s="42"/>
      <c r="FD182" s="42"/>
      <c r="FE182" s="42"/>
      <c r="FF182" s="42"/>
      <c r="FG182" s="42"/>
      <c r="FH182" s="42"/>
      <c r="FI182" s="42"/>
      <c r="FJ182" s="42"/>
      <c r="FK182" s="42"/>
      <c r="FL182" s="42"/>
      <c r="FM182" s="42"/>
      <c r="FN182" s="42"/>
      <c r="FO182" s="42"/>
      <c r="FP182" s="42"/>
      <c r="FQ182" s="42"/>
      <c r="FR182" s="42"/>
      <c r="FS182" s="42"/>
      <c r="FT182" s="42"/>
      <c r="FU182" s="42"/>
      <c r="FV182" s="42"/>
      <c r="FW182" s="42"/>
      <c r="FX182" s="42"/>
      <c r="FY182" s="42"/>
      <c r="FZ182" s="42"/>
      <c r="GA182" s="42"/>
      <c r="GB182" s="42"/>
      <c r="GC182" s="42"/>
      <c r="GD182" s="42"/>
      <c r="GE182" s="42"/>
      <c r="GF182" s="42"/>
      <c r="GG182" s="42"/>
      <c r="GH182" s="42"/>
      <c r="GI182" s="42"/>
      <c r="GJ182" s="42"/>
      <c r="GK182" s="42"/>
      <c r="GL182" s="42"/>
      <c r="GM182" s="42"/>
      <c r="GN182" s="42"/>
      <c r="GO182" s="42"/>
      <c r="GP182" s="42"/>
      <c r="GQ182" s="42"/>
      <c r="GR182" s="42"/>
      <c r="GS182" s="42"/>
      <c r="GT182" s="42"/>
      <c r="GU182" s="42"/>
      <c r="GV182" s="42"/>
      <c r="GW182" s="42"/>
      <c r="GX182" s="42"/>
    </row>
    <row r="183" spans="1:206" s="58" customFormat="1" x14ac:dyDescent="0.25">
      <c r="A183" s="170">
        <v>9</v>
      </c>
      <c r="B183" s="171" t="str">
        <f>线路!B180</f>
        <v>7#隧洞出</v>
      </c>
      <c r="C183" s="172">
        <f>线路!E180</f>
        <v>441156.25400000002</v>
      </c>
      <c r="D183" s="172">
        <f>线路!F180</f>
        <v>3034744.0732999998</v>
      </c>
      <c r="E183" s="173">
        <f>线路!G180</f>
        <v>0</v>
      </c>
      <c r="F183" s="173">
        <f>线路!H180</f>
        <v>0</v>
      </c>
      <c r="G183" s="174">
        <f>线路!L180</f>
        <v>20218.10706675949</v>
      </c>
      <c r="H183" s="174">
        <f>线路!M180</f>
        <v>20218.10706675949</v>
      </c>
      <c r="I183" s="174">
        <f>线路!N180</f>
        <v>20218.10706675949</v>
      </c>
      <c r="J183" s="175">
        <f t="shared" si="57"/>
        <v>0</v>
      </c>
      <c r="K183" s="175">
        <f t="shared" si="67"/>
        <v>148.79358931678144</v>
      </c>
      <c r="L183" s="175">
        <f>IF(A183=1,断面设计!$D$7,IF(A183=2,断面设计!$D$8,IF(A183=3,断面设计!$D$9,IF(A183=4,断面设计!$D$10,IF(A183=5,断面设计!$D$11,IF(A183=6,断面设计!$D$12,IF(A183=7,断面设计!$D$13,IF(A183=8,断面设计!$D$14,IF(A183=9,断面设计!$D$15,IF(A183=10,断面设计!$D$16))))))))))</f>
        <v>0.8</v>
      </c>
      <c r="M183" s="175">
        <f t="shared" si="68"/>
        <v>0</v>
      </c>
      <c r="N183" s="176">
        <f t="shared" si="74"/>
        <v>1.4E-2</v>
      </c>
      <c r="O183" s="175">
        <f>IF(A183=5,断面设计!$O$37,IF(A183=6,断面设计!$O$38,IF(A183=7,断面设计!$O$39,IF(A183=9,断面设计!$O$40,IF(A183=10,断面设计!$O$41)))))</f>
        <v>2000</v>
      </c>
      <c r="P183" s="177">
        <f>IF(A183=1,断面设计!$K$7,IF(A183=2,断面设计!$K$8,IF(A183=3,断面设计!$K$9,IF(A183=4,断面设计!$K$10,IF(A183=5,断面设计!$K$11,IF(A183=6,断面设计!$K$12,IF(A183=7,断面设计!$K$13,IF(A183=8,断面设计!$K$14,IF(A183=9,断面设计!$K$15,IF(A183=10,断面设计!$K$16))))))))))</f>
        <v>1.2005650086383313</v>
      </c>
      <c r="Q183" s="176">
        <f>IF(A183=5,断面设计!$C$37,IF(A183=6,断面设计!$C$38,IF(A183=7,断面设计!$C$39,IF(A183=9,断面设计!$C$40,IF(A183=10,断面设计!$C$41)))))</f>
        <v>0.75544172988763603</v>
      </c>
      <c r="R183" s="175">
        <f>IF(A183=5,断面设计!$K$37,IF(A183=6,断面设计!$K$38,IF(A183=7,断面设计!$K$39,IF(A183=9,断面设计!$K$40,IF(A183=10,断面设计!$K$41)))))</f>
        <v>1.3597951137977449</v>
      </c>
      <c r="S183" s="175">
        <f>IF(A183=5,断面设计!$L$37,IF(A183=6,断面设计!$L$38,IF(A183=7,断面设计!$L$39,IF(A183=9,断面设计!$L$40,IF(A183=10,断面设计!$L$41)))))</f>
        <v>3.3108834597752721</v>
      </c>
      <c r="T183" s="175">
        <f t="shared" si="69"/>
        <v>0.4107046141364461</v>
      </c>
      <c r="U183" s="175">
        <f t="shared" si="70"/>
        <v>0.88290139923013622</v>
      </c>
      <c r="V183" s="179"/>
      <c r="W183" s="176">
        <f>-0.6*(U183^2/2-U184^2/2)/9.81</f>
        <v>-1.2783497610635904E-2</v>
      </c>
      <c r="X183" s="176">
        <f>IF(AN183=0,IF(AN182=2,(H183-H182-AE182)/O183,(H183-H182)/O183),IF(AN183=1,IF(AN182=2,IF(AE183&lt;9,(H183-H182-AE183-AE182)/断面设计!$J$7,(H183-H182-AE183-AE182)/断面设计!$J$7),(H183-H182-AE183)/O182),(H183-H182)/O183))</f>
        <v>7.4396794658390719E-2</v>
      </c>
      <c r="Y183" s="181">
        <v>0</v>
      </c>
      <c r="Z183" s="182">
        <f t="shared" si="75"/>
        <v>0</v>
      </c>
      <c r="AA183" s="183"/>
      <c r="AB183" s="181">
        <f t="shared" si="58"/>
        <v>0.75544172988763603</v>
      </c>
      <c r="AC183" s="176">
        <f t="shared" si="59"/>
        <v>6.1613297047754811E-2</v>
      </c>
      <c r="AD183" s="176">
        <f t="shared" ca="1" si="71"/>
        <v>2374.7666719308227</v>
      </c>
      <c r="AE183" s="184">
        <v>4</v>
      </c>
      <c r="AF183" s="176">
        <f t="shared" ca="1" si="60"/>
        <v>2374.7666719308227</v>
      </c>
      <c r="AG183" s="176">
        <f ca="1">IF(AE183=0," ",AF183-断面设计!$C$16)</f>
        <v>2374.2116719308228</v>
      </c>
      <c r="AH183" s="176" t="str">
        <f t="shared" si="61"/>
        <v xml:space="preserve"> </v>
      </c>
      <c r="AI183" s="176" t="str">
        <f t="shared" si="62"/>
        <v xml:space="preserve"> </v>
      </c>
      <c r="AJ183" s="176" t="str">
        <f t="shared" si="63"/>
        <v xml:space="preserve"> </v>
      </c>
      <c r="AK183" s="176" t="str">
        <f t="shared" si="64"/>
        <v xml:space="preserve"> </v>
      </c>
      <c r="AL183" s="176">
        <f t="shared" ca="1" si="65"/>
        <v>2374.7538884332121</v>
      </c>
      <c r="AM183" s="176">
        <f t="shared" ca="1" si="66"/>
        <v>2373.9984467033246</v>
      </c>
      <c r="AN183" s="180">
        <v>2</v>
      </c>
      <c r="AO183" s="170">
        <v>1</v>
      </c>
      <c r="AP183" s="42"/>
      <c r="AQ183" s="42"/>
      <c r="AR183" s="42"/>
      <c r="AS183" s="42"/>
      <c r="AT183" s="42"/>
      <c r="AU183" s="64" t="str">
        <f t="shared" ca="1" si="73"/>
        <v>20218.1070667595,2373.99844670332</v>
      </c>
      <c r="AV183" s="64" t="str">
        <f t="shared" ca="1" si="80"/>
        <v>20218.1070667595,2374.75388843321</v>
      </c>
      <c r="AW183" s="169" t="str">
        <f t="shared" si="81"/>
        <v xml:space="preserve">pl 20218.1070667595,0 20218.1070667595,76 </v>
      </c>
      <c r="AX183" s="161" t="str">
        <f t="shared" ca="1" si="77"/>
        <v>-text 20218.1070667595,48 3.5 90 2373.998</v>
      </c>
      <c r="AY183" s="161" t="str">
        <f t="shared" ca="1" si="78"/>
        <v>-text 20218.1070667595,62.5 3.5 90 2374.754</v>
      </c>
      <c r="AZ183" s="42" t="str">
        <f t="shared" si="79"/>
        <v>-text 20218.1070667595,23.5 3.5 90 马分20+218.11</v>
      </c>
      <c r="BA183" s="42"/>
      <c r="BB183" s="42"/>
      <c r="BC183" s="42"/>
      <c r="BD183" s="42"/>
      <c r="BE183" s="42"/>
      <c r="BF183" s="42"/>
      <c r="BG183" s="42"/>
      <c r="BH183" s="42"/>
      <c r="BI183" s="42"/>
      <c r="BJ183" s="42"/>
      <c r="BK183" s="42"/>
      <c r="BL183" s="42"/>
      <c r="BM183" s="42"/>
      <c r="BN183" s="42"/>
      <c r="BO183" s="42"/>
      <c r="BP183" s="42"/>
      <c r="BQ183" s="42"/>
      <c r="BR183" s="42"/>
      <c r="BS183" s="42"/>
      <c r="BT183" s="42"/>
      <c r="BU183" s="42"/>
      <c r="BV183" s="42"/>
      <c r="BW183" s="42"/>
      <c r="BX183" s="42"/>
      <c r="BY183" s="42"/>
      <c r="BZ183" s="42"/>
      <c r="CA183" s="42"/>
      <c r="CB183" s="42"/>
      <c r="CC183" s="42"/>
      <c r="CD183" s="42"/>
      <c r="CE183" s="42"/>
      <c r="CF183" s="42"/>
      <c r="CG183" s="42"/>
      <c r="CH183" s="42"/>
      <c r="CI183" s="42"/>
      <c r="CJ183" s="42"/>
      <c r="CK183" s="42"/>
      <c r="CL183" s="42"/>
      <c r="CM183" s="42"/>
      <c r="CN183" s="42"/>
      <c r="CO183" s="42"/>
      <c r="CP183" s="42"/>
      <c r="CQ183" s="42"/>
      <c r="CR183" s="42"/>
      <c r="CS183" s="42"/>
      <c r="CT183" s="42"/>
      <c r="CU183" s="42"/>
      <c r="CV183" s="42"/>
      <c r="CW183" s="42"/>
      <c r="CX183" s="42"/>
      <c r="CY183" s="42"/>
      <c r="CZ183" s="42"/>
      <c r="DA183" s="42"/>
      <c r="DB183" s="42"/>
      <c r="DC183" s="42"/>
      <c r="DD183" s="42"/>
      <c r="DE183" s="42"/>
      <c r="DF183" s="42"/>
      <c r="DG183" s="42"/>
      <c r="DH183" s="42"/>
      <c r="DI183" s="42"/>
      <c r="DJ183" s="42"/>
      <c r="DK183" s="42"/>
      <c r="DL183" s="42"/>
      <c r="DM183" s="42"/>
      <c r="DN183" s="42"/>
      <c r="DO183" s="42"/>
      <c r="DP183" s="42"/>
      <c r="DQ183" s="42"/>
      <c r="DR183" s="42"/>
      <c r="DS183" s="42"/>
      <c r="DT183" s="42"/>
      <c r="DU183" s="42"/>
      <c r="DV183" s="42"/>
      <c r="DW183" s="42"/>
      <c r="DX183" s="42"/>
      <c r="DY183" s="42"/>
      <c r="DZ183" s="42"/>
      <c r="EA183" s="42"/>
      <c r="EB183" s="42"/>
      <c r="EC183" s="42"/>
      <c r="ED183" s="42"/>
      <c r="EE183" s="42"/>
      <c r="EF183" s="42"/>
      <c r="EG183" s="42"/>
      <c r="EH183" s="42"/>
      <c r="EI183" s="42"/>
      <c r="EJ183" s="42"/>
      <c r="EK183" s="42"/>
      <c r="EL183" s="42"/>
      <c r="EM183" s="42"/>
      <c r="EN183" s="42"/>
      <c r="EO183" s="42"/>
      <c r="EP183" s="42"/>
      <c r="EQ183" s="42"/>
      <c r="ER183" s="42"/>
      <c r="ES183" s="42"/>
      <c r="ET183" s="42"/>
      <c r="EU183" s="42"/>
      <c r="EV183" s="42"/>
      <c r="EW183" s="42"/>
      <c r="EX183" s="42"/>
      <c r="EY183" s="42"/>
      <c r="EZ183" s="42"/>
      <c r="FA183" s="42"/>
      <c r="FB183" s="42"/>
      <c r="FC183" s="42"/>
      <c r="FD183" s="42"/>
      <c r="FE183" s="42"/>
      <c r="FF183" s="42"/>
      <c r="FG183" s="42"/>
      <c r="FH183" s="42"/>
      <c r="FI183" s="42"/>
      <c r="FJ183" s="42"/>
      <c r="FK183" s="42"/>
      <c r="FL183" s="42"/>
      <c r="FM183" s="42"/>
      <c r="FN183" s="42"/>
      <c r="FO183" s="42"/>
      <c r="FP183" s="42"/>
      <c r="FQ183" s="42"/>
      <c r="FR183" s="42"/>
      <c r="FS183" s="42"/>
      <c r="FT183" s="42"/>
      <c r="FU183" s="42"/>
      <c r="FV183" s="42"/>
      <c r="FW183" s="42"/>
      <c r="FX183" s="42"/>
      <c r="FY183" s="42"/>
      <c r="FZ183" s="42"/>
      <c r="GA183" s="42"/>
      <c r="GB183" s="42"/>
      <c r="GC183" s="42"/>
      <c r="GD183" s="42"/>
      <c r="GE183" s="42"/>
      <c r="GF183" s="42"/>
      <c r="GG183" s="42"/>
      <c r="GH183" s="42"/>
      <c r="GI183" s="42"/>
      <c r="GJ183" s="42"/>
      <c r="GK183" s="42"/>
      <c r="GL183" s="42"/>
      <c r="GM183" s="42"/>
      <c r="GN183" s="42"/>
      <c r="GO183" s="42"/>
      <c r="GP183" s="42"/>
      <c r="GQ183" s="42"/>
      <c r="GR183" s="42"/>
      <c r="GS183" s="42"/>
      <c r="GT183" s="42"/>
      <c r="GU183" s="42"/>
      <c r="GV183" s="42"/>
      <c r="GW183" s="42"/>
      <c r="GX183" s="42"/>
    </row>
    <row r="184" spans="1:206" s="55" customFormat="1" x14ac:dyDescent="0.25">
      <c r="A184" s="92">
        <v>9</v>
      </c>
      <c r="B184" s="93" t="str">
        <f>线路!B181</f>
        <v>15#倒虹吸进</v>
      </c>
      <c r="C184" s="94">
        <f>线路!E181</f>
        <v>441149.26870000002</v>
      </c>
      <c r="D184" s="94">
        <f>线路!F181</f>
        <v>3034743.6069999998</v>
      </c>
      <c r="E184" s="95">
        <f>线路!G181</f>
        <v>0</v>
      </c>
      <c r="F184" s="95">
        <f>线路!H181</f>
        <v>0</v>
      </c>
      <c r="G184" s="96">
        <f>线路!L181</f>
        <v>20225.107913264019</v>
      </c>
      <c r="H184" s="96">
        <f>线路!M181</f>
        <v>20225.107913264019</v>
      </c>
      <c r="I184" s="96">
        <f>线路!N181</f>
        <v>20225.107913264019</v>
      </c>
      <c r="J184" s="115">
        <f t="shared" si="57"/>
        <v>0</v>
      </c>
      <c r="K184" s="115">
        <f t="shared" si="67"/>
        <v>7.0008465045284538</v>
      </c>
      <c r="L184" s="115">
        <f>IF(A184=1,断面设计!$D$7,IF(A184=2,断面设计!$D$8,IF(A184=3,断面设计!$D$9,IF(A184=4,断面设计!$D$10,IF(A184=5,断面设计!$D$11,IF(A184=6,断面设计!$D$12,IF(A184=7,断面设计!$D$13,IF(A184=8,断面设计!$D$14,IF(A184=9,断面设计!$D$15,IF(A184=10,断面设计!$D$16))))))))))</f>
        <v>0.8</v>
      </c>
      <c r="M184" s="115">
        <f t="shared" si="68"/>
        <v>1.2</v>
      </c>
      <c r="N184" s="116">
        <f t="shared" si="74"/>
        <v>1.4999999999999999E-2</v>
      </c>
      <c r="O184" s="115">
        <f>IF(A184=1,断面设计!$J$7,IF(A184=2,断面设计!$J$8,IF(A184=3,断面设计!$J$9,IF(A184=4,断面设计!$J$10,IF(A184=5,断面设计!$J$11,IF(A184=6,断面设计!$J$12,IF(A184=7,断面设计!$J$13,IF(A184=8,断面设计!$J$14,IF(A184=9,断面设计!$J$15,IF(A184=10,断面设计!$J$16))))))))))</f>
        <v>5000</v>
      </c>
      <c r="P184" s="117">
        <f>IF(A184=1,断面设计!$K$7,IF(A184=2,断面设计!$K$8,IF(A184=3,断面设计!$K$9,IF(A184=4,断面设计!$K$10,IF(A184=5,断面设计!$K$11,IF(A184=6,断面设计!$K$12,IF(A184=7,断面设计!$K$13,IF(A184=8,断面设计!$K$14,IF(A184=9,断面设计!$K$15,IF(A184=10,断面设计!$K$16))))))))))</f>
        <v>1.2005650086383313</v>
      </c>
      <c r="Q184" s="116">
        <f>IF(A184=1,断面设计!$C$7,IF(A184=2,断面设计!$C$8,IF(A184=3,断面设计!$C$9,IF(A184=4,断面设计!$C$10,IF(A184=5,断面设计!$C$11,IF(A184=6,断面设计!$C$12,IF(A184=7,断面设计!$C$13,IF(A184=8,断面设计!$C$14,IF(A184=9,断面设计!$C$15,IF(A184=10,断面设计!$C$16))))))))))</f>
        <v>0.999</v>
      </c>
      <c r="R184" s="115">
        <f>IF(A184=1,断面设计!$F$7,IF(A184=2,断面设计!$F$8,IF(A184=3,断面设计!$F$9,IF(A184=4,断面设计!$F$10,IF(A184=5,断面设计!$F$11,IF(A184=6,断面设计!$F$12,IF(A184=7,断面设计!$F$13,IF(A184=8,断面设计!$F$14,IF(A184=9,断面设计!$F$15,IF(A184=10,断面设计!$F$16))))))))))</f>
        <v>1.9968011999999999</v>
      </c>
      <c r="S184" s="115">
        <f>IF(A184=1,断面设计!$G$7,IF(A184=2,断面设计!$G$8,IF(A184=3,断面设计!$G$9,IF(A184=4,断面设计!$G$10,IF(A184=5,断面设计!$G$11,IF(A184=6,断面设计!$G$12,IF(A184=7,断面设计!$G$13,IF(A184=8,断面设计!$G$14,IF(A184=9,断面设计!$G$15,IF(A184=10,断面设计!$G$16))))))))))</f>
        <v>3.9209757704922987</v>
      </c>
      <c r="T184" s="115">
        <f t="shared" si="69"/>
        <v>0.50926129537120068</v>
      </c>
      <c r="U184" s="115">
        <f t="shared" si="70"/>
        <v>0.60124413418738498</v>
      </c>
      <c r="V184" s="125"/>
      <c r="W184" s="178"/>
      <c r="X184" s="116"/>
      <c r="Y184" s="139">
        <v>0</v>
      </c>
      <c r="Z184" s="140">
        <f t="shared" si="75"/>
        <v>0</v>
      </c>
      <c r="AA184" s="143"/>
      <c r="AB184" s="139">
        <f t="shared" si="58"/>
        <v>0.999</v>
      </c>
      <c r="AC184" s="116">
        <f t="shared" si="59"/>
        <v>0</v>
      </c>
      <c r="AD184" s="116">
        <f t="shared" ca="1" si="71"/>
        <v>2374.7666719308227</v>
      </c>
      <c r="AE184" s="141">
        <f t="shared" si="72"/>
        <v>0</v>
      </c>
      <c r="AF184" s="116" t="str">
        <f t="shared" si="60"/>
        <v xml:space="preserve"> </v>
      </c>
      <c r="AG184" s="116" t="str">
        <f>IF(AE184=0," ",AF184-断面设计!$C$7)</f>
        <v xml:space="preserve"> </v>
      </c>
      <c r="AH184" s="116" t="str">
        <f t="shared" si="61"/>
        <v xml:space="preserve"> </v>
      </c>
      <c r="AI184" s="116" t="str">
        <f t="shared" si="62"/>
        <v xml:space="preserve"> </v>
      </c>
      <c r="AJ184" s="116" t="str">
        <f t="shared" si="63"/>
        <v xml:space="preserve"> </v>
      </c>
      <c r="AK184" s="116" t="str">
        <f t="shared" si="64"/>
        <v xml:space="preserve"> </v>
      </c>
      <c r="AL184" s="116">
        <f t="shared" ca="1" si="65"/>
        <v>2374.7666719308227</v>
      </c>
      <c r="AM184" s="116">
        <f t="shared" ca="1" si="66"/>
        <v>2373.7676719308229</v>
      </c>
      <c r="AN184" s="178"/>
      <c r="AO184" s="92">
        <v>0</v>
      </c>
      <c r="AP184" s="42"/>
      <c r="AQ184" s="42"/>
      <c r="AR184" s="42"/>
      <c r="AS184" s="42"/>
      <c r="AT184" s="42"/>
      <c r="AU184" s="64" t="str">
        <f t="shared" ca="1" si="73"/>
        <v>20225.107913264,2373.76767193082</v>
      </c>
      <c r="AV184" s="64" t="str">
        <f t="shared" ca="1" si="80"/>
        <v>20225.107913264,2374.76667193082</v>
      </c>
      <c r="AW184" s="169" t="str">
        <f t="shared" si="81"/>
        <v xml:space="preserve">pl 20225.107913264,0 20225.107913264,76 </v>
      </c>
      <c r="AX184" s="161" t="str">
        <f t="shared" ca="1" si="77"/>
        <v>-text 20225.107913264,48 3.5 90 2373.768</v>
      </c>
      <c r="AY184" s="161" t="str">
        <f t="shared" ca="1" si="78"/>
        <v>-text 20225.107913264,62.5 3.5 90 2374.767</v>
      </c>
      <c r="AZ184" s="42" t="str">
        <f t="shared" si="79"/>
        <v>-text 20225.107913264,23.5 3.5 90 马分20+225.11</v>
      </c>
      <c r="BA184" s="42"/>
      <c r="BB184" s="42"/>
      <c r="BC184" s="42"/>
      <c r="BD184" s="42"/>
      <c r="BE184" s="42"/>
      <c r="BF184" s="42"/>
      <c r="BG184" s="42"/>
      <c r="BH184" s="42"/>
      <c r="BI184" s="42"/>
      <c r="BJ184" s="42"/>
      <c r="BK184" s="42"/>
      <c r="BL184" s="42"/>
      <c r="BM184" s="42"/>
      <c r="BN184" s="42"/>
      <c r="BO184" s="42"/>
      <c r="BP184" s="42"/>
      <c r="BQ184" s="42"/>
      <c r="BR184" s="42"/>
      <c r="BS184" s="42"/>
      <c r="BT184" s="42"/>
      <c r="BU184" s="42"/>
      <c r="BV184" s="42"/>
      <c r="BW184" s="42"/>
      <c r="BX184" s="42"/>
      <c r="BY184" s="42"/>
      <c r="BZ184" s="42"/>
      <c r="CA184" s="42"/>
      <c r="CB184" s="42"/>
      <c r="CC184" s="42"/>
      <c r="CD184" s="42"/>
      <c r="CE184" s="42"/>
      <c r="CF184" s="42"/>
      <c r="CG184" s="42"/>
      <c r="CH184" s="42"/>
      <c r="CI184" s="42"/>
      <c r="CJ184" s="42"/>
      <c r="CK184" s="42"/>
      <c r="CL184" s="42"/>
      <c r="CM184" s="42"/>
      <c r="CN184" s="42"/>
      <c r="CO184" s="42"/>
      <c r="CP184" s="42"/>
      <c r="CQ184" s="42"/>
      <c r="CR184" s="42"/>
      <c r="CS184" s="42"/>
      <c r="CT184" s="42"/>
      <c r="CU184" s="42"/>
      <c r="CV184" s="42"/>
      <c r="CW184" s="42"/>
      <c r="CX184" s="42"/>
      <c r="CY184" s="42"/>
      <c r="CZ184" s="42"/>
      <c r="DA184" s="42"/>
      <c r="DB184" s="42"/>
      <c r="DC184" s="42"/>
      <c r="DD184" s="42"/>
      <c r="DE184" s="42"/>
      <c r="DF184" s="42"/>
      <c r="DG184" s="42"/>
      <c r="DH184" s="42"/>
      <c r="DI184" s="42"/>
      <c r="DJ184" s="42"/>
      <c r="DK184" s="42"/>
      <c r="DL184" s="42"/>
      <c r="DM184" s="42"/>
      <c r="DN184" s="42"/>
      <c r="DO184" s="42"/>
      <c r="DP184" s="42"/>
      <c r="DQ184" s="42"/>
      <c r="DR184" s="42"/>
      <c r="DS184" s="42"/>
      <c r="DT184" s="42"/>
      <c r="DU184" s="42"/>
      <c r="DV184" s="42"/>
      <c r="DW184" s="42"/>
      <c r="DX184" s="42"/>
      <c r="DY184" s="42"/>
      <c r="DZ184" s="42"/>
      <c r="EA184" s="42"/>
      <c r="EB184" s="42"/>
      <c r="EC184" s="42"/>
      <c r="ED184" s="42"/>
      <c r="EE184" s="42"/>
      <c r="EF184" s="42"/>
      <c r="EG184" s="42"/>
      <c r="EH184" s="42"/>
      <c r="EI184" s="42"/>
      <c r="EJ184" s="42"/>
      <c r="EK184" s="42"/>
      <c r="EL184" s="42"/>
      <c r="EM184" s="42"/>
      <c r="EN184" s="42"/>
      <c r="EO184" s="42"/>
      <c r="EP184" s="42"/>
      <c r="EQ184" s="42"/>
      <c r="ER184" s="42"/>
      <c r="ES184" s="42"/>
      <c r="ET184" s="42"/>
      <c r="EU184" s="42"/>
      <c r="EV184" s="42"/>
      <c r="EW184" s="42"/>
      <c r="EX184" s="42"/>
      <c r="EY184" s="42"/>
      <c r="EZ184" s="42"/>
      <c r="FA184" s="42"/>
      <c r="FB184" s="42"/>
      <c r="FC184" s="42"/>
      <c r="FD184" s="42"/>
      <c r="FE184" s="42"/>
      <c r="FF184" s="42"/>
      <c r="FG184" s="42"/>
      <c r="FH184" s="42"/>
      <c r="FI184" s="42"/>
      <c r="FJ184" s="42"/>
      <c r="FK184" s="42"/>
      <c r="FL184" s="42"/>
      <c r="FM184" s="42"/>
      <c r="FN184" s="42"/>
      <c r="FO184" s="42"/>
      <c r="FP184" s="42"/>
      <c r="FQ184" s="42"/>
      <c r="FR184" s="42"/>
      <c r="FS184" s="42"/>
      <c r="FT184" s="42"/>
      <c r="FU184" s="42"/>
      <c r="FV184" s="42"/>
      <c r="FW184" s="42"/>
      <c r="FX184" s="42"/>
      <c r="FY184" s="42"/>
      <c r="FZ184" s="42"/>
      <c r="GA184" s="42"/>
      <c r="GB184" s="42"/>
      <c r="GC184" s="42"/>
      <c r="GD184" s="42"/>
      <c r="GE184" s="42"/>
      <c r="GF184" s="42"/>
      <c r="GG184" s="42"/>
      <c r="GH184" s="42"/>
      <c r="GI184" s="42"/>
      <c r="GJ184" s="42"/>
      <c r="GK184" s="42"/>
      <c r="GL184" s="42"/>
      <c r="GM184" s="42"/>
      <c r="GN184" s="42"/>
      <c r="GO184" s="42"/>
      <c r="GP184" s="42"/>
      <c r="GQ184" s="42"/>
      <c r="GR184" s="42"/>
      <c r="GS184" s="42"/>
      <c r="GT184" s="42"/>
      <c r="GU184" s="42"/>
      <c r="GV184" s="42"/>
      <c r="GW184" s="42"/>
      <c r="GX184" s="42"/>
    </row>
    <row r="185" spans="1:206" s="55" customFormat="1" x14ac:dyDescent="0.25">
      <c r="A185" s="92">
        <v>9</v>
      </c>
      <c r="B185" s="93" t="str">
        <f>线路!B182</f>
        <v>IP117</v>
      </c>
      <c r="C185" s="94">
        <f>线路!E182</f>
        <v>441101.16970000003</v>
      </c>
      <c r="D185" s="94">
        <f>线路!F182</f>
        <v>3034740.3958999999</v>
      </c>
      <c r="E185" s="95">
        <f>线路!G182</f>
        <v>4.2</v>
      </c>
      <c r="F185" s="95">
        <f>线路!H182</f>
        <v>26.972000000000001</v>
      </c>
      <c r="G185" s="96">
        <f>线路!L182</f>
        <v>20272.306735528375</v>
      </c>
      <c r="H185" s="96">
        <f>线路!M182</f>
        <v>20273.295310960657</v>
      </c>
      <c r="I185" s="96">
        <f>线路!N182</f>
        <v>20274.283886392936</v>
      </c>
      <c r="J185" s="115">
        <f t="shared" si="57"/>
        <v>1.9771508645608264</v>
      </c>
      <c r="K185" s="115">
        <f t="shared" si="67"/>
        <v>48.187397696638072</v>
      </c>
      <c r="L185" s="115">
        <f>IF(A185=1,断面设计!$D$7,IF(A185=2,断面设计!$D$8,IF(A185=3,断面设计!$D$9,IF(A185=4,断面设计!$D$10,IF(A185=5,断面设计!$D$11,IF(A185=6,断面设计!$D$12,IF(A185=7,断面设计!$D$13,IF(A185=8,断面设计!$D$14,IF(A185=9,断面设计!$D$15,IF(A185=10,断面设计!$D$16))))))))))</f>
        <v>0.8</v>
      </c>
      <c r="M185" s="115">
        <f t="shared" si="68"/>
        <v>1.2</v>
      </c>
      <c r="N185" s="116">
        <f t="shared" si="74"/>
        <v>1.4999999999999999E-2</v>
      </c>
      <c r="O185" s="115">
        <f>IF(A185=1,断面设计!$J$7,IF(A185=2,断面设计!$J$8,IF(A185=3,断面设计!$J$9,IF(A185=4,断面设计!$J$10,IF(A185=5,断面设计!$J$11,IF(A185=6,断面设计!$J$12,IF(A185=7,断面设计!$J$13,IF(A185=8,断面设计!$J$14,IF(A185=9,断面设计!$J$15,IF(A185=10,断面设计!$J$16))))))))))</f>
        <v>5000</v>
      </c>
      <c r="P185" s="117">
        <f>IF(A185=1,断面设计!$K$7,IF(A185=2,断面设计!$K$8,IF(A185=3,断面设计!$K$9,IF(A185=4,断面设计!$K$10,IF(A185=5,断面设计!$K$11,IF(A185=6,断面设计!$K$12,IF(A185=7,断面设计!$K$13,IF(A185=8,断面设计!$K$14,IF(A185=9,断面设计!$K$15,IF(A185=10,断面设计!$K$16))))))))))</f>
        <v>1.2005650086383313</v>
      </c>
      <c r="Q185" s="116">
        <f>IF(A185=1,断面设计!$C$7,IF(A185=2,断面设计!$C$8,IF(A185=3,断面设计!$C$9,IF(A185=4,断面设计!$C$10,IF(A185=5,断面设计!$C$11,IF(A185=6,断面设计!$C$12,IF(A185=7,断面设计!$C$13,IF(A185=8,断面设计!$C$14,IF(A185=9,断面设计!$C$15,IF(A185=10,断面设计!$C$16))))))))))</f>
        <v>0.999</v>
      </c>
      <c r="R185" s="115">
        <f>IF(A185=1,断面设计!$F$7,IF(A185=2,断面设计!$F$8,IF(A185=3,断面设计!$F$9,IF(A185=4,断面设计!$F$10,IF(A185=5,断面设计!$F$11,IF(A185=6,断面设计!$F$12,IF(A185=7,断面设计!$F$13,IF(A185=8,断面设计!$F$14,IF(A185=9,断面设计!$F$15,IF(A185=10,断面设计!$F$16))))))))))</f>
        <v>1.9968011999999999</v>
      </c>
      <c r="S185" s="115">
        <f>IF(A185=1,断面设计!$G$7,IF(A185=2,断面设计!$G$8,IF(A185=3,断面设计!$G$9,IF(A185=4,断面设计!$G$10,IF(A185=5,断面设计!$G$11,IF(A185=6,断面设计!$G$12,IF(A185=7,断面设计!$G$13,IF(A185=8,断面设计!$G$14,IF(A185=9,断面设计!$G$15,IF(A185=10,断面设计!$G$16))))))))))</f>
        <v>3.9209757704922987</v>
      </c>
      <c r="T185" s="115">
        <f t="shared" si="69"/>
        <v>0.50926129537120068</v>
      </c>
      <c r="U185" s="115">
        <f t="shared" si="70"/>
        <v>0.60124413418738498</v>
      </c>
      <c r="V185" s="125"/>
      <c r="W185" s="116"/>
      <c r="X185" s="116"/>
      <c r="Y185" s="139">
        <v>0</v>
      </c>
      <c r="Z185" s="140">
        <f t="shared" si="75"/>
        <v>0</v>
      </c>
      <c r="AA185" s="143"/>
      <c r="AB185" s="139">
        <f t="shared" si="58"/>
        <v>0.999</v>
      </c>
      <c r="AC185" s="116">
        <f t="shared" si="59"/>
        <v>0</v>
      </c>
      <c r="AD185" s="116">
        <f t="shared" ca="1" si="71"/>
        <v>2374.7666719308227</v>
      </c>
      <c r="AE185" s="141">
        <v>0</v>
      </c>
      <c r="AF185" s="116" t="str">
        <f t="shared" si="60"/>
        <v xml:space="preserve"> </v>
      </c>
      <c r="AG185" s="116" t="str">
        <f>IF(AE185=0," ",AF185-断面设计!$C$16)</f>
        <v xml:space="preserve"> </v>
      </c>
      <c r="AH185" s="116">
        <f t="shared" ca="1" si="61"/>
        <v>2374.7668696459091</v>
      </c>
      <c r="AI185" s="116">
        <f t="shared" ca="1" si="62"/>
        <v>2373.7678696459093</v>
      </c>
      <c r="AJ185" s="116">
        <f t="shared" ca="1" si="63"/>
        <v>2374.7664742157363</v>
      </c>
      <c r="AK185" s="116">
        <f t="shared" ca="1" si="64"/>
        <v>2373.7674742157365</v>
      </c>
      <c r="AL185" s="116">
        <f t="shared" ca="1" si="65"/>
        <v>2374.7666719308227</v>
      </c>
      <c r="AM185" s="116">
        <f t="shared" ca="1" si="66"/>
        <v>2373.7676719308229</v>
      </c>
      <c r="AN185" s="178"/>
      <c r="AO185" s="92">
        <v>0</v>
      </c>
      <c r="AP185" s="42"/>
      <c r="AQ185" s="42"/>
      <c r="AR185" s="42"/>
      <c r="AS185" s="42"/>
      <c r="AT185" s="161"/>
      <c r="AU185" s="64" t="str">
        <f t="shared" ca="1" si="73"/>
        <v>20273.2953109607,2373.76767193082</v>
      </c>
      <c r="AV185" s="64" t="str">
        <f t="shared" ca="1" si="80"/>
        <v>20273.2953109607,2374.76667193082</v>
      </c>
      <c r="AW185" s="169" t="str">
        <f t="shared" si="81"/>
        <v xml:space="preserve">pl 20273.2953109607,0 20273.2953109607,76 </v>
      </c>
      <c r="AX185" s="161" t="str">
        <f t="shared" ca="1" si="77"/>
        <v>-text 20273.2953109607,48 3.5 90 2373.768</v>
      </c>
      <c r="AY185" s="161" t="str">
        <f t="shared" ca="1" si="78"/>
        <v>-text 20273.2953109607,62.5 3.5 90 2374.767</v>
      </c>
      <c r="AZ185" s="42" t="str">
        <f t="shared" si="79"/>
        <v>-text 20273.2953109607,23.5 3.5 90 马分20+273.30</v>
      </c>
      <c r="BA185" s="42"/>
      <c r="BB185" s="42"/>
      <c r="BC185" s="42"/>
      <c r="BD185" s="42"/>
      <c r="BE185" s="42"/>
      <c r="BF185" s="42"/>
      <c r="BG185" s="42"/>
      <c r="BH185" s="42"/>
      <c r="BI185" s="42"/>
      <c r="BJ185" s="42"/>
      <c r="BK185" s="42"/>
      <c r="BL185" s="42"/>
      <c r="BM185" s="42"/>
      <c r="BN185" s="42"/>
      <c r="BO185" s="42"/>
      <c r="BP185" s="42"/>
      <c r="BQ185" s="42"/>
      <c r="BR185" s="42"/>
      <c r="BS185" s="42"/>
      <c r="BT185" s="42"/>
      <c r="BU185" s="42"/>
      <c r="BV185" s="42"/>
      <c r="BW185" s="42"/>
      <c r="BX185" s="42"/>
      <c r="BY185" s="42"/>
      <c r="BZ185" s="42"/>
      <c r="CA185" s="42"/>
      <c r="CB185" s="42"/>
      <c r="CC185" s="42"/>
      <c r="CD185" s="42"/>
      <c r="CE185" s="42"/>
      <c r="CF185" s="42"/>
      <c r="CG185" s="42"/>
      <c r="CH185" s="42"/>
      <c r="CI185" s="42"/>
      <c r="CJ185" s="42"/>
      <c r="CK185" s="42"/>
      <c r="CL185" s="42"/>
      <c r="CM185" s="42"/>
      <c r="CN185" s="42"/>
      <c r="CO185" s="42"/>
      <c r="CP185" s="42"/>
      <c r="CQ185" s="42"/>
      <c r="CR185" s="42"/>
      <c r="CS185" s="42"/>
      <c r="CT185" s="42"/>
      <c r="CU185" s="42"/>
      <c r="CV185" s="42"/>
      <c r="CW185" s="42"/>
      <c r="CX185" s="42"/>
      <c r="CY185" s="42"/>
      <c r="CZ185" s="42"/>
      <c r="DA185" s="42"/>
      <c r="DB185" s="42"/>
      <c r="DC185" s="42"/>
      <c r="DD185" s="42"/>
      <c r="DE185" s="42"/>
      <c r="DF185" s="42"/>
      <c r="DG185" s="42"/>
      <c r="DH185" s="42"/>
      <c r="DI185" s="42"/>
      <c r="DJ185" s="42"/>
      <c r="DK185" s="42"/>
      <c r="DL185" s="42"/>
      <c r="DM185" s="42"/>
      <c r="DN185" s="42"/>
      <c r="DO185" s="42"/>
      <c r="DP185" s="42"/>
      <c r="DQ185" s="42"/>
      <c r="DR185" s="42"/>
      <c r="DS185" s="42"/>
      <c r="DT185" s="42"/>
      <c r="DU185" s="42"/>
      <c r="DV185" s="42"/>
      <c r="DW185" s="42"/>
      <c r="DX185" s="42"/>
      <c r="DY185" s="42"/>
      <c r="DZ185" s="42"/>
      <c r="EA185" s="42"/>
      <c r="EB185" s="42"/>
      <c r="EC185" s="42"/>
      <c r="ED185" s="42"/>
      <c r="EE185" s="42"/>
      <c r="EF185" s="42"/>
      <c r="EG185" s="42"/>
      <c r="EH185" s="42"/>
      <c r="EI185" s="42"/>
      <c r="EJ185" s="42"/>
      <c r="EK185" s="42"/>
      <c r="EL185" s="42"/>
      <c r="EM185" s="42"/>
      <c r="EN185" s="42"/>
      <c r="EO185" s="42"/>
      <c r="EP185" s="42"/>
      <c r="EQ185" s="42"/>
      <c r="ER185" s="42"/>
      <c r="ES185" s="42"/>
      <c r="ET185" s="42"/>
      <c r="EU185" s="42"/>
      <c r="EV185" s="42"/>
      <c r="EW185" s="42"/>
      <c r="EX185" s="42"/>
      <c r="EY185" s="42"/>
      <c r="EZ185" s="42"/>
      <c r="FA185" s="42"/>
      <c r="FB185" s="42"/>
      <c r="FC185" s="42"/>
      <c r="FD185" s="42"/>
      <c r="FE185" s="42"/>
      <c r="FF185" s="42"/>
      <c r="FG185" s="42"/>
      <c r="FH185" s="42"/>
      <c r="FI185" s="42"/>
      <c r="FJ185" s="42"/>
      <c r="FK185" s="42"/>
      <c r="FL185" s="42"/>
      <c r="FM185" s="42"/>
      <c r="FN185" s="42"/>
      <c r="FO185" s="42"/>
      <c r="FP185" s="42"/>
      <c r="FQ185" s="42"/>
      <c r="FR185" s="42"/>
      <c r="FS185" s="42"/>
      <c r="FT185" s="42"/>
      <c r="FU185" s="42"/>
      <c r="FV185" s="42"/>
      <c r="FW185" s="42"/>
      <c r="FX185" s="42"/>
      <c r="FY185" s="42"/>
      <c r="FZ185" s="42"/>
      <c r="GA185" s="42"/>
      <c r="GB185" s="42"/>
      <c r="GC185" s="42"/>
      <c r="GD185" s="42"/>
      <c r="GE185" s="42"/>
      <c r="GF185" s="42"/>
      <c r="GG185" s="42"/>
      <c r="GH185" s="42"/>
      <c r="GI185" s="42"/>
      <c r="GJ185" s="42"/>
      <c r="GK185" s="42"/>
      <c r="GL185" s="42"/>
      <c r="GM185" s="42"/>
      <c r="GN185" s="42"/>
      <c r="GO185" s="42"/>
      <c r="GP185" s="42"/>
      <c r="GQ185" s="42"/>
      <c r="GR185" s="42"/>
      <c r="GS185" s="42"/>
      <c r="GT185" s="42"/>
      <c r="GU185" s="42"/>
      <c r="GV185" s="42"/>
      <c r="GW185" s="42"/>
      <c r="GX185" s="42"/>
    </row>
    <row r="186" spans="1:206" s="55" customFormat="1" x14ac:dyDescent="0.25">
      <c r="A186" s="92">
        <v>9</v>
      </c>
      <c r="B186" s="186" t="str">
        <f>线路!B183</f>
        <v>IP118</v>
      </c>
      <c r="C186" s="94">
        <f>线路!E183</f>
        <v>440984.22149999999</v>
      </c>
      <c r="D186" s="94">
        <f>线路!F183</f>
        <v>3034790.4053000002</v>
      </c>
      <c r="E186" s="95">
        <f>线路!G183</f>
        <v>4.2</v>
      </c>
      <c r="F186" s="95">
        <f>线路!H183</f>
        <v>43.531999999999996</v>
      </c>
      <c r="G186" s="96">
        <f>线路!L183</f>
        <v>20398.791716835884</v>
      </c>
      <c r="H186" s="96">
        <f>线路!M183</f>
        <v>20400.387247968836</v>
      </c>
      <c r="I186" s="96">
        <f>线路!N183</f>
        <v>20401.982779101792</v>
      </c>
      <c r="J186" s="115">
        <f t="shared" si="57"/>
        <v>3.1910622659088403</v>
      </c>
      <c r="K186" s="115">
        <f t="shared" si="67"/>
        <v>127.09193700817923</v>
      </c>
      <c r="L186" s="115">
        <f>IF(A186=1,断面设计!$D$7,IF(A186=2,断面设计!$D$8,IF(A186=3,断面设计!$D$9,IF(A186=4,断面设计!$D$10,IF(A186=5,断面设计!$D$11,IF(A186=6,断面设计!$D$12,IF(A186=7,断面设计!$D$13,IF(A186=8,断面设计!$D$14,IF(A186=9,断面设计!$D$15,IF(A186=10,断面设计!$D$16))))))))))</f>
        <v>0.8</v>
      </c>
      <c r="M186" s="115">
        <f t="shared" si="68"/>
        <v>1.2</v>
      </c>
      <c r="N186" s="116">
        <f t="shared" si="74"/>
        <v>1.4999999999999999E-2</v>
      </c>
      <c r="O186" s="115">
        <f>IF(A186=1,断面设计!$J$7,IF(A186=2,断面设计!$J$8,IF(A186=3,断面设计!$J$9,IF(A186=4,断面设计!$J$10,IF(A186=5,断面设计!$J$11,IF(A186=6,断面设计!$J$12,IF(A186=7,断面设计!$J$13,IF(A186=8,断面设计!$J$14,IF(A186=9,断面设计!$J$15,IF(A186=10,断面设计!$J$16))))))))))</f>
        <v>5000</v>
      </c>
      <c r="P186" s="117">
        <f>IF(A186=1,断面设计!$K$7,IF(A186=2,断面设计!$K$8,IF(A186=3,断面设计!$K$9,IF(A186=4,断面设计!$K$10,IF(A186=5,断面设计!$K$11,IF(A186=6,断面设计!$K$12,IF(A186=7,断面设计!$K$13,IF(A186=8,断面设计!$K$14,IF(A186=9,断面设计!$K$15,IF(A186=10,断面设计!$K$16))))))))))</f>
        <v>1.2005650086383313</v>
      </c>
      <c r="Q186" s="116">
        <f>IF(A186=1,断面设计!$C$7,IF(A186=2,断面设计!$C$8,IF(A186=3,断面设计!$C$9,IF(A186=4,断面设计!$C$10,IF(A186=5,断面设计!$C$11,IF(A186=6,断面设计!$C$12,IF(A186=7,断面设计!$C$13,IF(A186=8,断面设计!$C$14,IF(A186=9,断面设计!$C$15,IF(A186=10,断面设计!$C$16))))))))))</f>
        <v>0.999</v>
      </c>
      <c r="R186" s="115">
        <f>IF(A186=1,断面设计!$F$7,IF(A186=2,断面设计!$F$8,IF(A186=3,断面设计!$F$9,IF(A186=4,断面设计!$F$10,IF(A186=5,断面设计!$F$11,IF(A186=6,断面设计!$F$12,IF(A186=7,断面设计!$F$13,IF(A186=8,断面设计!$F$14,IF(A186=9,断面设计!$F$15,IF(A186=10,断面设计!$F$16))))))))))</f>
        <v>1.9968011999999999</v>
      </c>
      <c r="S186" s="115">
        <f>IF(A186=1,断面设计!$G$7,IF(A186=2,断面设计!$G$8,IF(A186=3,断面设计!$G$9,IF(A186=4,断面设计!$G$10,IF(A186=5,断面设计!$G$11,IF(A186=6,断面设计!$G$12,IF(A186=7,断面设计!$G$13,IF(A186=8,断面设计!$G$14,IF(A186=9,断面设计!$G$15,IF(A186=10,断面设计!$G$16))))))))))</f>
        <v>3.9209757704922987</v>
      </c>
      <c r="T186" s="115">
        <f t="shared" si="69"/>
        <v>0.50926129537120068</v>
      </c>
      <c r="U186" s="115">
        <f t="shared" si="70"/>
        <v>0.60124413418738498</v>
      </c>
      <c r="V186" s="125"/>
      <c r="W186" s="190"/>
      <c r="X186" s="116"/>
      <c r="Y186" s="139">
        <v>0</v>
      </c>
      <c r="Z186" s="140">
        <f t="shared" si="75"/>
        <v>0</v>
      </c>
      <c r="AA186" s="193"/>
      <c r="AB186" s="139">
        <f t="shared" si="58"/>
        <v>0.999</v>
      </c>
      <c r="AC186" s="116">
        <f t="shared" si="59"/>
        <v>0</v>
      </c>
      <c r="AD186" s="116">
        <f t="shared" ca="1" si="71"/>
        <v>2374.7666719308227</v>
      </c>
      <c r="AE186" s="141">
        <v>0</v>
      </c>
      <c r="AF186" s="190" t="str">
        <f t="shared" si="60"/>
        <v xml:space="preserve"> </v>
      </c>
      <c r="AG186" s="190"/>
      <c r="AH186" s="116">
        <f t="shared" ca="1" si="61"/>
        <v>2374.7669910370491</v>
      </c>
      <c r="AI186" s="116">
        <f t="shared" ca="1" si="62"/>
        <v>2373.7679910370493</v>
      </c>
      <c r="AJ186" s="116">
        <f t="shared" ca="1" si="63"/>
        <v>2374.7663528245962</v>
      </c>
      <c r="AK186" s="116">
        <f t="shared" ca="1" si="64"/>
        <v>2373.7673528245964</v>
      </c>
      <c r="AL186" s="116">
        <f t="shared" ca="1" si="65"/>
        <v>2374.7666719308227</v>
      </c>
      <c r="AM186" s="116">
        <f t="shared" ca="1" si="66"/>
        <v>2373.7676719308229</v>
      </c>
      <c r="AN186" s="178"/>
      <c r="AO186" s="92">
        <v>0</v>
      </c>
      <c r="AP186" s="42"/>
      <c r="AQ186" s="42"/>
      <c r="AR186" s="42"/>
      <c r="AS186" s="42"/>
      <c r="AT186" s="42"/>
      <c r="AU186" s="64" t="str">
        <f t="shared" ca="1" si="73"/>
        <v>20400.3872479688,2373.76767193082</v>
      </c>
      <c r="AV186" s="64" t="str">
        <f t="shared" ca="1" si="80"/>
        <v>20400.3872479688,2374.76667193082</v>
      </c>
      <c r="AW186" s="169" t="str">
        <f t="shared" si="81"/>
        <v xml:space="preserve">pl 20400.3872479688,0 20400.3872479688,76 </v>
      </c>
      <c r="AX186" s="161" t="str">
        <f t="shared" ca="1" si="77"/>
        <v>-text 20400.3872479688,48 3.5 90 2373.768</v>
      </c>
      <c r="AY186" s="161" t="str">
        <f t="shared" ca="1" si="78"/>
        <v>-text 20400.3872479688,62.5 3.5 90 2374.767</v>
      </c>
      <c r="AZ186" s="42" t="str">
        <f t="shared" si="79"/>
        <v>-text 20400.3872479688,23.5 3.5 90 马分20+400.39</v>
      </c>
      <c r="BA186" s="42"/>
      <c r="BB186" s="42"/>
      <c r="BC186" s="42"/>
      <c r="BD186" s="42"/>
      <c r="BE186" s="42"/>
      <c r="BF186" s="42"/>
      <c r="BG186" s="42"/>
      <c r="BH186" s="42"/>
      <c r="BI186" s="42"/>
      <c r="BJ186" s="42"/>
      <c r="BK186" s="42"/>
      <c r="BL186" s="42"/>
      <c r="BM186" s="42"/>
      <c r="BN186" s="42"/>
      <c r="BO186" s="42"/>
      <c r="BP186" s="42"/>
      <c r="BQ186" s="42"/>
      <c r="BR186" s="42"/>
      <c r="BS186" s="42"/>
      <c r="BT186" s="42"/>
      <c r="BU186" s="42"/>
      <c r="BV186" s="42"/>
      <c r="BW186" s="42"/>
      <c r="BX186" s="42"/>
      <c r="BY186" s="42"/>
      <c r="BZ186" s="42"/>
      <c r="CA186" s="42"/>
      <c r="CB186" s="42"/>
      <c r="CC186" s="42"/>
      <c r="CD186" s="42"/>
      <c r="CE186" s="42"/>
      <c r="CF186" s="42"/>
      <c r="CG186" s="42"/>
      <c r="CH186" s="42"/>
      <c r="CI186" s="42"/>
      <c r="CJ186" s="42"/>
      <c r="CK186" s="42"/>
      <c r="CL186" s="42"/>
      <c r="CM186" s="42"/>
      <c r="CN186" s="42"/>
      <c r="CO186" s="42"/>
      <c r="CP186" s="42"/>
      <c r="CQ186" s="42"/>
      <c r="CR186" s="42"/>
      <c r="CS186" s="42"/>
      <c r="CT186" s="42"/>
      <c r="CU186" s="42"/>
      <c r="CV186" s="42"/>
      <c r="CW186" s="42"/>
      <c r="CX186" s="42"/>
      <c r="CY186" s="42"/>
      <c r="CZ186" s="42"/>
      <c r="DA186" s="42"/>
      <c r="DB186" s="42"/>
      <c r="DC186" s="42"/>
      <c r="DD186" s="42"/>
      <c r="DE186" s="42"/>
      <c r="DF186" s="42"/>
      <c r="DG186" s="42"/>
      <c r="DH186" s="42"/>
      <c r="DI186" s="42"/>
      <c r="DJ186" s="42"/>
      <c r="DK186" s="42"/>
      <c r="DL186" s="42"/>
      <c r="DM186" s="42"/>
      <c r="DN186" s="42"/>
      <c r="DO186" s="42"/>
      <c r="DP186" s="42"/>
      <c r="DQ186" s="42"/>
      <c r="DR186" s="42"/>
      <c r="DS186" s="42"/>
      <c r="DT186" s="42"/>
      <c r="DU186" s="42"/>
      <c r="DV186" s="42"/>
      <c r="DW186" s="42"/>
      <c r="DX186" s="42"/>
      <c r="DY186" s="42"/>
      <c r="DZ186" s="42"/>
      <c r="EA186" s="42"/>
      <c r="EB186" s="42"/>
      <c r="EC186" s="42"/>
      <c r="ED186" s="42"/>
      <c r="EE186" s="42"/>
      <c r="EF186" s="42"/>
      <c r="EG186" s="42"/>
      <c r="EH186" s="42"/>
      <c r="EI186" s="42"/>
      <c r="EJ186" s="42"/>
      <c r="EK186" s="42"/>
      <c r="EL186" s="42"/>
      <c r="EM186" s="42"/>
      <c r="EN186" s="42"/>
      <c r="EO186" s="42"/>
      <c r="EP186" s="42"/>
      <c r="EQ186" s="42"/>
      <c r="ER186" s="42"/>
      <c r="ES186" s="42"/>
      <c r="ET186" s="42"/>
      <c r="EU186" s="42"/>
      <c r="EV186" s="42"/>
      <c r="EW186" s="42"/>
      <c r="EX186" s="42"/>
      <c r="EY186" s="42"/>
      <c r="EZ186" s="42"/>
      <c r="FA186" s="42"/>
      <c r="FB186" s="42"/>
      <c r="FC186" s="42"/>
      <c r="FD186" s="42"/>
      <c r="FE186" s="42"/>
      <c r="FF186" s="42"/>
      <c r="FG186" s="42"/>
      <c r="FH186" s="42"/>
      <c r="FI186" s="42"/>
      <c r="FJ186" s="42"/>
      <c r="FK186" s="42"/>
      <c r="FL186" s="42"/>
      <c r="FM186" s="42"/>
      <c r="FN186" s="42"/>
      <c r="FO186" s="42"/>
      <c r="FP186" s="42"/>
      <c r="FQ186" s="42"/>
      <c r="FR186" s="42"/>
      <c r="FS186" s="42"/>
      <c r="FT186" s="42"/>
      <c r="FU186" s="42"/>
      <c r="FV186" s="42"/>
      <c r="FW186" s="42"/>
      <c r="FX186" s="42"/>
      <c r="FY186" s="42"/>
      <c r="FZ186" s="42"/>
      <c r="GA186" s="42"/>
      <c r="GB186" s="42"/>
      <c r="GC186" s="42"/>
      <c r="GD186" s="42"/>
      <c r="GE186" s="42"/>
      <c r="GF186" s="42"/>
      <c r="GG186" s="42"/>
      <c r="GH186" s="42"/>
      <c r="GI186" s="42"/>
      <c r="GJ186" s="42"/>
      <c r="GK186" s="42"/>
      <c r="GL186" s="42"/>
      <c r="GM186" s="42"/>
      <c r="GN186" s="42"/>
      <c r="GO186" s="42"/>
      <c r="GP186" s="42"/>
      <c r="GQ186" s="42"/>
      <c r="GR186" s="42"/>
      <c r="GS186" s="42"/>
      <c r="GT186" s="42"/>
      <c r="GU186" s="42"/>
      <c r="GV186" s="42"/>
      <c r="GW186" s="42"/>
      <c r="GX186" s="42"/>
    </row>
    <row r="187" spans="1:206" s="55" customFormat="1" x14ac:dyDescent="0.25">
      <c r="A187" s="92">
        <v>9</v>
      </c>
      <c r="B187" s="186" t="str">
        <f>线路!B184</f>
        <v>15#倒虹吸出</v>
      </c>
      <c r="C187" s="94">
        <f>线路!E184</f>
        <v>440931.9142</v>
      </c>
      <c r="D187" s="94">
        <f>线路!F184</f>
        <v>3034770.9736000001</v>
      </c>
      <c r="E187" s="95">
        <f>线路!G184</f>
        <v>0</v>
      </c>
      <c r="F187" s="95">
        <f>线路!H184</f>
        <v>0</v>
      </c>
      <c r="G187" s="96">
        <f>线路!L184</f>
        <v>20456.105830515426</v>
      </c>
      <c r="H187" s="96">
        <f>线路!M184</f>
        <v>20456.105830515426</v>
      </c>
      <c r="I187" s="96">
        <f>线路!N184</f>
        <v>20456.105830515426</v>
      </c>
      <c r="J187" s="115">
        <f t="shared" si="57"/>
        <v>0</v>
      </c>
      <c r="K187" s="115">
        <f t="shared" si="67"/>
        <v>55.71858254658946</v>
      </c>
      <c r="L187" s="115">
        <f>IF(A187=1,断面设计!$D$7,IF(A187=2,断面设计!$D$8,IF(A187=3,断面设计!$D$9,IF(A187=4,断面设计!$D$10,IF(A187=5,断面设计!$D$11,IF(A187=6,断面设计!$D$12,IF(A187=7,断面设计!$D$13,IF(A187=8,断面设计!$D$14,IF(A187=9,断面设计!$D$15,IF(A187=10,断面设计!$D$16))))))))))</f>
        <v>0.8</v>
      </c>
      <c r="M187" s="115">
        <f t="shared" si="68"/>
        <v>1.2</v>
      </c>
      <c r="N187" s="116">
        <f t="shared" si="74"/>
        <v>1.4999999999999999E-2</v>
      </c>
      <c r="O187" s="115">
        <f>IF(A187=1,断面设计!$J$7,IF(A187=2,断面设计!$J$8,IF(A187=3,断面设计!$J$9,IF(A187=4,断面设计!$J$10,IF(A187=5,断面设计!$J$11,IF(A187=6,断面设计!$J$12,IF(A187=7,断面设计!$J$13,IF(A187=8,断面设计!$J$14,IF(A187=9,断面设计!$J$15,IF(A187=10,断面设计!$J$16))))))))))</f>
        <v>5000</v>
      </c>
      <c r="P187" s="117">
        <f>IF(A187=1,断面设计!$K$7,IF(A187=2,断面设计!$K$8,IF(A187=3,断面设计!$K$9,IF(A187=4,断面设计!$K$10,IF(A187=5,断面设计!$K$11,IF(A187=6,断面设计!$K$12,IF(A187=7,断面设计!$K$13,IF(A187=8,断面设计!$K$14,IF(A187=9,断面设计!$K$15,IF(A187=10,断面设计!$K$16))))))))))</f>
        <v>1.2005650086383313</v>
      </c>
      <c r="Q187" s="116">
        <f>IF(A187=1,断面设计!$C$7,IF(A187=2,断面设计!$C$8,IF(A187=3,断面设计!$C$9,IF(A187=4,断面设计!$C$10,IF(A187=5,断面设计!$C$11,IF(A187=6,断面设计!$C$12,IF(A187=7,断面设计!$C$13,IF(A187=8,断面设计!$C$14,IF(A187=9,断面设计!$C$15,IF(A187=10,断面设计!$C$16))))))))))</f>
        <v>0.999</v>
      </c>
      <c r="R187" s="115">
        <f>IF(A187=1,断面设计!$F$7,IF(A187=2,断面设计!$F$8,IF(A187=3,断面设计!$F$9,IF(A187=4,断面设计!$F$10,IF(A187=5,断面设计!$F$11,IF(A187=6,断面设计!$F$12,IF(A187=7,断面设计!$F$13,IF(A187=8,断面设计!$F$14,IF(A187=9,断面设计!$F$15,IF(A187=10,断面设计!$F$16))))))))))</f>
        <v>1.9968011999999999</v>
      </c>
      <c r="S187" s="115">
        <f>IF(A187=1,断面设计!$G$7,IF(A187=2,断面设计!$G$8,IF(A187=3,断面设计!$G$9,IF(A187=4,断面设计!$G$10,IF(A187=5,断面设计!$G$11,IF(A187=6,断面设计!$G$12,IF(A187=7,断面设计!$G$13,IF(A187=8,断面设计!$G$14,IF(A187=9,断面设计!$G$15,IF(A187=10,断面设计!$G$16))))))))))</f>
        <v>3.9209757704922987</v>
      </c>
      <c r="T187" s="115">
        <f t="shared" si="69"/>
        <v>0.50926129537120068</v>
      </c>
      <c r="U187" s="115">
        <f t="shared" si="70"/>
        <v>0.60124413418738498</v>
      </c>
      <c r="V187" s="125"/>
      <c r="W187" s="190"/>
      <c r="X187" s="116">
        <f ca="1">倒虹管水头损失计算!D919</f>
        <v>0.21679643586329214</v>
      </c>
      <c r="Y187" s="139">
        <v>0</v>
      </c>
      <c r="Z187" s="140">
        <f t="shared" si="75"/>
        <v>0</v>
      </c>
      <c r="AA187" s="193"/>
      <c r="AB187" s="139">
        <f t="shared" si="58"/>
        <v>0.999</v>
      </c>
      <c r="AC187" s="116">
        <f t="shared" ca="1" si="59"/>
        <v>0.21679643586329214</v>
      </c>
      <c r="AD187" s="116">
        <f t="shared" ca="1" si="71"/>
        <v>2374.5498754949595</v>
      </c>
      <c r="AE187" s="141">
        <v>0</v>
      </c>
      <c r="AF187" s="190"/>
      <c r="AG187" s="190"/>
      <c r="AH187" s="116" t="str">
        <f t="shared" si="61"/>
        <v xml:space="preserve"> </v>
      </c>
      <c r="AI187" s="116" t="str">
        <f t="shared" si="62"/>
        <v xml:space="preserve"> </v>
      </c>
      <c r="AJ187" s="116" t="str">
        <f t="shared" si="63"/>
        <v xml:space="preserve"> </v>
      </c>
      <c r="AK187" s="116" t="str">
        <f t="shared" si="64"/>
        <v xml:space="preserve"> </v>
      </c>
      <c r="AL187" s="116">
        <f t="shared" ca="1" si="65"/>
        <v>2374.5498754949595</v>
      </c>
      <c r="AM187" s="116">
        <f t="shared" ca="1" si="66"/>
        <v>2373.5508754949597</v>
      </c>
      <c r="AN187" s="178"/>
      <c r="AO187" s="92">
        <v>0</v>
      </c>
      <c r="AP187" s="63"/>
      <c r="AQ187" s="42"/>
      <c r="AR187" s="42"/>
      <c r="AS187" s="42"/>
      <c r="AT187" s="42"/>
      <c r="AU187" s="64" t="str">
        <f t="shared" ca="1" si="73"/>
        <v>20456.1058305154,2373.55087549496</v>
      </c>
      <c r="AV187" s="64" t="str">
        <f t="shared" ca="1" si="80"/>
        <v>20456.1058305154,2374.54987549496</v>
      </c>
      <c r="AW187" s="169" t="str">
        <f t="shared" si="81"/>
        <v xml:space="preserve">pl 20456.1058305154,0 20456.1058305154,76 </v>
      </c>
      <c r="AX187" s="161" t="str">
        <f t="shared" ca="1" si="77"/>
        <v>-text 20456.1058305154,48 3.5 90 2373.551</v>
      </c>
      <c r="AY187" s="161" t="str">
        <f t="shared" ca="1" si="78"/>
        <v>-text 20456.1058305154,62.5 3.5 90 2374.550</v>
      </c>
      <c r="AZ187" s="42" t="str">
        <f t="shared" si="79"/>
        <v>-text 20456.1058305154,23.5 3.5 90 马分20+456.11</v>
      </c>
      <c r="BA187" s="42"/>
      <c r="BB187" s="42"/>
      <c r="BC187" s="42"/>
      <c r="BD187" s="42"/>
      <c r="BE187" s="42"/>
      <c r="BF187" s="42"/>
      <c r="BG187" s="42"/>
      <c r="BH187" s="42"/>
      <c r="BI187" s="42"/>
      <c r="BJ187" s="42"/>
      <c r="BK187" s="42"/>
      <c r="BL187" s="42"/>
      <c r="BM187" s="42"/>
      <c r="BN187" s="42"/>
      <c r="BO187" s="42"/>
      <c r="BP187" s="42"/>
      <c r="BQ187" s="42"/>
      <c r="BR187" s="42"/>
      <c r="BS187" s="42"/>
      <c r="BT187" s="42"/>
      <c r="BU187" s="42"/>
      <c r="BV187" s="42"/>
      <c r="BW187" s="42"/>
      <c r="BX187" s="42"/>
      <c r="BY187" s="42"/>
      <c r="BZ187" s="42"/>
      <c r="CA187" s="42"/>
      <c r="CB187" s="42"/>
      <c r="CC187" s="42"/>
      <c r="CD187" s="42"/>
      <c r="CE187" s="42"/>
      <c r="CF187" s="42"/>
      <c r="CG187" s="42"/>
      <c r="CH187" s="42"/>
      <c r="CI187" s="42"/>
      <c r="CJ187" s="42"/>
      <c r="CK187" s="42"/>
      <c r="CL187" s="42"/>
      <c r="CM187" s="42"/>
      <c r="CN187" s="42"/>
      <c r="CO187" s="42"/>
      <c r="CP187" s="42"/>
      <c r="CQ187" s="42"/>
      <c r="CR187" s="42"/>
      <c r="CS187" s="42"/>
      <c r="CT187" s="42"/>
      <c r="CU187" s="42"/>
      <c r="CV187" s="42"/>
      <c r="CW187" s="42"/>
      <c r="CX187" s="42"/>
      <c r="CY187" s="42"/>
      <c r="CZ187" s="42"/>
      <c r="DA187" s="42"/>
      <c r="DB187" s="42"/>
      <c r="DC187" s="42"/>
      <c r="DD187" s="42"/>
      <c r="DE187" s="42"/>
      <c r="DF187" s="42"/>
      <c r="DG187" s="42"/>
      <c r="DH187" s="42"/>
      <c r="DI187" s="42"/>
      <c r="DJ187" s="42"/>
      <c r="DK187" s="42"/>
      <c r="DL187" s="42"/>
      <c r="DM187" s="42"/>
      <c r="DN187" s="42"/>
      <c r="DO187" s="42"/>
      <c r="DP187" s="42"/>
      <c r="DQ187" s="42"/>
      <c r="DR187" s="42"/>
      <c r="DS187" s="42"/>
      <c r="DT187" s="42"/>
      <c r="DU187" s="42"/>
      <c r="DV187" s="42"/>
      <c r="DW187" s="42"/>
      <c r="DX187" s="42"/>
      <c r="DY187" s="42"/>
      <c r="DZ187" s="42"/>
      <c r="EA187" s="42"/>
      <c r="EB187" s="42"/>
      <c r="EC187" s="42"/>
      <c r="ED187" s="42"/>
      <c r="EE187" s="42"/>
      <c r="EF187" s="42"/>
      <c r="EG187" s="42"/>
      <c r="EH187" s="42"/>
      <c r="EI187" s="42"/>
      <c r="EJ187" s="42"/>
      <c r="EK187" s="42"/>
      <c r="EL187" s="42"/>
      <c r="EM187" s="42"/>
      <c r="EN187" s="42"/>
      <c r="EO187" s="42"/>
      <c r="EP187" s="42"/>
      <c r="EQ187" s="42"/>
      <c r="ER187" s="42"/>
      <c r="ES187" s="42"/>
      <c r="ET187" s="42"/>
      <c r="EU187" s="42"/>
      <c r="EV187" s="42"/>
      <c r="EW187" s="42"/>
      <c r="EX187" s="42"/>
      <c r="EY187" s="42"/>
      <c r="EZ187" s="42"/>
      <c r="FA187" s="42"/>
      <c r="FB187" s="42"/>
      <c r="FC187" s="42"/>
      <c r="FD187" s="42"/>
      <c r="FE187" s="42"/>
      <c r="FF187" s="42"/>
      <c r="FG187" s="42"/>
      <c r="FH187" s="42"/>
      <c r="FI187" s="42"/>
      <c r="FJ187" s="42"/>
      <c r="FK187" s="42"/>
      <c r="FL187" s="42"/>
      <c r="FM187" s="42"/>
      <c r="FN187" s="42"/>
      <c r="FO187" s="42"/>
      <c r="FP187" s="42"/>
      <c r="FQ187" s="42"/>
      <c r="FR187" s="42"/>
      <c r="FS187" s="42"/>
      <c r="FT187" s="42"/>
      <c r="FU187" s="42"/>
      <c r="FV187" s="42"/>
      <c r="FW187" s="42"/>
      <c r="FX187" s="42"/>
      <c r="FY187" s="42"/>
      <c r="FZ187" s="42"/>
      <c r="GA187" s="42"/>
      <c r="GB187" s="42"/>
      <c r="GC187" s="42"/>
      <c r="GD187" s="42"/>
      <c r="GE187" s="42"/>
      <c r="GF187" s="42"/>
      <c r="GG187" s="42"/>
      <c r="GH187" s="42"/>
      <c r="GI187" s="42"/>
      <c r="GJ187" s="42"/>
      <c r="GK187" s="42"/>
      <c r="GL187" s="42"/>
      <c r="GM187" s="42"/>
      <c r="GN187" s="42"/>
      <c r="GO187" s="42"/>
      <c r="GP187" s="42"/>
      <c r="GQ187" s="42"/>
      <c r="GR187" s="42"/>
      <c r="GS187" s="42"/>
      <c r="GT187" s="42"/>
      <c r="GU187" s="42"/>
      <c r="GV187" s="42"/>
      <c r="GW187" s="42"/>
      <c r="GX187" s="42"/>
    </row>
    <row r="188" spans="1:206" s="42" customFormat="1" x14ac:dyDescent="0.25">
      <c r="A188" s="80">
        <v>9</v>
      </c>
      <c r="B188" s="151" t="str">
        <f>线路!B185</f>
        <v>IP119</v>
      </c>
      <c r="C188" s="81">
        <f>线路!E185</f>
        <v>440925.67139999999</v>
      </c>
      <c r="D188" s="81">
        <f>线路!F185</f>
        <v>3034768.6543999999</v>
      </c>
      <c r="E188" s="85">
        <f>线路!G185</f>
        <v>10</v>
      </c>
      <c r="F188" s="85">
        <f>线路!H185</f>
        <v>32.463999999999999</v>
      </c>
      <c r="G188" s="86">
        <f>线路!L185</f>
        <v>20459.854177200526</v>
      </c>
      <c r="H188" s="86">
        <f>线路!M185</f>
        <v>20462.687195642364</v>
      </c>
      <c r="I188" s="86">
        <f>线路!N185</f>
        <v>20465.520214084201</v>
      </c>
      <c r="J188" s="83">
        <f t="shared" si="57"/>
        <v>5.6660368836746784</v>
      </c>
      <c r="K188" s="83">
        <f t="shared" si="67"/>
        <v>6.5813651269381808</v>
      </c>
      <c r="L188" s="83">
        <f>IF(A188=1,断面设计!$D$7,IF(A188=2,断面设计!$D$8,IF(A188=3,断面设计!$D$9,IF(A188=4,断面设计!$D$10,IF(A188=5,断面设计!$D$11,IF(A188=6,断面设计!$D$12,IF(A188=7,断面设计!$D$13,IF(A188=8,断面设计!$D$14,IF(A188=9,断面设计!$D$15,IF(A188=10,断面设计!$D$16))))))))))</f>
        <v>0.8</v>
      </c>
      <c r="M188" s="83">
        <f t="shared" si="68"/>
        <v>1.2</v>
      </c>
      <c r="N188" s="110">
        <f t="shared" si="74"/>
        <v>1.4999999999999999E-2</v>
      </c>
      <c r="O188" s="83">
        <f>IF(A188=1,断面设计!$J$7,IF(A188=2,断面设计!$J$8,IF(A188=3,断面设计!$J$9,IF(A188=4,断面设计!$J$10,IF(A188=5,断面设计!$J$11,IF(A188=6,断面设计!$J$12,IF(A188=7,断面设计!$J$13,IF(A188=8,断面设计!$J$14,IF(A188=9,断面设计!$J$15,IF(A188=10,断面设计!$J$16))))))))))</f>
        <v>5000</v>
      </c>
      <c r="P188" s="111">
        <f>IF(A188=1,断面设计!$K$7,IF(A188=2,断面设计!$K$8,IF(A188=3,断面设计!$K$9,IF(A188=4,断面设计!$K$10,IF(A188=5,断面设计!$K$11,IF(A188=6,断面设计!$K$12,IF(A188=7,断面设计!$K$13,IF(A188=8,断面设计!$K$14,IF(A188=9,断面设计!$K$15,IF(A188=10,断面设计!$K$16))))))))))</f>
        <v>1.2005650086383313</v>
      </c>
      <c r="Q188" s="110">
        <f>IF(A188=1,断面设计!$C$7,IF(A188=2,断面设计!$C$8,IF(A188=3,断面设计!$C$9,IF(A188=4,断面设计!$C$10,IF(A188=5,断面设计!$C$11,IF(A188=6,断面设计!$C$12,IF(A188=7,断面设计!$C$13,IF(A188=8,断面设计!$C$14,IF(A188=9,断面设计!$C$15,IF(A188=10,断面设计!$C$16))))))))))</f>
        <v>0.999</v>
      </c>
      <c r="R188" s="83">
        <f>IF(A188=1,断面设计!$F$7,IF(A188=2,断面设计!$F$8,IF(A188=3,断面设计!$F$9,IF(A188=4,断面设计!$F$10,IF(A188=5,断面设计!$F$11,IF(A188=6,断面设计!$F$12,IF(A188=7,断面设计!$F$13,IF(A188=8,断面设计!$F$14,IF(A188=9,断面设计!$F$15,IF(A188=10,断面设计!$F$16))))))))))</f>
        <v>1.9968011999999999</v>
      </c>
      <c r="S188" s="83">
        <f>IF(A188=1,断面设计!$G$7,IF(A188=2,断面设计!$G$8,IF(A188=3,断面设计!$G$9,IF(A188=4,断面设计!$G$10,IF(A188=5,断面设计!$G$11,IF(A188=6,断面设计!$G$12,IF(A188=7,断面设计!$G$13,IF(A188=8,断面设计!$G$14,IF(A188=9,断面设计!$G$15,IF(A188=10,断面设计!$G$16))))))))))</f>
        <v>3.9209757704922987</v>
      </c>
      <c r="T188" s="83">
        <f t="shared" si="69"/>
        <v>0.50926129537120068</v>
      </c>
      <c r="U188" s="83">
        <f t="shared" si="70"/>
        <v>0.60124413418738498</v>
      </c>
      <c r="V188" s="123">
        <f t="shared" si="76"/>
        <v>5.3191322646942878E-4</v>
      </c>
      <c r="W188" s="191"/>
      <c r="X188" s="110">
        <f>IF(AN188=0,IF(AN187=2,(H188-H187-AE187)/O188,(H188-H187)/O188),IF(AN188=1,IF(AN187=2,IF(AE188&lt;9,(H188-H187-AE188-AE187)/断面设计!$J$7,(H188-H187-AE188-AE187)/断面设计!$J$7),(H188-H187-AE188)/O187),(H188-H187)/O188))</f>
        <v>1.3162730253876362E-3</v>
      </c>
      <c r="Y188" s="133">
        <v>0</v>
      </c>
      <c r="Z188" s="134">
        <f t="shared" si="75"/>
        <v>0</v>
      </c>
      <c r="AA188" s="194"/>
      <c r="AB188" s="133">
        <f t="shared" si="58"/>
        <v>0.999</v>
      </c>
      <c r="AC188" s="110">
        <f t="shared" si="59"/>
        <v>1.8481862518570651E-3</v>
      </c>
      <c r="AD188" s="110">
        <f t="shared" ca="1" si="71"/>
        <v>2374.5480273087078</v>
      </c>
      <c r="AE188" s="82">
        <v>0</v>
      </c>
      <c r="AF188" s="191"/>
      <c r="AG188" s="191"/>
      <c r="AH188" s="110">
        <f t="shared" ca="1" si="61"/>
        <v>2374.5491258256225</v>
      </c>
      <c r="AI188" s="110">
        <f t="shared" ca="1" si="62"/>
        <v>2373.5501258256227</v>
      </c>
      <c r="AJ188" s="110">
        <f t="shared" ca="1" si="63"/>
        <v>2374.5474607050196</v>
      </c>
      <c r="AK188" s="110">
        <f t="shared" ca="1" si="64"/>
        <v>2373.5484607050198</v>
      </c>
      <c r="AL188" s="110">
        <f t="shared" ca="1" si="65"/>
        <v>2374.5482932653208</v>
      </c>
      <c r="AM188" s="110">
        <f t="shared" ca="1" si="66"/>
        <v>2373.549293265321</v>
      </c>
      <c r="AN188" s="127"/>
      <c r="AO188" s="80">
        <v>0</v>
      </c>
      <c r="AP188" s="63"/>
      <c r="AQ188" s="127"/>
      <c r="AR188" s="162" t="s">
        <v>710</v>
      </c>
      <c r="AU188" s="64" t="str">
        <f t="shared" ca="1" si="73"/>
        <v>20462.6871956424,2373.54929326532</v>
      </c>
      <c r="AV188" s="64" t="str">
        <f t="shared" ca="1" si="80"/>
        <v>20462.6871956424,2374.54829326532</v>
      </c>
      <c r="AW188" s="169" t="str">
        <f t="shared" si="81"/>
        <v xml:space="preserve">pl 20462.6871956424,0 20462.6871956424,76 </v>
      </c>
      <c r="AX188" s="161" t="str">
        <f t="shared" ca="1" si="77"/>
        <v>-text 20462.6871956424,48 3.5 90 2373.549</v>
      </c>
      <c r="AY188" s="161" t="str">
        <f t="shared" ca="1" si="78"/>
        <v>-text 20462.6871956424,62.5 3.5 90 2374.548</v>
      </c>
      <c r="AZ188" s="42" t="str">
        <f t="shared" si="79"/>
        <v>-text 20462.6871956424,23.5 3.5 90 马分20+462.69</v>
      </c>
    </row>
    <row r="189" spans="1:206" s="57" customFormat="1" ht="24" customHeight="1" x14ac:dyDescent="0.25">
      <c r="A189" s="102">
        <v>9</v>
      </c>
      <c r="B189" s="187" t="str">
        <f>线路!B186</f>
        <v>梅雨三支渠节制闸(九流量段末)</v>
      </c>
      <c r="C189" s="89">
        <f>线路!E186</f>
        <v>440915.00760000001</v>
      </c>
      <c r="D189" s="89">
        <f>线路!F186</f>
        <v>3034754.5827000001</v>
      </c>
      <c r="E189" s="90">
        <f>线路!G186</f>
        <v>0</v>
      </c>
      <c r="F189" s="90">
        <f>线路!H186</f>
        <v>1E-3</v>
      </c>
      <c r="G189" s="91">
        <f>线路!L186</f>
        <v>20480.264747473342</v>
      </c>
      <c r="H189" s="91">
        <f>线路!M186</f>
        <v>20480.264747473342</v>
      </c>
      <c r="I189" s="91">
        <f>线路!N186</f>
        <v>20480.264747473342</v>
      </c>
      <c r="J189" s="112">
        <f t="shared" si="57"/>
        <v>0</v>
      </c>
      <c r="K189" s="112">
        <f t="shared" si="67"/>
        <v>17.577551830978337</v>
      </c>
      <c r="L189" s="112">
        <f>IF(A189=1,断面设计!$D$7,IF(A189=2,断面设计!$D$8,IF(A189=3,断面设计!$D$9,IF(A189=4,断面设计!$D$10,IF(A189=5,断面设计!$D$11,IF(A189=6,断面设计!$D$12,IF(A189=7,断面设计!$D$13,IF(A189=8,断面设计!$D$14,IF(A189=9,断面设计!$D$15,IF(A189=10,断面设计!$D$16))))))))))</f>
        <v>0.8</v>
      </c>
      <c r="M189" s="112">
        <f t="shared" si="68"/>
        <v>1.2</v>
      </c>
      <c r="N189" s="113">
        <f t="shared" si="74"/>
        <v>1.4999999999999999E-2</v>
      </c>
      <c r="O189" s="112">
        <f>IF(A189=1,断面设计!$J$7,IF(A189=2,断面设计!$J$8,IF(A189=3,断面设计!$J$9,IF(A189=4,断面设计!$J$10,IF(A189=5,断面设计!$J$11,IF(A189=6,断面设计!$J$12,IF(A189=7,断面设计!$J$13,IF(A189=8,断面设计!$J$14,IF(A189=9,断面设计!$J$15,IF(A189=10,断面设计!$J$16))))))))))</f>
        <v>5000</v>
      </c>
      <c r="P189" s="114">
        <f>IF(A189=1,断面设计!$K$7,IF(A189=2,断面设计!$K$8,IF(A189=3,断面设计!$K$9,IF(A189=4,断面设计!$K$10,IF(A189=5,断面设计!$K$11,IF(A189=6,断面设计!$K$12,IF(A189=7,断面设计!$K$13,IF(A189=8,断面设计!$K$14,IF(A189=9,断面设计!$K$15,IF(A189=10,断面设计!$K$16))))))))))</f>
        <v>1.2005650086383313</v>
      </c>
      <c r="Q189" s="113">
        <f>IF(A189=1,断面设计!$C$7,IF(A189=2,断面设计!$C$8,IF(A189=3,断面设计!$C$9,IF(A189=4,断面设计!$C$10,IF(A189=5,断面设计!$C$11,IF(A189=6,断面设计!$C$12,IF(A189=7,断面设计!$C$13,IF(A189=8,断面设计!$C$14,IF(A189=9,断面设计!$C$15,IF(A189=10,断面设计!$C$16))))))))))</f>
        <v>0.999</v>
      </c>
      <c r="R189" s="112">
        <f>IF(A189=1,断面设计!$F$7,IF(A189=2,断面设计!$F$8,IF(A189=3,断面设计!$F$9,IF(A189=4,断面设计!$F$10,IF(A189=5,断面设计!$F$11,IF(A189=6,断面设计!$F$12,IF(A189=7,断面设计!$F$13,IF(A189=8,断面设计!$F$14,IF(A189=9,断面设计!$F$15,IF(A189=10,断面设计!$F$16))))))))))</f>
        <v>1.9968011999999999</v>
      </c>
      <c r="S189" s="112">
        <f>IF(A189=1,断面设计!$G$7,IF(A189=2,断面设计!$G$8,IF(A189=3,断面设计!$G$9,IF(A189=4,断面设计!$G$10,IF(A189=5,断面设计!$G$11,IF(A189=6,断面设计!$G$12,IF(A189=7,断面设计!$G$13,IF(A189=8,断面设计!$G$14,IF(A189=9,断面设计!$G$15,IF(A189=10,断面设计!$G$16))))))))))</f>
        <v>3.9209757704922987</v>
      </c>
      <c r="T189" s="112">
        <f t="shared" si="69"/>
        <v>0.50926129537120068</v>
      </c>
      <c r="U189" s="112">
        <f t="shared" si="70"/>
        <v>0.60124413418738498</v>
      </c>
      <c r="V189" s="124"/>
      <c r="W189" s="192"/>
      <c r="X189" s="113">
        <f>IF(AN189=0,IF(AN188=2,(H189-H188-AE188)/O189,(H189-H188)/O189),IF(AN189=1,IF(AN188=2,IF(AE189&lt;9,(H189-H188-AE189-AE188)/断面设计!$J$7,(H189-H188-AE189-AE188)/断面设计!$J$7),(H189-H188-AE189)/O188),(H189-H188)/O189))</f>
        <v>3.5155103661956674E-3</v>
      </c>
      <c r="Y189" s="136">
        <v>0</v>
      </c>
      <c r="Z189" s="137">
        <f t="shared" si="75"/>
        <v>0</v>
      </c>
      <c r="AA189" s="148">
        <v>0.05</v>
      </c>
      <c r="AB189" s="136">
        <f t="shared" si="58"/>
        <v>0.999</v>
      </c>
      <c r="AC189" s="113">
        <f t="shared" si="59"/>
        <v>5.3515510366195673E-2</v>
      </c>
      <c r="AD189" s="113">
        <f t="shared" ca="1" si="71"/>
        <v>2374.4945117983416</v>
      </c>
      <c r="AE189" s="138">
        <v>0</v>
      </c>
      <c r="AF189" s="192"/>
      <c r="AG189" s="192"/>
      <c r="AH189" s="113" t="str">
        <f t="shared" si="61"/>
        <v xml:space="preserve"> </v>
      </c>
      <c r="AI189" s="113" t="str">
        <f t="shared" si="62"/>
        <v xml:space="preserve"> </v>
      </c>
      <c r="AJ189" s="113" t="str">
        <f t="shared" si="63"/>
        <v xml:space="preserve"> </v>
      </c>
      <c r="AK189" s="113" t="str">
        <f t="shared" si="64"/>
        <v xml:space="preserve"> </v>
      </c>
      <c r="AL189" s="113">
        <f t="shared" ca="1" si="65"/>
        <v>2374.4945117983416</v>
      </c>
      <c r="AM189" s="113">
        <f t="shared" ca="1" si="66"/>
        <v>2373.4955117983418</v>
      </c>
      <c r="AN189" s="128"/>
      <c r="AO189" s="102">
        <v>0</v>
      </c>
      <c r="AP189" s="63"/>
      <c r="AQ189" s="162" t="s">
        <v>713</v>
      </c>
      <c r="AR189" s="127">
        <v>2374.5</v>
      </c>
      <c r="AS189" s="42"/>
      <c r="AT189" s="42"/>
      <c r="AU189" s="64" t="str">
        <f t="shared" ca="1" si="73"/>
        <v>20480.2647474733,2373.49551179834</v>
      </c>
      <c r="AV189" s="64" t="str">
        <f t="shared" ca="1" si="80"/>
        <v>20480.2647474733,2374.49451179834</v>
      </c>
      <c r="AW189" s="169" t="str">
        <f t="shared" si="81"/>
        <v xml:space="preserve">pl 20480.2647474733,0 20480.2647474733,76 </v>
      </c>
      <c r="AX189" s="161" t="str">
        <f t="shared" ca="1" si="77"/>
        <v>-text 20480.2647474733,48 3.5 90 2373.496</v>
      </c>
      <c r="AY189" s="161" t="str">
        <f t="shared" ca="1" si="78"/>
        <v>-text 20480.2647474733,62.5 3.5 90 2374.495</v>
      </c>
      <c r="AZ189" s="42" t="str">
        <f t="shared" si="79"/>
        <v>-text 20480.2647474733,23.5 3.5 90 马分20+480.26</v>
      </c>
      <c r="BA189" s="42"/>
      <c r="BB189" s="42"/>
      <c r="BC189" s="42"/>
      <c r="BD189" s="42"/>
      <c r="BE189" s="42"/>
      <c r="BF189" s="42"/>
      <c r="BG189" s="42"/>
      <c r="BH189" s="42"/>
      <c r="BI189" s="42"/>
      <c r="BJ189" s="42"/>
      <c r="BK189" s="42"/>
      <c r="BL189" s="42"/>
      <c r="BM189" s="42"/>
      <c r="BN189" s="42"/>
      <c r="BO189" s="42"/>
      <c r="BP189" s="42"/>
      <c r="BQ189" s="42"/>
      <c r="BR189" s="42"/>
      <c r="BS189" s="42"/>
      <c r="BT189" s="42"/>
      <c r="BU189" s="42"/>
      <c r="BV189" s="42"/>
      <c r="BW189" s="42"/>
      <c r="BX189" s="42"/>
      <c r="BY189" s="42"/>
      <c r="BZ189" s="42"/>
      <c r="CA189" s="42"/>
      <c r="CB189" s="42"/>
      <c r="CC189" s="42"/>
      <c r="CD189" s="42"/>
      <c r="CE189" s="42"/>
      <c r="CF189" s="42"/>
      <c r="CG189" s="42"/>
      <c r="CH189" s="42"/>
      <c r="CI189" s="42"/>
      <c r="CJ189" s="42"/>
      <c r="CK189" s="42"/>
      <c r="CL189" s="42"/>
      <c r="CM189" s="42"/>
      <c r="CN189" s="42"/>
      <c r="CO189" s="42"/>
      <c r="CP189" s="42"/>
      <c r="CQ189" s="42"/>
      <c r="CR189" s="42"/>
      <c r="CS189" s="42"/>
      <c r="CT189" s="42"/>
      <c r="CU189" s="42"/>
      <c r="CV189" s="42"/>
      <c r="CW189" s="42"/>
      <c r="CX189" s="42"/>
      <c r="CY189" s="42"/>
      <c r="CZ189" s="42"/>
      <c r="DA189" s="42"/>
      <c r="DB189" s="42"/>
      <c r="DC189" s="42"/>
      <c r="DD189" s="42"/>
      <c r="DE189" s="42"/>
      <c r="DF189" s="42"/>
      <c r="DG189" s="42"/>
      <c r="DH189" s="42"/>
      <c r="DI189" s="42"/>
      <c r="DJ189" s="42"/>
      <c r="DK189" s="42"/>
      <c r="DL189" s="42"/>
      <c r="DM189" s="42"/>
      <c r="DN189" s="42"/>
      <c r="DO189" s="42"/>
      <c r="DP189" s="42"/>
      <c r="DQ189" s="42"/>
      <c r="DR189" s="42"/>
      <c r="DS189" s="42"/>
      <c r="DT189" s="42"/>
      <c r="DU189" s="42"/>
      <c r="DV189" s="42"/>
      <c r="DW189" s="42"/>
      <c r="DX189" s="42"/>
      <c r="DY189" s="42"/>
      <c r="DZ189" s="42"/>
      <c r="EA189" s="42"/>
      <c r="EB189" s="42"/>
      <c r="EC189" s="42"/>
      <c r="ED189" s="42"/>
      <c r="EE189" s="42"/>
      <c r="EF189" s="42"/>
      <c r="EG189" s="42"/>
      <c r="EH189" s="42"/>
      <c r="EI189" s="42"/>
      <c r="EJ189" s="42"/>
      <c r="EK189" s="42"/>
      <c r="EL189" s="42"/>
      <c r="EM189" s="42"/>
      <c r="EN189" s="42"/>
      <c r="EO189" s="42"/>
      <c r="EP189" s="42"/>
      <c r="EQ189" s="42"/>
      <c r="ER189" s="42"/>
      <c r="ES189" s="42"/>
      <c r="ET189" s="42"/>
      <c r="EU189" s="42"/>
      <c r="EV189" s="42"/>
      <c r="EW189" s="42"/>
      <c r="EX189" s="42"/>
      <c r="EY189" s="42"/>
      <c r="EZ189" s="42"/>
      <c r="FA189" s="42"/>
      <c r="FB189" s="42"/>
      <c r="FC189" s="42"/>
      <c r="FD189" s="42"/>
      <c r="FE189" s="42"/>
      <c r="FF189" s="42"/>
      <c r="FG189" s="42"/>
      <c r="FH189" s="42"/>
      <c r="FI189" s="42"/>
      <c r="FJ189" s="42"/>
      <c r="FK189" s="42"/>
      <c r="FL189" s="42"/>
      <c r="FM189" s="42"/>
      <c r="FN189" s="42"/>
      <c r="FO189" s="42"/>
      <c r="FP189" s="42"/>
      <c r="FQ189" s="42"/>
      <c r="FR189" s="42"/>
      <c r="FS189" s="42"/>
      <c r="FT189" s="42"/>
      <c r="FU189" s="42"/>
      <c r="FV189" s="42"/>
      <c r="FW189" s="42"/>
      <c r="FX189" s="42"/>
      <c r="FY189" s="42"/>
      <c r="FZ189" s="42"/>
      <c r="GA189" s="42"/>
      <c r="GB189" s="42"/>
      <c r="GC189" s="42"/>
      <c r="GD189" s="42"/>
      <c r="GE189" s="42"/>
      <c r="GF189" s="42"/>
      <c r="GG189" s="42"/>
      <c r="GH189" s="42"/>
      <c r="GI189" s="42"/>
      <c r="GJ189" s="42"/>
      <c r="GK189" s="42"/>
      <c r="GL189" s="42"/>
      <c r="GM189" s="42"/>
      <c r="GN189" s="42"/>
      <c r="GO189" s="42"/>
      <c r="GP189" s="42"/>
      <c r="GQ189" s="42"/>
      <c r="GR189" s="42"/>
      <c r="GS189" s="42"/>
      <c r="GT189" s="42"/>
      <c r="GU189" s="42"/>
      <c r="GV189" s="42"/>
      <c r="GW189" s="42"/>
      <c r="GX189" s="42"/>
    </row>
    <row r="190" spans="1:206" s="58" customFormat="1" x14ac:dyDescent="0.25">
      <c r="A190" s="180">
        <v>10</v>
      </c>
      <c r="B190" s="188" t="str">
        <f>线路!B187</f>
        <v>8#隧洞进</v>
      </c>
      <c r="C190" s="172">
        <f>线路!E187</f>
        <v>440907.25760000001</v>
      </c>
      <c r="D190" s="172">
        <f>线路!F187</f>
        <v>3034744.3557000002</v>
      </c>
      <c r="E190" s="173">
        <f>线路!G187</f>
        <v>0</v>
      </c>
      <c r="F190" s="173">
        <f>线路!H187</f>
        <v>1E-3</v>
      </c>
      <c r="G190" s="174">
        <f>线路!L187</f>
        <v>20493.096506082322</v>
      </c>
      <c r="H190" s="174">
        <f>线路!M187</f>
        <v>20493.096506082322</v>
      </c>
      <c r="I190" s="174">
        <f>线路!N187</f>
        <v>20493.096506082322</v>
      </c>
      <c r="J190" s="175">
        <f t="shared" si="57"/>
        <v>0</v>
      </c>
      <c r="K190" s="175">
        <f t="shared" si="67"/>
        <v>12.831758608979726</v>
      </c>
      <c r="L190" s="175">
        <f>IF(A190=1,断面设计!$D$7,IF(A190=2,断面设计!$D$8,IF(A190=3,断面设计!$D$9,IF(A190=4,断面设计!$D$10,IF(A190=5,断面设计!$D$11,IF(A190=6,断面设计!$D$12,IF(A190=7,断面设计!$D$13,IF(A190=8,断面设计!$D$14,IF(A190=9,断面设计!$D$15,IF(A190=10,断面设计!$D$16))))))))))</f>
        <v>0.8</v>
      </c>
      <c r="M190" s="175">
        <f t="shared" si="68"/>
        <v>0</v>
      </c>
      <c r="N190" s="176">
        <f t="shared" si="74"/>
        <v>1.4E-2</v>
      </c>
      <c r="O190" s="175">
        <f>IF(A190=5,断面设计!$O$37,IF(A190=6,断面设计!$O$38,IF(A190=7,断面设计!$O$39,IF(A190=9,断面设计!$O$40,IF(A190=10,断面设计!$O$41)))))</f>
        <v>2000</v>
      </c>
      <c r="P190" s="177">
        <f>IF(A190=1,断面设计!$K$7,IF(A190=2,断面设计!$K$8,IF(A190=3,断面设计!$K$9,IF(A190=4,断面设计!$K$10,IF(A190=5,断面设计!$K$11,IF(A190=6,断面设计!$K$12,IF(A190=7,断面设计!$K$13,IF(A190=8,断面设计!$K$14,IF(A190=9,断面设计!$K$15,IF(A190=10,断面设计!$K$16))))))))))</f>
        <v>0.35970390654561929</v>
      </c>
      <c r="Q190" s="176">
        <f>IF(A190=5,断面设计!$C$37,IF(A190=6,断面设计!$C$38,IF(A190=7,断面设计!$C$39,IF(A190=9,断面设计!$C$40,IF(A190=10,断面设计!$C$41)))))</f>
        <v>0.32526259717275602</v>
      </c>
      <c r="R190" s="175">
        <f>IF(A190=5,断面设计!$K$37,IF(A190=6,断面设计!$K$38,IF(A190=7,断面设计!$K$39,IF(A190=9,断面设计!$K$40,IF(A190=10,断面设计!$K$41)))))</f>
        <v>0.58547267491096089</v>
      </c>
      <c r="S190" s="175">
        <f>IF(A190=5,断面设计!$L$37,IF(A190=6,断面设计!$L$38,IF(A190=7,断面设计!$L$39,IF(A190=9,断面设计!$L$40,IF(A190=10,断面设计!$L$41)))))</f>
        <v>2.450525194345512</v>
      </c>
      <c r="T190" s="175">
        <f t="shared" si="69"/>
        <v>0.23891722323929396</v>
      </c>
      <c r="U190" s="175">
        <f t="shared" si="70"/>
        <v>0.61438205736983942</v>
      </c>
      <c r="V190" s="179"/>
      <c r="W190" s="176">
        <f>1.15*(U190^2/2-U189^2/2)/9.81</f>
        <v>9.361072401502128E-4</v>
      </c>
      <c r="X190" s="176">
        <f>IF(AN190=0,IF(AN189=2,(H190-H189-AE189)/O190,(H190-H189)/O190),IF(AN190=1,IF(AN189=2,IF(AE190&lt;9,(H190-H189-AE190-AE189)/断面设计!$J$7,(H190-H189-AE190-AE189)/断面设计!$J$7),(H190-H189-AE190)/O189),(H190-H189)/O190))</f>
        <v>2.166351721795945E-3</v>
      </c>
      <c r="Y190" s="181">
        <v>0</v>
      </c>
      <c r="Z190" s="182">
        <f t="shared" si="75"/>
        <v>0</v>
      </c>
      <c r="AA190" s="195"/>
      <c r="AB190" s="181">
        <f t="shared" si="58"/>
        <v>0.32526259717275602</v>
      </c>
      <c r="AC190" s="176">
        <f t="shared" si="59"/>
        <v>3.1024589619461579E-3</v>
      </c>
      <c r="AD190" s="176">
        <f t="shared" ca="1" si="71"/>
        <v>2374.4914093393795</v>
      </c>
      <c r="AE190" s="183">
        <v>2</v>
      </c>
      <c r="AF190" s="176">
        <f t="shared" ref="AF190:AF191" ca="1" si="82">IF(AE190=0," ",IF(AN190=1,AD190+W190,AD190))</f>
        <v>2374.4923454466198</v>
      </c>
      <c r="AG190" s="176">
        <f ca="1">IF(AE190=0," ",AF190-断面设计!$C$7)</f>
        <v>2372.8923996102199</v>
      </c>
      <c r="AH190" s="176" t="str">
        <f t="shared" si="61"/>
        <v xml:space="preserve"> </v>
      </c>
      <c r="AI190" s="176" t="str">
        <f t="shared" si="62"/>
        <v xml:space="preserve"> </v>
      </c>
      <c r="AJ190" s="176" t="str">
        <f t="shared" si="63"/>
        <v xml:space="preserve"> </v>
      </c>
      <c r="AK190" s="176" t="str">
        <f t="shared" si="64"/>
        <v xml:space="preserve"> </v>
      </c>
      <c r="AL190" s="176">
        <f t="shared" ca="1" si="65"/>
        <v>2374.4914093393795</v>
      </c>
      <c r="AM190" s="176">
        <f t="shared" ca="1" si="66"/>
        <v>2374.1661467422068</v>
      </c>
      <c r="AN190" s="180">
        <v>1</v>
      </c>
      <c r="AO190" s="170">
        <v>1</v>
      </c>
      <c r="AP190" s="63"/>
      <c r="AQ190" s="42"/>
      <c r="AR190" s="42"/>
      <c r="AS190" s="42"/>
      <c r="AT190" s="42"/>
      <c r="AU190" s="64" t="str">
        <f t="shared" ca="1" si="73"/>
        <v>20493.0965060823,2374.16614674221</v>
      </c>
      <c r="AV190" s="64" t="str">
        <f t="shared" ca="1" si="80"/>
        <v>20493.0965060823,2374.49140933938</v>
      </c>
      <c r="AW190" s="169" t="str">
        <f t="shared" si="81"/>
        <v xml:space="preserve">pl 20493.0965060823,0 20493.0965060823,76 </v>
      </c>
      <c r="AX190" s="161" t="str">
        <f t="shared" ca="1" si="77"/>
        <v>-text 20493.0965060823,48 3.5 90 2374.166</v>
      </c>
      <c r="AY190" s="161" t="str">
        <f t="shared" ca="1" si="78"/>
        <v>-text 20493.0965060823,62.5 3.5 90 2374.491</v>
      </c>
      <c r="AZ190" s="42" t="str">
        <f t="shared" si="79"/>
        <v>-text 20493.0965060823,23.5 3.5 90 马分20+493.10</v>
      </c>
      <c r="BA190" s="42"/>
      <c r="BB190" s="42"/>
      <c r="BC190" s="42"/>
      <c r="BD190" s="42"/>
      <c r="BE190" s="42"/>
      <c r="BF190" s="42"/>
      <c r="BG190" s="42"/>
      <c r="BH190" s="42"/>
      <c r="BI190" s="42"/>
      <c r="BJ190" s="42"/>
      <c r="BK190" s="42"/>
      <c r="BL190" s="42"/>
      <c r="BM190" s="42"/>
      <c r="BN190" s="42"/>
      <c r="BO190" s="42"/>
      <c r="BP190" s="42"/>
      <c r="BQ190" s="42"/>
      <c r="BR190" s="42"/>
      <c r="BS190" s="42"/>
      <c r="BT190" s="42"/>
      <c r="BU190" s="42"/>
      <c r="BV190" s="42"/>
      <c r="BW190" s="42"/>
      <c r="BX190" s="42"/>
      <c r="BY190" s="42"/>
      <c r="BZ190" s="42"/>
      <c r="CA190" s="42"/>
      <c r="CB190" s="42"/>
      <c r="CC190" s="42"/>
      <c r="CD190" s="42"/>
      <c r="CE190" s="42"/>
      <c r="CF190" s="42"/>
      <c r="CG190" s="42"/>
      <c r="CH190" s="42"/>
      <c r="CI190" s="42"/>
      <c r="CJ190" s="42"/>
      <c r="CK190" s="42"/>
      <c r="CL190" s="42"/>
      <c r="CM190" s="42"/>
      <c r="CN190" s="42"/>
      <c r="CO190" s="42"/>
      <c r="CP190" s="42"/>
      <c r="CQ190" s="42"/>
      <c r="CR190" s="42"/>
      <c r="CS190" s="42"/>
      <c r="CT190" s="42"/>
      <c r="CU190" s="42"/>
      <c r="CV190" s="42"/>
      <c r="CW190" s="42"/>
      <c r="CX190" s="42"/>
      <c r="CY190" s="42"/>
      <c r="CZ190" s="42"/>
      <c r="DA190" s="42"/>
      <c r="DB190" s="42"/>
      <c r="DC190" s="42"/>
      <c r="DD190" s="42"/>
      <c r="DE190" s="42"/>
      <c r="DF190" s="42"/>
      <c r="DG190" s="42"/>
      <c r="DH190" s="42"/>
      <c r="DI190" s="42"/>
      <c r="DJ190" s="42"/>
      <c r="DK190" s="42"/>
      <c r="DL190" s="42"/>
      <c r="DM190" s="42"/>
      <c r="DN190" s="42"/>
      <c r="DO190" s="42"/>
      <c r="DP190" s="42"/>
      <c r="DQ190" s="42"/>
      <c r="DR190" s="42"/>
      <c r="DS190" s="42"/>
      <c r="DT190" s="42"/>
      <c r="DU190" s="42"/>
      <c r="DV190" s="42"/>
      <c r="DW190" s="42"/>
      <c r="DX190" s="42"/>
      <c r="DY190" s="42"/>
      <c r="DZ190" s="42"/>
      <c r="EA190" s="42"/>
      <c r="EB190" s="42"/>
      <c r="EC190" s="42"/>
      <c r="ED190" s="42"/>
      <c r="EE190" s="42"/>
      <c r="EF190" s="42"/>
      <c r="EG190" s="42"/>
      <c r="EH190" s="42"/>
      <c r="EI190" s="42"/>
      <c r="EJ190" s="42"/>
      <c r="EK190" s="42"/>
      <c r="EL190" s="42"/>
      <c r="EM190" s="42"/>
      <c r="EN190" s="42"/>
      <c r="EO190" s="42"/>
      <c r="EP190" s="42"/>
      <c r="EQ190" s="42"/>
      <c r="ER190" s="42"/>
      <c r="ES190" s="42"/>
      <c r="ET190" s="42"/>
      <c r="EU190" s="42"/>
      <c r="EV190" s="42"/>
      <c r="EW190" s="42"/>
      <c r="EX190" s="42"/>
      <c r="EY190" s="42"/>
      <c r="EZ190" s="42"/>
      <c r="FA190" s="42"/>
      <c r="FB190" s="42"/>
      <c r="FC190" s="42"/>
      <c r="FD190" s="42"/>
      <c r="FE190" s="42"/>
      <c r="FF190" s="42"/>
      <c r="FG190" s="42"/>
      <c r="FH190" s="42"/>
      <c r="FI190" s="42"/>
      <c r="FJ190" s="42"/>
      <c r="FK190" s="42"/>
      <c r="FL190" s="42"/>
      <c r="FM190" s="42"/>
      <c r="FN190" s="42"/>
      <c r="FO190" s="42"/>
      <c r="FP190" s="42"/>
      <c r="FQ190" s="42"/>
      <c r="FR190" s="42"/>
      <c r="FS190" s="42"/>
      <c r="FT190" s="42"/>
      <c r="FU190" s="42"/>
      <c r="FV190" s="42"/>
      <c r="FW190" s="42"/>
      <c r="FX190" s="42"/>
      <c r="FY190" s="42"/>
      <c r="FZ190" s="42"/>
      <c r="GA190" s="42"/>
      <c r="GB190" s="42"/>
      <c r="GC190" s="42"/>
      <c r="GD190" s="42"/>
      <c r="GE190" s="42"/>
      <c r="GF190" s="42"/>
      <c r="GG190" s="42"/>
      <c r="GH190" s="42"/>
      <c r="GI190" s="42"/>
      <c r="GJ190" s="42"/>
      <c r="GK190" s="42"/>
      <c r="GL190" s="42"/>
      <c r="GM190" s="42"/>
      <c r="GN190" s="42"/>
      <c r="GO190" s="42"/>
      <c r="GP190" s="42"/>
      <c r="GQ190" s="42"/>
      <c r="GR190" s="42"/>
      <c r="GS190" s="42"/>
      <c r="GT190" s="42"/>
      <c r="GU190" s="42"/>
      <c r="GV190" s="42"/>
      <c r="GW190" s="42"/>
      <c r="GX190" s="42"/>
    </row>
    <row r="191" spans="1:206" s="58" customFormat="1" x14ac:dyDescent="0.25">
      <c r="A191" s="180">
        <v>10</v>
      </c>
      <c r="B191" s="188" t="str">
        <f>线路!B188</f>
        <v>8#隧洞出</v>
      </c>
      <c r="C191" s="172">
        <f>线路!E188</f>
        <v>440736.21899999998</v>
      </c>
      <c r="D191" s="172">
        <f>线路!F188</f>
        <v>3034518.6553000002</v>
      </c>
      <c r="E191" s="173">
        <f>线路!G188</f>
        <v>0</v>
      </c>
      <c r="F191" s="173">
        <f>线路!H188</f>
        <v>0</v>
      </c>
      <c r="G191" s="174">
        <f>线路!L188</f>
        <v>20776.283499516197</v>
      </c>
      <c r="H191" s="174">
        <f>线路!M188</f>
        <v>20776.283499516197</v>
      </c>
      <c r="I191" s="174">
        <f>线路!N188</f>
        <v>20776.283499516197</v>
      </c>
      <c r="J191" s="175">
        <f t="shared" si="57"/>
        <v>0</v>
      </c>
      <c r="K191" s="175">
        <f t="shared" si="67"/>
        <v>283.18699343387561</v>
      </c>
      <c r="L191" s="175">
        <f>IF(A191=1,断面设计!$D$7,IF(A191=2,断面设计!$D$8,IF(A191=3,断面设计!$D$9,IF(A191=4,断面设计!$D$10,IF(A191=5,断面设计!$D$11,IF(A191=6,断面设计!$D$12,IF(A191=7,断面设计!$D$13,IF(A191=8,断面设计!$D$14,IF(A191=9,断面设计!$D$15,IF(A191=10,断面设计!$D$16))))))))))</f>
        <v>0.8</v>
      </c>
      <c r="M191" s="175">
        <f t="shared" si="68"/>
        <v>0</v>
      </c>
      <c r="N191" s="176">
        <f t="shared" si="74"/>
        <v>1.4E-2</v>
      </c>
      <c r="O191" s="175">
        <f>IF(A191=5,断面设计!$O$37,IF(A191=6,断面设计!$O$38,IF(A191=7,断面设计!$O$39,IF(A191=9,断面设计!$O$40,IF(A191=10,断面设计!$O$41)))))</f>
        <v>2000</v>
      </c>
      <c r="P191" s="177">
        <f>IF(A191=1,断面设计!$K$7,IF(A191=2,断面设计!$K$8,IF(A191=3,断面设计!$K$9,IF(A191=4,断面设计!$K$10,IF(A191=5,断面设计!$K$11,IF(A191=6,断面设计!$K$12,IF(A191=7,断面设计!$K$13,IF(A191=8,断面设计!$K$14,IF(A191=9,断面设计!$K$15,IF(A191=10,断面设计!$K$16))))))))))</f>
        <v>0.35970390654561929</v>
      </c>
      <c r="Q191" s="176">
        <f>IF(A191=5,断面设计!$C$37,IF(A191=6,断面设计!$C$38,IF(A191=7,断面设计!$C$39,IF(A191=9,断面设计!$C$40,IF(A191=10,断面设计!$C$41)))))</f>
        <v>0.32526259717275602</v>
      </c>
      <c r="R191" s="175">
        <f>IF(A191=5,断面设计!$K$37,IF(A191=6,断面设计!$K$38,IF(A191=7,断面设计!$K$39,IF(A191=9,断面设计!$K$40,IF(A191=10,断面设计!$K$41)))))</f>
        <v>0.58547267491096089</v>
      </c>
      <c r="S191" s="175">
        <f>IF(A191=5,断面设计!$L$37,IF(A191=6,断面设计!$L$38,IF(A191=7,断面设计!$L$39,IF(A191=9,断面设计!$L$40,IF(A191=10,断面设计!$L$41)))))</f>
        <v>2.450525194345512</v>
      </c>
      <c r="T191" s="175">
        <f t="shared" si="69"/>
        <v>0.23891722323929396</v>
      </c>
      <c r="U191" s="175">
        <f t="shared" si="70"/>
        <v>0.61438205736983942</v>
      </c>
      <c r="V191" s="179"/>
      <c r="W191" s="176">
        <f>-0.6*(U191^2/2-U192^2/2)/9.81</f>
        <v>-5.5662074951080588E-3</v>
      </c>
      <c r="X191" s="176">
        <f>IF(AN191=0,IF(AN190=2,(H191-H190-AE190)/O191,(H191-H190)/O191),IF(AN191=1,IF(AN190=2,IF(AE191&lt;9,(H191-H190-AE191-AE190)/断面设计!$J$7,(H191-H190-AE191-AE190)/断面设计!$J$7),(H191-H190-AE191)/O190),(H191-H190)/O191))</f>
        <v>0.1415934967169378</v>
      </c>
      <c r="Y191" s="181">
        <v>0</v>
      </c>
      <c r="Z191" s="182">
        <f t="shared" si="75"/>
        <v>0</v>
      </c>
      <c r="AA191" s="195"/>
      <c r="AB191" s="181">
        <f t="shared" si="58"/>
        <v>0.32526259717275602</v>
      </c>
      <c r="AC191" s="176">
        <f t="shared" si="59"/>
        <v>0.13602728922182974</v>
      </c>
      <c r="AD191" s="176">
        <f t="shared" ca="1" si="71"/>
        <v>2374.3553820501575</v>
      </c>
      <c r="AE191" s="183">
        <v>3</v>
      </c>
      <c r="AF191" s="176">
        <f t="shared" ca="1" si="82"/>
        <v>2374.3553820501575</v>
      </c>
      <c r="AG191" s="176">
        <f ca="1">IF(AE191=0," ",AF191-断面设计!$C$16)</f>
        <v>2373.8003820501576</v>
      </c>
      <c r="AH191" s="176" t="str">
        <f t="shared" si="61"/>
        <v xml:space="preserve"> </v>
      </c>
      <c r="AI191" s="176" t="str">
        <f t="shared" si="62"/>
        <v xml:space="preserve"> </v>
      </c>
      <c r="AJ191" s="176" t="str">
        <f t="shared" si="63"/>
        <v xml:space="preserve"> </v>
      </c>
      <c r="AK191" s="176" t="str">
        <f t="shared" si="64"/>
        <v xml:space="preserve"> </v>
      </c>
      <c r="AL191" s="176">
        <f t="shared" ca="1" si="65"/>
        <v>2374.3498158426623</v>
      </c>
      <c r="AM191" s="176">
        <f t="shared" ca="1" si="66"/>
        <v>2374.0245532454896</v>
      </c>
      <c r="AN191" s="180">
        <v>2</v>
      </c>
      <c r="AO191" s="170">
        <v>1</v>
      </c>
      <c r="AP191" s="63"/>
      <c r="AQ191" s="42"/>
      <c r="AR191" s="42"/>
      <c r="AS191" s="42"/>
      <c r="AT191" s="42"/>
      <c r="AU191" s="64" t="str">
        <f t="shared" ca="1" si="73"/>
        <v>20776.2834995162,2374.02455324549</v>
      </c>
      <c r="AV191" s="64" t="str">
        <f t="shared" ca="1" si="80"/>
        <v>20776.2834995162,2374.34981584266</v>
      </c>
      <c r="AW191" s="169" t="str">
        <f t="shared" si="81"/>
        <v xml:space="preserve">pl 20776.2834995162,0 20776.2834995162,76 </v>
      </c>
      <c r="AX191" s="161" t="str">
        <f t="shared" ca="1" si="77"/>
        <v>-text 20776.2834995162,48 3.5 90 2374.025</v>
      </c>
      <c r="AY191" s="161" t="str">
        <f t="shared" ca="1" si="78"/>
        <v>-text 20776.2834995162,62.5 3.5 90 2374.350</v>
      </c>
      <c r="AZ191" s="42" t="str">
        <f t="shared" si="79"/>
        <v>-text 20776.2834995162,23.5 3.5 90 马分20+776.28</v>
      </c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  <c r="FI191" s="42"/>
      <c r="FJ191" s="42"/>
      <c r="FK191" s="42"/>
      <c r="FL191" s="42"/>
      <c r="FM191" s="42"/>
      <c r="FN191" s="42"/>
      <c r="FO191" s="42"/>
      <c r="FP191" s="42"/>
      <c r="FQ191" s="42"/>
      <c r="FR191" s="42"/>
      <c r="FS191" s="42"/>
      <c r="FT191" s="42"/>
      <c r="FU191" s="42"/>
      <c r="FV191" s="42"/>
      <c r="FW191" s="42"/>
      <c r="FX191" s="42"/>
      <c r="FY191" s="42"/>
      <c r="FZ191" s="42"/>
      <c r="GA191" s="42"/>
      <c r="GB191" s="42"/>
      <c r="GC191" s="42"/>
      <c r="GD191" s="42"/>
      <c r="GE191" s="42"/>
      <c r="GF191" s="42"/>
      <c r="GG191" s="42"/>
      <c r="GH191" s="42"/>
      <c r="GI191" s="42"/>
      <c r="GJ191" s="42"/>
      <c r="GK191" s="42"/>
      <c r="GL191" s="42"/>
      <c r="GM191" s="42"/>
      <c r="GN191" s="42"/>
      <c r="GO191" s="42"/>
      <c r="GP191" s="42"/>
      <c r="GQ191" s="42"/>
      <c r="GR191" s="42"/>
      <c r="GS191" s="42"/>
      <c r="GT191" s="42"/>
      <c r="GU191" s="42"/>
      <c r="GV191" s="42"/>
      <c r="GW191" s="42"/>
      <c r="GX191" s="42"/>
    </row>
    <row r="192" spans="1:206" s="55" customFormat="1" x14ac:dyDescent="0.25">
      <c r="A192" s="178">
        <v>10</v>
      </c>
      <c r="B192" s="186" t="str">
        <f>线路!B189</f>
        <v>16#倒虹吸进</v>
      </c>
      <c r="C192" s="94">
        <f>线路!E189</f>
        <v>440725.72480000003</v>
      </c>
      <c r="D192" s="94">
        <f>线路!F189</f>
        <v>3034504.8073999998</v>
      </c>
      <c r="E192" s="95">
        <f>线路!G189</f>
        <v>0</v>
      </c>
      <c r="F192" s="95">
        <f>线路!H189</f>
        <v>0</v>
      </c>
      <c r="G192" s="96">
        <f>线路!L189</f>
        <v>20793.65855543151</v>
      </c>
      <c r="H192" s="96">
        <f>线路!M189</f>
        <v>20793.65855543151</v>
      </c>
      <c r="I192" s="96">
        <f>线路!N189</f>
        <v>20793.65855543151</v>
      </c>
      <c r="J192" s="115">
        <f t="shared" si="57"/>
        <v>0</v>
      </c>
      <c r="K192" s="115">
        <f t="shared" si="67"/>
        <v>17.375055915312259</v>
      </c>
      <c r="L192" s="115">
        <f>IF(A192=1,断面设计!$D$7,IF(A192=2,断面设计!$D$8,IF(A192=3,断面设计!$D$9,IF(A192=4,断面设计!$D$10,IF(A192=5,断面设计!$D$11,IF(A192=6,断面设计!$D$12,IF(A192=7,断面设计!$D$13,IF(A192=8,断面设计!$D$14,IF(A192=9,断面设计!$D$15,IF(A192=10,断面设计!$D$16))))))))))</f>
        <v>0.8</v>
      </c>
      <c r="M192" s="115">
        <f t="shared" si="68"/>
        <v>1.2</v>
      </c>
      <c r="N192" s="116">
        <f t="shared" si="74"/>
        <v>1.4999999999999999E-2</v>
      </c>
      <c r="O192" s="115">
        <f>IF(A192=1,断面设计!$J$7,IF(A192=2,断面设计!$J$8,IF(A192=3,断面设计!$J$9,IF(A192=4,断面设计!$J$10,IF(A192=5,断面设计!$J$11,IF(A192=6,断面设计!$J$12,IF(A192=7,断面设计!$J$13,IF(A192=8,断面设计!$J$14,IF(A192=9,断面设计!$J$15,IF(A192=10,断面设计!$J$16))))))))))</f>
        <v>5000</v>
      </c>
      <c r="P192" s="117">
        <f>IF(A192=1,断面设计!$K$7,IF(A192=2,断面设计!$K$8,IF(A192=3,断面设计!$K$9,IF(A192=4,断面设计!$K$10,IF(A192=5,断面设计!$K$11,IF(A192=6,断面设计!$K$12,IF(A192=7,断面设计!$K$13,IF(A192=8,断面设计!$K$14,IF(A192=9,断面设计!$K$15,IF(A192=10,断面设计!$K$16))))))))))</f>
        <v>0.35970390654561929</v>
      </c>
      <c r="Q192" s="116">
        <f>IF(A192=1,断面设计!$C$7,IF(A192=2,断面设计!$C$8,IF(A192=3,断面设计!$C$9,IF(A192=4,断面设计!$C$10,IF(A192=5,断面设计!$C$11,IF(A192=6,断面设计!$C$12,IF(A192=7,断面设计!$C$13,IF(A192=8,断面设计!$C$14,IF(A192=9,断面设计!$C$15,IF(A192=10,断面设计!$C$16))))))))))</f>
        <v>0.55500000000000005</v>
      </c>
      <c r="R192" s="115">
        <f>IF(A192=1,断面设计!$F$7,IF(A192=2,断面设计!$F$8,IF(A192=3,断面设计!$F$9,IF(A192=4,断面设计!$F$10,IF(A192=5,断面设计!$F$11,IF(A192=6,断面设计!$F$12,IF(A192=7,断面设计!$F$13,IF(A192=8,断面设计!$F$14,IF(A192=9,断面设计!$F$15,IF(A192=10,断面设计!$F$16))))))))))</f>
        <v>0.81363000000000019</v>
      </c>
      <c r="S192" s="115">
        <f>IF(A192=1,断面设计!$G$7,IF(A192=2,断面设计!$G$8,IF(A192=3,断面设计!$G$9,IF(A192=4,断面设计!$G$10,IF(A192=5,断面设计!$G$11,IF(A192=6,断面设计!$G$12,IF(A192=7,断面设计!$G$13,IF(A192=8,断面设计!$G$14,IF(A192=9,断面设计!$G$15,IF(A192=10,断面设计!$G$16))))))))))</f>
        <v>2.5338754280512772</v>
      </c>
      <c r="T192" s="115">
        <f t="shared" si="69"/>
        <v>0.32110102611703256</v>
      </c>
      <c r="U192" s="115">
        <f t="shared" si="70"/>
        <v>0.44209764456278555</v>
      </c>
      <c r="V192" s="125"/>
      <c r="W192" s="190"/>
      <c r="X192" s="116"/>
      <c r="Y192" s="139">
        <v>0</v>
      </c>
      <c r="Z192" s="140">
        <f t="shared" si="75"/>
        <v>0</v>
      </c>
      <c r="AA192" s="193"/>
      <c r="AB192" s="139">
        <f t="shared" si="58"/>
        <v>0.55500000000000005</v>
      </c>
      <c r="AC192" s="116">
        <f t="shared" si="59"/>
        <v>0</v>
      </c>
      <c r="AD192" s="116">
        <f t="shared" ca="1" si="71"/>
        <v>2374.3553820501575</v>
      </c>
      <c r="AE192" s="143"/>
      <c r="AF192" s="190"/>
      <c r="AG192" s="190"/>
      <c r="AH192" s="116" t="str">
        <f t="shared" si="61"/>
        <v xml:space="preserve"> </v>
      </c>
      <c r="AI192" s="116" t="str">
        <f t="shared" si="62"/>
        <v xml:space="preserve"> </v>
      </c>
      <c r="AJ192" s="116" t="str">
        <f t="shared" si="63"/>
        <v xml:space="preserve"> </v>
      </c>
      <c r="AK192" s="116" t="str">
        <f t="shared" si="64"/>
        <v xml:space="preserve"> </v>
      </c>
      <c r="AL192" s="116">
        <f t="shared" ca="1" si="65"/>
        <v>2374.3553820501575</v>
      </c>
      <c r="AM192" s="116">
        <f t="shared" ca="1" si="66"/>
        <v>2373.8003820501576</v>
      </c>
      <c r="AN192" s="178"/>
      <c r="AO192" s="92">
        <v>0</v>
      </c>
      <c r="AP192" s="63"/>
      <c r="AQ192" s="42"/>
      <c r="AR192" s="42"/>
      <c r="AS192" s="42"/>
      <c r="AT192" s="42"/>
      <c r="AU192" s="64" t="str">
        <f t="shared" ca="1" si="73"/>
        <v>20793.6585554315,2373.80038205016</v>
      </c>
      <c r="AV192" s="64" t="str">
        <f t="shared" ca="1" si="80"/>
        <v>20793.6585554315,2374.35538205016</v>
      </c>
      <c r="AW192" s="169" t="str">
        <f t="shared" si="81"/>
        <v xml:space="preserve">pl 20793.6585554315,0 20793.6585554315,76 </v>
      </c>
      <c r="AX192" s="161" t="str">
        <f t="shared" ca="1" si="77"/>
        <v>-text 20793.6585554315,48 3.5 90 2373.800</v>
      </c>
      <c r="AY192" s="161" t="str">
        <f t="shared" ca="1" si="78"/>
        <v>-text 20793.6585554315,62.5 3.5 90 2374.355</v>
      </c>
      <c r="AZ192" s="42" t="str">
        <f t="shared" si="79"/>
        <v>-text 20793.6585554315,23.5 3.5 90 马分20+793.66</v>
      </c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  <c r="FI192" s="42"/>
      <c r="FJ192" s="42"/>
      <c r="FK192" s="42"/>
      <c r="FL192" s="42"/>
      <c r="FM192" s="42"/>
      <c r="FN192" s="42"/>
      <c r="FO192" s="42"/>
      <c r="FP192" s="42"/>
      <c r="FQ192" s="42"/>
      <c r="FR192" s="42"/>
      <c r="FS192" s="42"/>
      <c r="FT192" s="42"/>
      <c r="FU192" s="42"/>
      <c r="FV192" s="42"/>
      <c r="FW192" s="42"/>
      <c r="FX192" s="42"/>
      <c r="FY192" s="42"/>
      <c r="FZ192" s="42"/>
      <c r="GA192" s="42"/>
      <c r="GB192" s="42"/>
      <c r="GC192" s="42"/>
      <c r="GD192" s="42"/>
      <c r="GE192" s="42"/>
      <c r="GF192" s="42"/>
      <c r="GG192" s="42"/>
      <c r="GH192" s="42"/>
      <c r="GI192" s="42"/>
      <c r="GJ192" s="42"/>
      <c r="GK192" s="42"/>
      <c r="GL192" s="42"/>
      <c r="GM192" s="42"/>
      <c r="GN192" s="42"/>
      <c r="GO192" s="42"/>
      <c r="GP192" s="42"/>
      <c r="GQ192" s="42"/>
      <c r="GR192" s="42"/>
      <c r="GS192" s="42"/>
      <c r="GT192" s="42"/>
      <c r="GU192" s="42"/>
      <c r="GV192" s="42"/>
      <c r="GW192" s="42"/>
      <c r="GX192" s="42"/>
    </row>
    <row r="193" spans="1:206" s="55" customFormat="1" x14ac:dyDescent="0.25">
      <c r="A193" s="178">
        <v>10</v>
      </c>
      <c r="B193" s="186" t="str">
        <f>线路!B190</f>
        <v>16#倒虹吸出</v>
      </c>
      <c r="C193" s="94">
        <f>线路!E190</f>
        <v>440317.96350000001</v>
      </c>
      <c r="D193" s="94">
        <f>线路!F190</f>
        <v>3033966.7305999999</v>
      </c>
      <c r="E193" s="95">
        <f>线路!G190</f>
        <v>0</v>
      </c>
      <c r="F193" s="95">
        <f>线路!H190</f>
        <v>0</v>
      </c>
      <c r="G193" s="96">
        <f>线路!L190</f>
        <v>21468.785151319909</v>
      </c>
      <c r="H193" s="96">
        <f>线路!M190</f>
        <v>21468.785151319909</v>
      </c>
      <c r="I193" s="96">
        <f>线路!N190</f>
        <v>21468.785151319909</v>
      </c>
      <c r="J193" s="115">
        <f t="shared" si="57"/>
        <v>0</v>
      </c>
      <c r="K193" s="115">
        <f t="shared" si="67"/>
        <v>675.12659588839961</v>
      </c>
      <c r="L193" s="115">
        <f>IF(A193=1,断面设计!$D$7,IF(A193=2,断面设计!$D$8,IF(A193=3,断面设计!$D$9,IF(A193=4,断面设计!$D$10,IF(A193=5,断面设计!$D$11,IF(A193=6,断面设计!$D$12,IF(A193=7,断面设计!$D$13,IF(A193=8,断面设计!$D$14,IF(A193=9,断面设计!$D$15,IF(A193=10,断面设计!$D$16))))))))))</f>
        <v>0.8</v>
      </c>
      <c r="M193" s="115">
        <f t="shared" si="68"/>
        <v>1.2</v>
      </c>
      <c r="N193" s="116">
        <f t="shared" si="74"/>
        <v>1.4999999999999999E-2</v>
      </c>
      <c r="O193" s="115">
        <f>IF(A193=1,断面设计!$J$7,IF(A193=2,断面设计!$J$8,IF(A193=3,断面设计!$J$9,IF(A193=4,断面设计!$J$10,IF(A193=5,断面设计!$J$11,IF(A193=6,断面设计!$J$12,IF(A193=7,断面设计!$J$13,IF(A193=8,断面设计!$J$14,IF(A193=9,断面设计!$J$15,IF(A193=10,断面设计!$J$16))))))))))</f>
        <v>5000</v>
      </c>
      <c r="P193" s="117">
        <f>IF(A193=1,断面设计!$K$7,IF(A193=2,断面设计!$K$8,IF(A193=3,断面设计!$K$9,IF(A193=4,断面设计!$K$10,IF(A193=5,断面设计!$K$11,IF(A193=6,断面设计!$K$12,IF(A193=7,断面设计!$K$13,IF(A193=8,断面设计!$K$14,IF(A193=9,断面设计!$K$15,IF(A193=10,断面设计!$K$16))))))))))</f>
        <v>0.35970390654561929</v>
      </c>
      <c r="Q193" s="116">
        <f>IF(A193=1,断面设计!$C$7,IF(A193=2,断面设计!$C$8,IF(A193=3,断面设计!$C$9,IF(A193=4,断面设计!$C$10,IF(A193=5,断面设计!$C$11,IF(A193=6,断面设计!$C$12,IF(A193=7,断面设计!$C$13,IF(A193=8,断面设计!$C$14,IF(A193=9,断面设计!$C$15,IF(A193=10,断面设计!$C$16))))))))))</f>
        <v>0.55500000000000005</v>
      </c>
      <c r="R193" s="115">
        <f>IF(A193=1,断面设计!$F$7,IF(A193=2,断面设计!$F$8,IF(A193=3,断面设计!$F$9,IF(A193=4,断面设计!$F$10,IF(A193=5,断面设计!$F$11,IF(A193=6,断面设计!$F$12,IF(A193=7,断面设计!$F$13,IF(A193=8,断面设计!$F$14,IF(A193=9,断面设计!$F$15,IF(A193=10,断面设计!$F$16))))))))))</f>
        <v>0.81363000000000019</v>
      </c>
      <c r="S193" s="115">
        <f>IF(A193=1,断面设计!$G$7,IF(A193=2,断面设计!$G$8,IF(A193=3,断面设计!$G$9,IF(A193=4,断面设计!$G$10,IF(A193=5,断面设计!$G$11,IF(A193=6,断面设计!$G$12,IF(A193=7,断面设计!$G$13,IF(A193=8,断面设计!$G$14,IF(A193=9,断面设计!$G$15,IF(A193=10,断面设计!$G$16))))))))))</f>
        <v>2.5338754280512772</v>
      </c>
      <c r="T193" s="115">
        <f t="shared" si="69"/>
        <v>0.32110102611703256</v>
      </c>
      <c r="U193" s="115">
        <f t="shared" si="70"/>
        <v>0.44209764456278555</v>
      </c>
      <c r="V193" s="125"/>
      <c r="W193" s="190"/>
      <c r="X193" s="189">
        <f ca="1">倒虹管水头损失计算!D974+0.61</f>
        <v>0.84588306290890292</v>
      </c>
      <c r="Y193" s="139">
        <v>0</v>
      </c>
      <c r="Z193" s="140">
        <f t="shared" si="75"/>
        <v>0</v>
      </c>
      <c r="AA193" s="193"/>
      <c r="AB193" s="139">
        <f t="shared" si="58"/>
        <v>0.55500000000000005</v>
      </c>
      <c r="AC193" s="116">
        <f t="shared" ca="1" si="59"/>
        <v>0.84588306290890292</v>
      </c>
      <c r="AD193" s="116">
        <f t="shared" ca="1" si="71"/>
        <v>2373.5094989872487</v>
      </c>
      <c r="AE193" s="143"/>
      <c r="AF193" s="190"/>
      <c r="AG193" s="190"/>
      <c r="AH193" s="116" t="str">
        <f t="shared" si="61"/>
        <v xml:space="preserve"> </v>
      </c>
      <c r="AI193" s="116" t="str">
        <f t="shared" si="62"/>
        <v xml:space="preserve"> </v>
      </c>
      <c r="AJ193" s="116" t="str">
        <f t="shared" si="63"/>
        <v xml:space="preserve"> </v>
      </c>
      <c r="AK193" s="116" t="str">
        <f t="shared" si="64"/>
        <v xml:space="preserve"> </v>
      </c>
      <c r="AL193" s="116">
        <f t="shared" ca="1" si="65"/>
        <v>2373.5094989872487</v>
      </c>
      <c r="AM193" s="116">
        <f t="shared" ca="1" si="66"/>
        <v>2372.9544989872488</v>
      </c>
      <c r="AN193" s="178"/>
      <c r="AO193" s="92">
        <v>0</v>
      </c>
      <c r="AP193" s="63"/>
      <c r="AQ193" s="42"/>
      <c r="AR193" s="42"/>
      <c r="AS193" s="42"/>
      <c r="AT193" s="42"/>
      <c r="AU193" s="64" t="str">
        <f t="shared" ca="1" si="73"/>
        <v>21468.7851513199,2372.95449898725</v>
      </c>
      <c r="AV193" s="64" t="str">
        <f t="shared" ca="1" si="80"/>
        <v>21468.7851513199,2373.50949898725</v>
      </c>
      <c r="AW193" s="169" t="str">
        <f t="shared" si="81"/>
        <v xml:space="preserve">pl 21468.7851513199,0 21468.7851513199,76 </v>
      </c>
      <c r="AX193" s="161" t="str">
        <f t="shared" ca="1" si="77"/>
        <v>-text 21468.7851513199,48 3.5 90 2372.954</v>
      </c>
      <c r="AY193" s="161" t="str">
        <f t="shared" ca="1" si="78"/>
        <v>-text 21468.7851513199,62.5 3.5 90 2373.509</v>
      </c>
      <c r="AZ193" s="42" t="str">
        <f t="shared" si="79"/>
        <v>-text 21468.7851513199,23.5 3.5 90 马分21+468.79</v>
      </c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  <c r="FI193" s="42"/>
      <c r="FJ193" s="42"/>
      <c r="FK193" s="42"/>
      <c r="FL193" s="42"/>
      <c r="FM193" s="42"/>
      <c r="FN193" s="42"/>
      <c r="FO193" s="42"/>
      <c r="FP193" s="42"/>
      <c r="FQ193" s="42"/>
      <c r="FR193" s="42"/>
      <c r="FS193" s="42"/>
      <c r="FT193" s="42"/>
      <c r="FU193" s="42"/>
      <c r="FV193" s="42"/>
      <c r="FW193" s="42"/>
      <c r="FX193" s="42"/>
      <c r="FY193" s="42"/>
      <c r="FZ193" s="42"/>
      <c r="GA193" s="42"/>
      <c r="GB193" s="42"/>
      <c r="GC193" s="42"/>
      <c r="GD193" s="42"/>
      <c r="GE193" s="42"/>
      <c r="GF193" s="42"/>
      <c r="GG193" s="42"/>
      <c r="GH193" s="42"/>
      <c r="GI193" s="42"/>
      <c r="GJ193" s="42"/>
      <c r="GK193" s="42"/>
      <c r="GL193" s="42"/>
      <c r="GM193" s="42"/>
      <c r="GN193" s="42"/>
      <c r="GO193" s="42"/>
      <c r="GP193" s="42"/>
      <c r="GQ193" s="42"/>
      <c r="GR193" s="42"/>
      <c r="GS193" s="42"/>
      <c r="GT193" s="42"/>
      <c r="GU193" s="42"/>
      <c r="GV193" s="42"/>
      <c r="GW193" s="42"/>
      <c r="GX193" s="42"/>
    </row>
    <row r="194" spans="1:206" s="58" customFormat="1" x14ac:dyDescent="0.25">
      <c r="A194" s="180">
        <v>10</v>
      </c>
      <c r="B194" s="188" t="str">
        <f>线路!B191</f>
        <v>9-1#隧洞进</v>
      </c>
      <c r="C194" s="172">
        <f>线路!E191</f>
        <v>440307.69589999999</v>
      </c>
      <c r="D194" s="172">
        <f>线路!F191</f>
        <v>3033953.1814999999</v>
      </c>
      <c r="E194" s="173">
        <f>线路!G191</f>
        <v>0</v>
      </c>
      <c r="F194" s="173">
        <f>线路!H191</f>
        <v>0</v>
      </c>
      <c r="G194" s="174">
        <f>线路!L191</f>
        <v>21485.785201924802</v>
      </c>
      <c r="H194" s="174">
        <f>线路!M191</f>
        <v>21485.785201924802</v>
      </c>
      <c r="I194" s="174">
        <f>线路!N191</f>
        <v>21485.785201924802</v>
      </c>
      <c r="J194" s="175">
        <f t="shared" si="57"/>
        <v>0</v>
      </c>
      <c r="K194" s="175">
        <f t="shared" si="67"/>
        <v>17.000050604892749</v>
      </c>
      <c r="L194" s="175">
        <f>IF(A194=1,断面设计!$D$7,IF(A194=2,断面设计!$D$8,IF(A194=3,断面设计!$D$9,IF(A194=4,断面设计!$D$10,IF(A194=5,断面设计!$D$11,IF(A194=6,断面设计!$D$12,IF(A194=7,断面设计!$D$13,IF(A194=8,断面设计!$D$14,IF(A194=9,断面设计!$D$15,IF(A194=10,断面设计!$D$16))))))))))</f>
        <v>0.8</v>
      </c>
      <c r="M194" s="175">
        <f t="shared" si="68"/>
        <v>0</v>
      </c>
      <c r="N194" s="176">
        <f t="shared" si="74"/>
        <v>1.4E-2</v>
      </c>
      <c r="O194" s="175">
        <f>IF(A194=5,断面设计!$O$37,IF(A194=6,断面设计!$O$38,IF(A194=7,断面设计!$O$39,IF(A194=9,断面设计!$O$40,IF(A194=10,断面设计!$O$41)))))</f>
        <v>2000</v>
      </c>
      <c r="P194" s="177">
        <f>IF(A194=1,断面设计!$K$7,IF(A194=2,断面设计!$K$8,IF(A194=3,断面设计!$K$9,IF(A194=4,断面设计!$K$10,IF(A194=5,断面设计!$K$11,IF(A194=6,断面设计!$K$12,IF(A194=7,断面设计!$K$13,IF(A194=8,断面设计!$K$14,IF(A194=9,断面设计!$K$15,IF(A194=10,断面设计!$K$16))))))))))</f>
        <v>0.35970390654561929</v>
      </c>
      <c r="Q194" s="176">
        <f>IF(A194=5,断面设计!$C$37,IF(A194=6,断面设计!$C$38,IF(A194=7,断面设计!$C$39,IF(A194=9,断面设计!$C$40,IF(A194=10,断面设计!$C$41)))))</f>
        <v>0.32526259717275602</v>
      </c>
      <c r="R194" s="175">
        <f>IF(A194=5,断面设计!$K$37,IF(A194=6,断面设计!$K$38,IF(A194=7,断面设计!$K$39,IF(A194=9,断面设计!$K$40,IF(A194=10,断面设计!$K$41)))))</f>
        <v>0.58547267491096089</v>
      </c>
      <c r="S194" s="175">
        <f>IF(A194=5,断面设计!$L$37,IF(A194=6,断面设计!$L$38,IF(A194=7,断面设计!$L$39,IF(A194=9,断面设计!$L$40,IF(A194=10,断面设计!$L$41)))))</f>
        <v>2.450525194345512</v>
      </c>
      <c r="T194" s="175">
        <f t="shared" si="69"/>
        <v>0.23891722323929396</v>
      </c>
      <c r="U194" s="175">
        <f t="shared" si="70"/>
        <v>0.61438205736983942</v>
      </c>
      <c r="V194" s="179"/>
      <c r="W194" s="176">
        <f>1.15*(U194^2/2-U193^2/2)/9.81</f>
        <v>1.066856436562378E-2</v>
      </c>
      <c r="X194" s="176">
        <f>IF(AN194=0,IF(AN193=2,(H194-H193-AE193)/O194,(H194-H193)/O194),IF(AN194=1,IF(AN193=2,IF(AE194&lt;9,(H194-H193-AE194-AE193)/断面设计!$J$7,(H194-H193-AE194-AE193)/断面设计!$J$7),(H194-H193-AE194)/O193),(H194-H193)/O194))</f>
        <v>3.0000101209785497E-3</v>
      </c>
      <c r="Y194" s="181">
        <v>0</v>
      </c>
      <c r="Z194" s="182">
        <f t="shared" si="75"/>
        <v>0</v>
      </c>
      <c r="AA194" s="195"/>
      <c r="AB194" s="181">
        <f t="shared" si="58"/>
        <v>0.32526259717275602</v>
      </c>
      <c r="AC194" s="176">
        <f t="shared" si="59"/>
        <v>1.3668574486602329E-2</v>
      </c>
      <c r="AD194" s="176">
        <f t="shared" ca="1" si="71"/>
        <v>2373.4958304127622</v>
      </c>
      <c r="AE194" s="183">
        <v>2</v>
      </c>
      <c r="AF194" s="176">
        <f t="shared" ref="AF194:AF195" ca="1" si="83">IF(AE194=0," ",IF(AN194=1,AD194+W194,AD194))</f>
        <v>2373.5064989771276</v>
      </c>
      <c r="AG194" s="176">
        <f ca="1">IF(AE194=0," ",AF194-断面设计!$C$7)</f>
        <v>2371.9065531407277</v>
      </c>
      <c r="AH194" s="176" t="str">
        <f t="shared" si="61"/>
        <v xml:space="preserve"> </v>
      </c>
      <c r="AI194" s="176" t="str">
        <f t="shared" si="62"/>
        <v xml:space="preserve"> </v>
      </c>
      <c r="AJ194" s="176" t="str">
        <f t="shared" si="63"/>
        <v xml:space="preserve"> </v>
      </c>
      <c r="AK194" s="176" t="str">
        <f t="shared" si="64"/>
        <v xml:space="preserve"> </v>
      </c>
      <c r="AL194" s="176">
        <f t="shared" ca="1" si="65"/>
        <v>2373.4958304127622</v>
      </c>
      <c r="AM194" s="176">
        <f t="shared" ca="1" si="66"/>
        <v>2373.1705678155895</v>
      </c>
      <c r="AN194" s="180">
        <v>1</v>
      </c>
      <c r="AO194" s="170">
        <v>1</v>
      </c>
      <c r="AP194" s="63"/>
      <c r="AQ194" s="42"/>
      <c r="AR194" s="42"/>
      <c r="AS194" s="42"/>
      <c r="AT194" s="42"/>
      <c r="AU194" s="64" t="str">
        <f t="shared" ca="1" si="73"/>
        <v>21485.7852019248,2373.17056781559</v>
      </c>
      <c r="AV194" s="64" t="str">
        <f t="shared" ca="1" si="80"/>
        <v>21485.7852019248,2373.49583041276</v>
      </c>
      <c r="AW194" s="169" t="str">
        <f t="shared" si="81"/>
        <v xml:space="preserve">pl 21485.7852019248,0 21485.7852019248,76 </v>
      </c>
      <c r="AX194" s="161" t="str">
        <f t="shared" ca="1" si="77"/>
        <v>-text 21485.7852019248,48 3.5 90 2373.171</v>
      </c>
      <c r="AY194" s="161" t="str">
        <f t="shared" ca="1" si="78"/>
        <v>-text 21485.7852019248,62.5 3.5 90 2373.496</v>
      </c>
      <c r="AZ194" s="42" t="str">
        <f t="shared" si="79"/>
        <v>-text 21485.7852019248,23.5 3.5 90 马分21+485.79</v>
      </c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  <c r="FI194" s="42"/>
      <c r="FJ194" s="42"/>
      <c r="FK194" s="42"/>
      <c r="FL194" s="42"/>
      <c r="FM194" s="42"/>
      <c r="FN194" s="42"/>
      <c r="FO194" s="42"/>
      <c r="FP194" s="42"/>
      <c r="FQ194" s="42"/>
      <c r="FR194" s="42"/>
      <c r="FS194" s="42"/>
      <c r="FT194" s="42"/>
      <c r="FU194" s="42"/>
      <c r="FV194" s="42"/>
      <c r="FW194" s="42"/>
      <c r="FX194" s="42"/>
      <c r="FY194" s="42"/>
      <c r="FZ194" s="42"/>
      <c r="GA194" s="42"/>
      <c r="GB194" s="42"/>
      <c r="GC194" s="42"/>
      <c r="GD194" s="42"/>
      <c r="GE194" s="42"/>
      <c r="GF194" s="42"/>
      <c r="GG194" s="42"/>
      <c r="GH194" s="42"/>
      <c r="GI194" s="42"/>
      <c r="GJ194" s="42"/>
      <c r="GK194" s="42"/>
      <c r="GL194" s="42"/>
      <c r="GM194" s="42"/>
      <c r="GN194" s="42"/>
      <c r="GO194" s="42"/>
      <c r="GP194" s="42"/>
      <c r="GQ194" s="42"/>
      <c r="GR194" s="42"/>
      <c r="GS194" s="42"/>
      <c r="GT194" s="42"/>
      <c r="GU194" s="42"/>
      <c r="GV194" s="42"/>
      <c r="GW194" s="42"/>
      <c r="GX194" s="42"/>
    </row>
    <row r="195" spans="1:206" s="58" customFormat="1" x14ac:dyDescent="0.25">
      <c r="A195" s="180">
        <v>10</v>
      </c>
      <c r="B195" s="188" t="str">
        <f>线路!B192</f>
        <v>9-1#隧洞出</v>
      </c>
      <c r="C195" s="172">
        <f>线路!E192</f>
        <v>440223.21149999998</v>
      </c>
      <c r="D195" s="172">
        <f>线路!F192</f>
        <v>3033841.6967000002</v>
      </c>
      <c r="E195" s="173">
        <f>线路!G192</f>
        <v>0</v>
      </c>
      <c r="F195" s="173">
        <f>线路!H192</f>
        <v>0</v>
      </c>
      <c r="G195" s="174">
        <f>线路!L192</f>
        <v>21625.665416659929</v>
      </c>
      <c r="H195" s="174">
        <f>线路!M192</f>
        <v>21625.665416659929</v>
      </c>
      <c r="I195" s="174">
        <f>线路!N192</f>
        <v>21625.665416659929</v>
      </c>
      <c r="J195" s="175">
        <f t="shared" si="57"/>
        <v>0</v>
      </c>
      <c r="K195" s="175">
        <f t="shared" si="67"/>
        <v>139.88021473512708</v>
      </c>
      <c r="L195" s="175">
        <f>IF(A195=1,断面设计!$D$7,IF(A195=2,断面设计!$D$8,IF(A195=3,断面设计!$D$9,IF(A195=4,断面设计!$D$10,IF(A195=5,断面设计!$D$11,IF(A195=6,断面设计!$D$12,IF(A195=7,断面设计!$D$13,IF(A195=8,断面设计!$D$14,IF(A195=9,断面设计!$D$15,IF(A195=10,断面设计!$D$16))))))))))</f>
        <v>0.8</v>
      </c>
      <c r="M195" s="175">
        <f t="shared" si="68"/>
        <v>0</v>
      </c>
      <c r="N195" s="176">
        <f t="shared" si="74"/>
        <v>1.4E-2</v>
      </c>
      <c r="O195" s="175">
        <f>IF(A195=5,断面设计!$O$37,IF(A195=6,断面设计!$O$38,IF(A195=7,断面设计!$O$39,IF(A195=9,断面设计!$O$40,IF(A195=10,断面设计!$O$41)))))</f>
        <v>2000</v>
      </c>
      <c r="P195" s="177">
        <f>IF(A195=1,断面设计!$K$7,IF(A195=2,断面设计!$K$8,IF(A195=3,断面设计!$K$9,IF(A195=4,断面设计!$K$10,IF(A195=5,断面设计!$K$11,IF(A195=6,断面设计!$K$12,IF(A195=7,断面设计!$K$13,IF(A195=8,断面设计!$K$14,IF(A195=9,断面设计!$K$15,IF(A195=10,断面设计!$K$16))))))))))</f>
        <v>0.35970390654561929</v>
      </c>
      <c r="Q195" s="176">
        <f>IF(A195=5,断面设计!$C$37,IF(A195=6,断面设计!$C$38,IF(A195=7,断面设计!$C$39,IF(A195=9,断面设计!$C$40,IF(A195=10,断面设计!$C$41)))))</f>
        <v>0.32526259717275602</v>
      </c>
      <c r="R195" s="175">
        <f>IF(A195=5,断面设计!$K$37,IF(A195=6,断面设计!$K$38,IF(A195=7,断面设计!$K$39,IF(A195=9,断面设计!$K$40,IF(A195=10,断面设计!$K$41)))))</f>
        <v>0.58547267491096089</v>
      </c>
      <c r="S195" s="175">
        <f>IF(A195=5,断面设计!$L$37,IF(A195=6,断面设计!$L$38,IF(A195=7,断面设计!$L$39,IF(A195=9,断面设计!$L$40,IF(A195=10,断面设计!$L$41)))))</f>
        <v>2.450525194345512</v>
      </c>
      <c r="T195" s="175">
        <f t="shared" si="69"/>
        <v>0.23891722323929396</v>
      </c>
      <c r="U195" s="175">
        <f t="shared" si="70"/>
        <v>0.61438205736983942</v>
      </c>
      <c r="V195" s="179"/>
      <c r="W195" s="176">
        <f>-0.6*(U195^2/2-U196^2/2)/9.81</f>
        <v>0</v>
      </c>
      <c r="X195" s="176">
        <f>IF(AN195=0,IF(AN194=2,(H195-H194-AE194)/O195,(H195-H194)/O195),IF(AN195=1,IF(AN194=2,IF(AE195&lt;9,(H195-H194-AE195-AE194)/断面设计!$J$7,(H195-H194-AE195-AE194)/断面设计!$J$7),(H195-H194-AE195)/O194),(H195-H194)/O195))</f>
        <v>6.9940107367563537E-2</v>
      </c>
      <c r="Y195" s="181">
        <v>0</v>
      </c>
      <c r="Z195" s="182">
        <f t="shared" si="75"/>
        <v>0</v>
      </c>
      <c r="AA195" s="195"/>
      <c r="AB195" s="181">
        <f t="shared" si="58"/>
        <v>0.32526259717275602</v>
      </c>
      <c r="AC195" s="176">
        <f t="shared" si="59"/>
        <v>6.9940107367563537E-2</v>
      </c>
      <c r="AD195" s="176">
        <f t="shared" ca="1" si="71"/>
        <v>2373.4258903053947</v>
      </c>
      <c r="AE195" s="183">
        <v>3</v>
      </c>
      <c r="AF195" s="176">
        <f t="shared" ca="1" si="83"/>
        <v>2373.4258903053947</v>
      </c>
      <c r="AG195" s="176">
        <f ca="1">IF(AE195=0," ",AF195-断面设计!$C$16)</f>
        <v>2372.8708903053948</v>
      </c>
      <c r="AH195" s="176" t="str">
        <f t="shared" si="61"/>
        <v xml:space="preserve"> </v>
      </c>
      <c r="AI195" s="176" t="str">
        <f t="shared" si="62"/>
        <v xml:space="preserve"> </v>
      </c>
      <c r="AJ195" s="176" t="str">
        <f t="shared" si="63"/>
        <v xml:space="preserve"> </v>
      </c>
      <c r="AK195" s="176" t="str">
        <f t="shared" si="64"/>
        <v xml:space="preserve"> </v>
      </c>
      <c r="AL195" s="176">
        <f t="shared" ca="1" si="65"/>
        <v>2373.4258903053947</v>
      </c>
      <c r="AM195" s="176">
        <f t="shared" ca="1" si="66"/>
        <v>2373.100627708222</v>
      </c>
      <c r="AN195" s="180">
        <v>2</v>
      </c>
      <c r="AO195" s="170">
        <v>1</v>
      </c>
      <c r="AP195" s="63"/>
      <c r="AQ195" s="42"/>
      <c r="AR195" s="42"/>
      <c r="AS195" s="42"/>
      <c r="AT195" s="42"/>
      <c r="AU195" s="64" t="str">
        <f t="shared" ca="1" si="73"/>
        <v>21625.6654166599,2373.10062770822</v>
      </c>
      <c r="AV195" s="64" t="str">
        <f t="shared" ca="1" si="80"/>
        <v>21625.6654166599,2373.42589030539</v>
      </c>
      <c r="AW195" s="169" t="str">
        <f t="shared" si="81"/>
        <v xml:space="preserve">pl 21625.6654166599,0 21625.6654166599,76 </v>
      </c>
      <c r="AX195" s="161" t="str">
        <f t="shared" ca="1" si="77"/>
        <v>-text 21625.6654166599,48 3.5 90 2373.101</v>
      </c>
      <c r="AY195" s="161" t="str">
        <f t="shared" ca="1" si="78"/>
        <v>-text 21625.6654166599,62.5 3.5 90 2373.426</v>
      </c>
      <c r="AZ195" s="42" t="str">
        <f t="shared" si="79"/>
        <v>-text 21625.6654166599,23.5 3.5 90 马分21+625.67</v>
      </c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  <c r="FI195" s="42"/>
      <c r="FJ195" s="42"/>
      <c r="FK195" s="42"/>
      <c r="FL195" s="42"/>
      <c r="FM195" s="42"/>
      <c r="FN195" s="42"/>
      <c r="FO195" s="42"/>
      <c r="FP195" s="42"/>
      <c r="FQ195" s="42"/>
      <c r="FR195" s="42"/>
      <c r="FS195" s="42"/>
      <c r="FT195" s="42"/>
      <c r="FU195" s="42"/>
      <c r="FV195" s="42"/>
      <c r="FW195" s="42"/>
      <c r="FX195" s="42"/>
      <c r="FY195" s="42"/>
      <c r="FZ195" s="42"/>
      <c r="GA195" s="42"/>
      <c r="GB195" s="42"/>
      <c r="GC195" s="42"/>
      <c r="GD195" s="42"/>
      <c r="GE195" s="42"/>
      <c r="GF195" s="42"/>
      <c r="GG195" s="42"/>
      <c r="GH195" s="42"/>
      <c r="GI195" s="42"/>
      <c r="GJ195" s="42"/>
      <c r="GK195" s="42"/>
      <c r="GL195" s="42"/>
      <c r="GM195" s="42"/>
      <c r="GN195" s="42"/>
      <c r="GO195" s="42"/>
      <c r="GP195" s="42"/>
      <c r="GQ195" s="42"/>
      <c r="GR195" s="42"/>
      <c r="GS195" s="42"/>
      <c r="GT195" s="42"/>
      <c r="GU195" s="42"/>
      <c r="GV195" s="42"/>
      <c r="GW195" s="42"/>
      <c r="GX195" s="42"/>
    </row>
    <row r="196" spans="1:206" s="58" customFormat="1" x14ac:dyDescent="0.25">
      <c r="A196" s="180">
        <v>10</v>
      </c>
      <c r="B196" s="188" t="str">
        <f>线路!B193</f>
        <v>9-2#隧洞进</v>
      </c>
      <c r="C196" s="172">
        <f>线路!E193</f>
        <v>440168.85359999997</v>
      </c>
      <c r="D196" s="172">
        <f>线路!F193</f>
        <v>3033769.9668999999</v>
      </c>
      <c r="E196" s="173">
        <f>线路!G193</f>
        <v>0</v>
      </c>
      <c r="F196" s="173">
        <f>线路!H193</f>
        <v>0</v>
      </c>
      <c r="G196" s="174">
        <f>线路!L193</f>
        <v>21715.665113884399</v>
      </c>
      <c r="H196" s="174">
        <f>线路!M193</f>
        <v>21715.665113884399</v>
      </c>
      <c r="I196" s="174">
        <f>线路!N193</f>
        <v>21715.665113884399</v>
      </c>
      <c r="J196" s="175">
        <f t="shared" si="57"/>
        <v>0</v>
      </c>
      <c r="K196" s="175">
        <f t="shared" si="67"/>
        <v>89.999697224469855</v>
      </c>
      <c r="L196" s="175">
        <f>IF(A196=1,断面设计!$D$7,IF(A196=2,断面设计!$D$8,IF(A196=3,断面设计!$D$9,IF(A196=4,断面设计!$D$10,IF(A196=5,断面设计!$D$11,IF(A196=6,断面设计!$D$12,IF(A196=7,断面设计!$D$13,IF(A196=8,断面设计!$D$14,IF(A196=9,断面设计!$D$15,IF(A196=10,断面设计!$D$16))))))))))</f>
        <v>0.8</v>
      </c>
      <c r="M196" s="175">
        <f t="shared" si="68"/>
        <v>0</v>
      </c>
      <c r="N196" s="176">
        <f t="shared" si="74"/>
        <v>1.4E-2</v>
      </c>
      <c r="O196" s="175">
        <f>IF(A196=5,断面设计!$O$37,IF(A196=6,断面设计!$O$38,IF(A196=7,断面设计!$O$39,IF(A196=9,断面设计!$O$40,IF(A196=10,断面设计!$O$41)))))</f>
        <v>2000</v>
      </c>
      <c r="P196" s="177">
        <f>IF(A196=1,断面设计!$K$7,IF(A196=2,断面设计!$K$8,IF(A196=3,断面设计!$K$9,IF(A196=4,断面设计!$K$10,IF(A196=5,断面设计!$K$11,IF(A196=6,断面设计!$K$12,IF(A196=7,断面设计!$K$13,IF(A196=8,断面设计!$K$14,IF(A196=9,断面设计!$K$15,IF(A196=10,断面设计!$K$16))))))))))</f>
        <v>0.35970390654561929</v>
      </c>
      <c r="Q196" s="176">
        <f>IF(A196=5,断面设计!$C$37,IF(A196=6,断面设计!$C$38,IF(A196=7,断面设计!$C$39,IF(A196=9,断面设计!$C$40,IF(A196=10,断面设计!$C$41)))))</f>
        <v>0.32526259717275602</v>
      </c>
      <c r="R196" s="175">
        <f>IF(A196=5,断面设计!$K$37,IF(A196=6,断面设计!$K$38,IF(A196=7,断面设计!$K$39,IF(A196=9,断面设计!$K$40,IF(A196=10,断面设计!$K$41)))))</f>
        <v>0.58547267491096089</v>
      </c>
      <c r="S196" s="175">
        <f>IF(A196=5,断面设计!$L$37,IF(A196=6,断面设计!$L$38,IF(A196=7,断面设计!$L$39,IF(A196=9,断面设计!$L$40,IF(A196=10,断面设计!$L$41)))))</f>
        <v>2.450525194345512</v>
      </c>
      <c r="T196" s="175">
        <f t="shared" si="69"/>
        <v>0.23891722323929396</v>
      </c>
      <c r="U196" s="175">
        <f t="shared" si="70"/>
        <v>0.61438205736983942</v>
      </c>
      <c r="V196" s="179"/>
      <c r="W196" s="176">
        <f>1.15*(U196^2/2-U195^2/2)/9.81</f>
        <v>0</v>
      </c>
      <c r="X196" s="176">
        <f>IF(AN196=0,IF(AN195=2,(H196-H195-AE195)/O196,(H196-H195)/O196),IF(AN196=1,IF(AN195=2,IF(AE196&lt;9,(H196-H195-AE196-AE195)/断面设计!$J$7,(H196-H195-AE196-AE195)/断面设计!$J$7),(H196-H195-AE196)/O195),(H196-H195)/O196))</f>
        <v>1.6999939444893971E-2</v>
      </c>
      <c r="Y196" s="181">
        <v>0</v>
      </c>
      <c r="Z196" s="182">
        <f t="shared" si="75"/>
        <v>0</v>
      </c>
      <c r="AA196" s="195"/>
      <c r="AB196" s="181">
        <f t="shared" si="58"/>
        <v>0.32526259717275602</v>
      </c>
      <c r="AC196" s="176">
        <f t="shared" si="59"/>
        <v>1.6999939444893971E-2</v>
      </c>
      <c r="AD196" s="176">
        <f t="shared" ca="1" si="71"/>
        <v>2373.4088903659499</v>
      </c>
      <c r="AE196" s="183">
        <v>2</v>
      </c>
      <c r="AF196" s="176">
        <f t="shared" ref="AF196" ca="1" si="84">IF(AE196=0," ",IF(AN196=1,AD196+W196,AD196))</f>
        <v>2373.4088903659499</v>
      </c>
      <c r="AG196" s="176">
        <f ca="1">IF(AE196=0," ",AF196-断面设计!$C$7)</f>
        <v>2371.80894452955</v>
      </c>
      <c r="AH196" s="176" t="str">
        <f t="shared" si="61"/>
        <v xml:space="preserve"> </v>
      </c>
      <c r="AI196" s="176" t="str">
        <f t="shared" si="62"/>
        <v xml:space="preserve"> </v>
      </c>
      <c r="AJ196" s="176" t="str">
        <f t="shared" si="63"/>
        <v xml:space="preserve"> </v>
      </c>
      <c r="AK196" s="176" t="str">
        <f t="shared" si="64"/>
        <v xml:space="preserve"> </v>
      </c>
      <c r="AL196" s="176">
        <f t="shared" ca="1" si="65"/>
        <v>2373.4088903659499</v>
      </c>
      <c r="AM196" s="176">
        <f t="shared" ca="1" si="66"/>
        <v>2373.0836277687772</v>
      </c>
      <c r="AN196" s="180">
        <v>1</v>
      </c>
      <c r="AO196" s="170">
        <v>1</v>
      </c>
      <c r="AP196" s="63"/>
      <c r="AQ196" s="42"/>
      <c r="AR196" s="42"/>
      <c r="AS196" s="42"/>
      <c r="AT196" s="42"/>
      <c r="AU196" s="64" t="str">
        <f t="shared" ca="1" si="73"/>
        <v>21715.6651138844,2373.08362776878</v>
      </c>
      <c r="AV196" s="64" t="str">
        <f t="shared" ca="1" si="80"/>
        <v>21715.6651138844,2373.40889036595</v>
      </c>
      <c r="AW196" s="169" t="str">
        <f t="shared" si="81"/>
        <v xml:space="preserve">pl 21715.6651138844,0 21715.6651138844,76 </v>
      </c>
      <c r="AX196" s="161" t="str">
        <f t="shared" ca="1" si="77"/>
        <v>-text 21715.6651138844,48 3.5 90 2373.084</v>
      </c>
      <c r="AY196" s="161" t="str">
        <f t="shared" ca="1" si="78"/>
        <v>-text 21715.6651138844,62.5 3.5 90 2373.409</v>
      </c>
      <c r="AZ196" s="42" t="str">
        <f t="shared" si="79"/>
        <v>-text 21715.6651138844,23.5 3.5 90 马分21+715.67</v>
      </c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  <c r="FI196" s="42"/>
      <c r="FJ196" s="42"/>
      <c r="FK196" s="42"/>
      <c r="FL196" s="42"/>
      <c r="FM196" s="42"/>
      <c r="FN196" s="42"/>
      <c r="FO196" s="42"/>
      <c r="FP196" s="42"/>
      <c r="FQ196" s="42"/>
      <c r="FR196" s="42"/>
      <c r="FS196" s="42"/>
      <c r="FT196" s="42"/>
      <c r="FU196" s="42"/>
      <c r="FV196" s="42"/>
      <c r="FW196" s="42"/>
      <c r="FX196" s="42"/>
      <c r="FY196" s="42"/>
      <c r="FZ196" s="42"/>
      <c r="GA196" s="42"/>
      <c r="GB196" s="42"/>
      <c r="GC196" s="42"/>
      <c r="GD196" s="42"/>
      <c r="GE196" s="42"/>
      <c r="GF196" s="42"/>
      <c r="GG196" s="42"/>
      <c r="GH196" s="42"/>
      <c r="GI196" s="42"/>
      <c r="GJ196" s="42"/>
      <c r="GK196" s="42"/>
      <c r="GL196" s="42"/>
      <c r="GM196" s="42"/>
      <c r="GN196" s="42"/>
      <c r="GO196" s="42"/>
      <c r="GP196" s="42"/>
      <c r="GQ196" s="42"/>
      <c r="GR196" s="42"/>
      <c r="GS196" s="42"/>
      <c r="GT196" s="42"/>
      <c r="GU196" s="42"/>
      <c r="GV196" s="42"/>
      <c r="GW196" s="42"/>
      <c r="GX196" s="42"/>
    </row>
    <row r="197" spans="1:206" s="58" customFormat="1" x14ac:dyDescent="0.25">
      <c r="A197" s="180">
        <v>10</v>
      </c>
      <c r="B197" s="188" t="str">
        <f>线路!B194</f>
        <v>IP120</v>
      </c>
      <c r="C197" s="172">
        <f>线路!E194</f>
        <v>440158.63870000001</v>
      </c>
      <c r="D197" s="172">
        <f>线路!F194</f>
        <v>3033756.4874</v>
      </c>
      <c r="E197" s="173">
        <f>线路!G194</f>
        <v>10</v>
      </c>
      <c r="F197" s="173">
        <f>线路!H194</f>
        <v>3.4140000000000001</v>
      </c>
      <c r="G197" s="174">
        <f>线路!L194</f>
        <v>21732.279847697308</v>
      </c>
      <c r="H197" s="174">
        <f>线路!M194</f>
        <v>21732.577775400623</v>
      </c>
      <c r="I197" s="174">
        <f>线路!N194</f>
        <v>21732.875703103939</v>
      </c>
      <c r="J197" s="175">
        <f t="shared" ref="J197:J198" si="85">I197-G197</f>
        <v>0.5958554066310171</v>
      </c>
      <c r="K197" s="175">
        <f t="shared" si="67"/>
        <v>16.912661516224034</v>
      </c>
      <c r="L197" s="175">
        <f>IF(A197=1,断面设计!$D$7,IF(A197=2,断面设计!$D$8,IF(A197=3,断面设计!$D$9,IF(A197=4,断面设计!$D$10,IF(A197=5,断面设计!$D$11,IF(A197=6,断面设计!$D$12,IF(A197=7,断面设计!$D$13,IF(A197=8,断面设计!$D$14,IF(A197=9,断面设计!$D$15,IF(A197=10,断面设计!$D$16))))))))))</f>
        <v>0.8</v>
      </c>
      <c r="M197" s="175">
        <f t="shared" si="68"/>
        <v>0</v>
      </c>
      <c r="N197" s="176">
        <f t="shared" si="74"/>
        <v>1.4E-2</v>
      </c>
      <c r="O197" s="175">
        <f>IF(A197=5,断面设计!$O$37,IF(A197=6,断面设计!$O$38,IF(A197=7,断面设计!$O$39,IF(A197=9,断面设计!$O$40,IF(A197=10,断面设计!$O$41)))))</f>
        <v>2000</v>
      </c>
      <c r="P197" s="177">
        <f>IF(A197=1,断面设计!$K$7,IF(A197=2,断面设计!$K$8,IF(A197=3,断面设计!$K$9,IF(A197=4,断面设计!$K$10,IF(A197=5,断面设计!$K$11,IF(A197=6,断面设计!$K$12,IF(A197=7,断面设计!$K$13,IF(A197=8,断面设计!$K$14,IF(A197=9,断面设计!$K$15,IF(A197=10,断面设计!$K$16))))))))))</f>
        <v>0.35970390654561929</v>
      </c>
      <c r="Q197" s="176">
        <f>IF(A197=5,断面设计!$C$37,IF(A197=6,断面设计!$C$38,IF(A197=7,断面设计!$C$39,IF(A197=9,断面设计!$C$40,IF(A197=10,断面设计!$C$41)))))</f>
        <v>0.32526259717275602</v>
      </c>
      <c r="R197" s="175">
        <f>IF(A197=5,断面设计!$K$37,IF(A197=6,断面设计!$K$38,IF(A197=7,断面设计!$K$39,IF(A197=9,断面设计!$K$40,IF(A197=10,断面设计!$K$41)))))</f>
        <v>0.58547267491096089</v>
      </c>
      <c r="S197" s="175">
        <f>IF(A197=5,断面设计!$L$37,IF(A197=6,断面设计!$L$38,IF(A197=7,断面设计!$L$39,IF(A197=9,断面设计!$L$40,IF(A197=10,断面设计!$L$41)))))</f>
        <v>2.450525194345512</v>
      </c>
      <c r="T197" s="175">
        <f t="shared" si="69"/>
        <v>0.23891722323929396</v>
      </c>
      <c r="U197" s="175">
        <f t="shared" si="70"/>
        <v>0.61438205736983942</v>
      </c>
      <c r="V197" s="179">
        <f t="shared" si="76"/>
        <v>6.307883285005404E-5</v>
      </c>
      <c r="W197" s="196"/>
      <c r="X197" s="176">
        <f>IF(AN197=0,IF(AN196=2,(H197-H196-AE196)/O197,(H197-H196)/O197),IF(AN197=1,IF(AN196=2,IF(AE197&lt;9,(H197-H196-AE197-AE196)/断面设计!$J$7,(H197-H196-AE197-AE196)/断面设计!$J$7),(H197-H196-AE197)/O196),(H197-H196)/O197))</f>
        <v>8.4563307581120174E-3</v>
      </c>
      <c r="Y197" s="181">
        <v>0</v>
      </c>
      <c r="Z197" s="182">
        <f t="shared" si="75"/>
        <v>0</v>
      </c>
      <c r="AA197" s="195"/>
      <c r="AB197" s="181">
        <f t="shared" ref="AB197:AB198" si="86">Q197</f>
        <v>0.32526259717275602</v>
      </c>
      <c r="AC197" s="176">
        <f t="shared" ref="AC197:AC198" si="87">IF(AE197&lt;1,Y197+AA197+V197+X197,Y197+AA197+V197+X197+W197)</f>
        <v>8.5194095909620713E-3</v>
      </c>
      <c r="AD197" s="176">
        <f t="shared" ca="1" si="71"/>
        <v>2373.400370956359</v>
      </c>
      <c r="AE197" s="183"/>
      <c r="AF197" s="196"/>
      <c r="AG197" s="196"/>
      <c r="AH197" s="176">
        <f t="shared" ref="AH197:AH198" ca="1" si="88">IF(J197&lt;0.01," ",AD197+V197+J197/2/O197+J197/2/1000*Z197)</f>
        <v>2373.4005829990433</v>
      </c>
      <c r="AI197" s="176">
        <f t="shared" ref="AI197:AI198" ca="1" si="89">IF(J197&lt;0.01," ",AH197-AB197)</f>
        <v>2373.0753204018706</v>
      </c>
      <c r="AJ197" s="176">
        <f t="shared" ref="AJ197:AJ198" ca="1" si="90">IF(J197&lt;0.01," ",AD197-J197/2/O197-J197/2/1000*Z197)</f>
        <v>2373.4002219925073</v>
      </c>
      <c r="AK197" s="176">
        <f t="shared" ref="AK197:AK198" ca="1" si="91">IF(J197&lt;0.01," ",AJ197-AB197)</f>
        <v>2373.0749593953346</v>
      </c>
      <c r="AL197" s="176">
        <f t="shared" ref="AL197:AL198" ca="1" si="92">AM197+AB197</f>
        <v>2373.4004024957753</v>
      </c>
      <c r="AM197" s="176">
        <f t="shared" ref="AM197:AM198" ca="1" si="93">IF(AN197=2,IF(AE197=0,AD197-AB197,AD197+W197-AB197),AD197-AB197+V197/2)</f>
        <v>2373.0751398986026</v>
      </c>
      <c r="AN197" s="180"/>
      <c r="AO197" s="170">
        <v>1</v>
      </c>
      <c r="AP197" s="63"/>
      <c r="AQ197" s="127"/>
      <c r="AR197" s="162" t="s">
        <v>710</v>
      </c>
      <c r="AS197" s="42"/>
      <c r="AT197" s="42"/>
      <c r="AU197" s="64" t="str">
        <f t="shared" ca="1" si="73"/>
        <v>21732.5777754006,2373.0751398986</v>
      </c>
      <c r="AV197" s="64" t="str">
        <f t="shared" ca="1" si="80"/>
        <v>21732.5777754006,2373.40040249578</v>
      </c>
      <c r="AW197" s="169" t="str">
        <f t="shared" si="81"/>
        <v xml:space="preserve">pl 21732.5777754006,0 21732.5777754006,76 </v>
      </c>
      <c r="AX197" s="161" t="str">
        <f t="shared" ca="1" si="77"/>
        <v>-text 21732.5777754006,48 3.5 90 2373.075</v>
      </c>
      <c r="AY197" s="161" t="str">
        <f t="shared" ca="1" si="78"/>
        <v>-text 21732.5777754006,62.5 3.5 90 2373.400</v>
      </c>
      <c r="AZ197" s="42" t="str">
        <f t="shared" si="79"/>
        <v>-text 21732.5777754006,23.5 3.5 90 马分21+732.58</v>
      </c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  <c r="FI197" s="42"/>
      <c r="FJ197" s="42"/>
      <c r="FK197" s="42"/>
      <c r="FL197" s="42"/>
      <c r="FM197" s="42"/>
      <c r="FN197" s="42"/>
      <c r="FO197" s="42"/>
      <c r="FP197" s="42"/>
      <c r="FQ197" s="42"/>
      <c r="FR197" s="42"/>
      <c r="FS197" s="42"/>
      <c r="FT197" s="42"/>
      <c r="FU197" s="42"/>
      <c r="FV197" s="42"/>
      <c r="FW197" s="42"/>
      <c r="FX197" s="42"/>
      <c r="FY197" s="42"/>
      <c r="FZ197" s="42"/>
      <c r="GA197" s="42"/>
      <c r="GB197" s="42"/>
      <c r="GC197" s="42"/>
      <c r="GD197" s="42"/>
      <c r="GE197" s="42"/>
      <c r="GF197" s="42"/>
      <c r="GG197" s="42"/>
      <c r="GH197" s="42"/>
      <c r="GI197" s="42"/>
      <c r="GJ197" s="42"/>
      <c r="GK197" s="42"/>
      <c r="GL197" s="42"/>
      <c r="GM197" s="42"/>
      <c r="GN197" s="42"/>
      <c r="GO197" s="42"/>
      <c r="GP197" s="42"/>
      <c r="GQ197" s="42"/>
      <c r="GR197" s="42"/>
      <c r="GS197" s="42"/>
      <c r="GT197" s="42"/>
      <c r="GU197" s="42"/>
      <c r="GV197" s="42"/>
      <c r="GW197" s="42"/>
      <c r="GX197" s="42"/>
    </row>
    <row r="198" spans="1:206" s="58" customFormat="1" x14ac:dyDescent="0.25">
      <c r="A198" s="180">
        <v>10</v>
      </c>
      <c r="B198" s="188" t="str">
        <f>线路!B195</f>
        <v>9-2#隧洞出</v>
      </c>
      <c r="C198" s="172">
        <f>线路!E195</f>
        <v>439975.3824</v>
      </c>
      <c r="D198" s="172">
        <f>线路!F195</f>
        <v>3033542.4489000002</v>
      </c>
      <c r="E198" s="173">
        <f>线路!G195</f>
        <v>0</v>
      </c>
      <c r="F198" s="173">
        <f>线路!H195</f>
        <v>0</v>
      </c>
      <c r="G198" s="174">
        <f>线路!L195</f>
        <v>22014.349493781116</v>
      </c>
      <c r="H198" s="174">
        <f>线路!M195</f>
        <v>22014.349493781116</v>
      </c>
      <c r="I198" s="174">
        <f>线路!N195</f>
        <v>22014.349493781116</v>
      </c>
      <c r="J198" s="175">
        <f t="shared" si="85"/>
        <v>0</v>
      </c>
      <c r="K198" s="175">
        <f t="shared" ref="K198" si="94">H198-H197</f>
        <v>281.77171838049253</v>
      </c>
      <c r="L198" s="175">
        <f>IF(A198=1,断面设计!$D$7,IF(A198=2,断面设计!$D$8,IF(A198=3,断面设计!$D$9,IF(A198=4,断面设计!$D$10,IF(A198=5,断面设计!$D$11,IF(A198=6,断面设计!$D$12,IF(A198=7,断面设计!$D$13,IF(A198=8,断面设计!$D$14,IF(A198=9,断面设计!$D$15,IF(A198=10,断面设计!$D$16))))))))))</f>
        <v>0.8</v>
      </c>
      <c r="M198" s="175">
        <f t="shared" ref="M198" si="95">IF(AO198=0,1.2,0)</f>
        <v>0</v>
      </c>
      <c r="N198" s="176">
        <f t="shared" si="74"/>
        <v>1.4E-2</v>
      </c>
      <c r="O198" s="175">
        <f>IF(A198=5,断面设计!$O$37,IF(A198=6,断面设计!$O$38,IF(A198=7,断面设计!$O$39,IF(A198=9,断面设计!$O$40,IF(A198=10,断面设计!$O$41)))))</f>
        <v>2000</v>
      </c>
      <c r="P198" s="177">
        <f>IF(A198=1,断面设计!$K$7,IF(A198=2,断面设计!$K$8,IF(A198=3,断面设计!$K$9,IF(A198=4,断面设计!$K$10,IF(A198=5,断面设计!$K$11,IF(A198=6,断面设计!$K$12,IF(A198=7,断面设计!$K$13,IF(A198=8,断面设计!$K$14,IF(A198=9,断面设计!$K$15,IF(A198=10,断面设计!$K$16))))))))))</f>
        <v>0.35970390654561929</v>
      </c>
      <c r="Q198" s="176">
        <f>IF(A198=5,断面设计!$C$37,IF(A198=6,断面设计!$C$38,IF(A198=7,断面设计!$C$39,IF(A198=9,断面设计!$C$40,IF(A198=10,断面设计!$C$41)))))</f>
        <v>0.32526259717275602</v>
      </c>
      <c r="R198" s="175">
        <f>IF(A198=5,断面设计!$K$37,IF(A198=6,断面设计!$K$38,IF(A198=7,断面设计!$K$39,IF(A198=9,断面设计!$K$40,IF(A198=10,断面设计!$K$41)))))</f>
        <v>0.58547267491096089</v>
      </c>
      <c r="S198" s="175">
        <f>IF(A198=5,断面设计!$L$37,IF(A198=6,断面设计!$L$38,IF(A198=7,断面设计!$L$39,IF(A198=9,断面设计!$L$40,IF(A198=10,断面设计!$L$41)))))</f>
        <v>2.450525194345512</v>
      </c>
      <c r="T198" s="175">
        <f t="shared" ref="T198" si="96">R198/S198</f>
        <v>0.23891722323929396</v>
      </c>
      <c r="U198" s="175">
        <f t="shared" ref="U198" si="97">P198/R198</f>
        <v>0.61438205736983942</v>
      </c>
      <c r="V198" s="179"/>
      <c r="W198" s="176">
        <f>-0.6*(U198^2/2-U199^2/2)/9.81</f>
        <v>-1.1543281725320997E-2</v>
      </c>
      <c r="X198" s="176">
        <f>IF(AN198=0,IF(AN197=2,(H198-H197-AE197)/O198,(H198-H197)/O198),IF(AN198=1,IF(AN197=2,IF(AE198&lt;9,(H198-H197-AE198-AE197)/断面设计!$J$7,(H198-H197-AE198-AE197)/断面设计!$J$7),(H198-H197-AE198)/O197),(H198-H197)/O198))</f>
        <v>0.14088585919024627</v>
      </c>
      <c r="Y198" s="181">
        <v>0</v>
      </c>
      <c r="Z198" s="182">
        <f t="shared" si="75"/>
        <v>0</v>
      </c>
      <c r="AA198" s="195"/>
      <c r="AB198" s="181">
        <f t="shared" si="86"/>
        <v>0.32526259717275602</v>
      </c>
      <c r="AC198" s="176">
        <f t="shared" si="87"/>
        <v>0.12934257746492528</v>
      </c>
      <c r="AD198" s="176">
        <f t="shared" ref="AD198" ca="1" si="98">AD197-AC198</f>
        <v>2373.2710283788942</v>
      </c>
      <c r="AE198" s="183">
        <v>3</v>
      </c>
      <c r="AF198" s="176">
        <f t="shared" ref="AF198" ca="1" si="99">IF(AE198=0," ",IF(AN198=1,AD198+W198,AD198))</f>
        <v>2373.2710283788942</v>
      </c>
      <c r="AG198" s="176">
        <f ca="1">IF(AE198=0," ",AF198-断面设计!$C$16)</f>
        <v>2372.7160283788944</v>
      </c>
      <c r="AH198" s="176" t="str">
        <f t="shared" si="88"/>
        <v xml:space="preserve"> </v>
      </c>
      <c r="AI198" s="176" t="str">
        <f t="shared" si="89"/>
        <v xml:space="preserve"> </v>
      </c>
      <c r="AJ198" s="176" t="str">
        <f t="shared" si="90"/>
        <v xml:space="preserve"> </v>
      </c>
      <c r="AK198" s="176" t="str">
        <f t="shared" si="91"/>
        <v xml:space="preserve"> </v>
      </c>
      <c r="AL198" s="176">
        <f t="shared" ca="1" si="92"/>
        <v>2373.2594850971691</v>
      </c>
      <c r="AM198" s="176">
        <f t="shared" ca="1" si="93"/>
        <v>2372.9342224999964</v>
      </c>
      <c r="AN198" s="180">
        <v>2</v>
      </c>
      <c r="AO198" s="170">
        <v>1</v>
      </c>
      <c r="AP198" s="63"/>
      <c r="AQ198" s="162" t="s">
        <v>714</v>
      </c>
      <c r="AR198" s="127">
        <v>2373.2600000000002</v>
      </c>
      <c r="AS198" s="42"/>
      <c r="AT198" s="42"/>
      <c r="AU198" s="64" t="str">
        <f t="shared" ref="AU198" ca="1" si="100">H198&amp;","&amp;AM198</f>
        <v>22014.3494937811,2372.9342225</v>
      </c>
      <c r="AV198" s="64" t="str">
        <f t="shared" ca="1" si="80"/>
        <v>22014.3494937811,2373.25948509717</v>
      </c>
      <c r="AW198" s="169" t="str">
        <f t="shared" si="81"/>
        <v xml:space="preserve">pl 22014.3494937811,0 22014.3494937811,76 </v>
      </c>
      <c r="AX198" s="161" t="str">
        <f t="shared" ca="1" si="77"/>
        <v>-text 22014.3494937811,48 3.5 90 2372.934</v>
      </c>
      <c r="AY198" s="161" t="str">
        <f t="shared" ca="1" si="78"/>
        <v>-text 22014.3494937811,62.5 3.5 90 2373.259</v>
      </c>
      <c r="AZ198" s="42" t="str">
        <f t="shared" si="79"/>
        <v>-text 22014.3494937811,23.5 3.5 90 马分22+014.35</v>
      </c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  <c r="FI198" s="42"/>
      <c r="FJ198" s="42"/>
      <c r="FK198" s="42"/>
      <c r="FL198" s="42"/>
      <c r="FM198" s="42"/>
      <c r="FN198" s="42"/>
      <c r="FO198" s="42"/>
      <c r="FP198" s="42"/>
      <c r="FQ198" s="42"/>
      <c r="FR198" s="42"/>
      <c r="FS198" s="42"/>
      <c r="FT198" s="42"/>
      <c r="FU198" s="42"/>
      <c r="FV198" s="42"/>
      <c r="FW198" s="42"/>
      <c r="FX198" s="42"/>
      <c r="FY198" s="42"/>
      <c r="FZ198" s="42"/>
      <c r="GA198" s="42"/>
      <c r="GB198" s="42"/>
      <c r="GC198" s="42"/>
      <c r="GD198" s="42"/>
      <c r="GE198" s="42"/>
      <c r="GF198" s="42"/>
      <c r="GG198" s="42"/>
      <c r="GH198" s="42"/>
      <c r="GI198" s="42"/>
      <c r="GJ198" s="42"/>
      <c r="GK198" s="42"/>
      <c r="GL198" s="42"/>
      <c r="GM198" s="42"/>
      <c r="GN198" s="42"/>
      <c r="GO198" s="42"/>
      <c r="GP198" s="42"/>
      <c r="GQ198" s="42"/>
      <c r="GR198" s="42"/>
      <c r="GS198" s="42"/>
      <c r="GT198" s="42"/>
      <c r="GU198" s="42"/>
      <c r="GV198" s="42"/>
      <c r="GW198" s="42"/>
      <c r="GX198" s="42"/>
    </row>
    <row r="199" spans="1:206" x14ac:dyDescent="0.25">
      <c r="A199"/>
      <c r="B199"/>
      <c r="AH199" s="197"/>
    </row>
    <row r="200" spans="1:206" x14ac:dyDescent="0.25">
      <c r="A200"/>
      <c r="AH200" s="197"/>
    </row>
    <row r="201" spans="1:206" x14ac:dyDescent="0.25">
      <c r="A201"/>
      <c r="X201" s="25">
        <f ca="1">X16+X37+X41+X45+X67+X79+X89+X97+X130+X141+X147+X157+X177+X180+X187+X193</f>
        <v>14.81323139822384</v>
      </c>
      <c r="AH201" s="197"/>
    </row>
    <row r="202" spans="1:206" x14ac:dyDescent="0.25">
      <c r="A202"/>
      <c r="AH202" s="197"/>
    </row>
    <row r="203" spans="1:206" x14ac:dyDescent="0.25">
      <c r="A203"/>
      <c r="AH203" s="197"/>
    </row>
    <row r="204" spans="1:206" x14ac:dyDescent="0.25">
      <c r="A204"/>
      <c r="AH204" s="197"/>
    </row>
    <row r="205" spans="1:206" x14ac:dyDescent="0.25">
      <c r="A205"/>
      <c r="AH205" s="197"/>
    </row>
    <row r="206" spans="1:206" x14ac:dyDescent="0.25">
      <c r="A206"/>
      <c r="AH206" s="197"/>
    </row>
    <row r="207" spans="1:206" x14ac:dyDescent="0.25">
      <c r="A207"/>
    </row>
  </sheetData>
  <mergeCells count="2">
    <mergeCell ref="G3:I3"/>
    <mergeCell ref="AP3:AP4"/>
  </mergeCells>
  <phoneticPr fontId="31" type="noConversion"/>
  <pageMargins left="0.98425196850393704" right="0.98425196850393704" top="0.98425196850393704" bottom="0.98425196850393704" header="0.511811023622047" footer="0.511811023622047"/>
  <pageSetup paperSize="8" scale="50"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B1:L62"/>
  <sheetViews>
    <sheetView zoomScale="130" zoomScaleNormal="130" workbookViewId="0">
      <selection activeCell="K6" sqref="K6"/>
    </sheetView>
  </sheetViews>
  <sheetFormatPr defaultColWidth="9" defaultRowHeight="14.4" x14ac:dyDescent="0.25"/>
  <cols>
    <col min="2" max="2" width="16.109375" style="43" customWidth="1"/>
    <col min="3" max="3" width="14" style="1" customWidth="1"/>
    <col min="5" max="6" width="9.5546875" customWidth="1"/>
    <col min="7" max="7" width="9.5546875" style="40" customWidth="1"/>
    <col min="8" max="8" width="18.33203125" style="1" customWidth="1"/>
    <col min="9" max="9" width="13.88671875" style="1" customWidth="1"/>
    <col min="10" max="10" width="8.33203125" style="1" customWidth="1"/>
    <col min="11" max="11" width="11.44140625" style="1" customWidth="1"/>
    <col min="12" max="12" width="12.33203125" customWidth="1"/>
  </cols>
  <sheetData>
    <row r="1" spans="2:12" x14ac:dyDescent="0.25">
      <c r="B1" s="43">
        <v>656.36267362457704</v>
      </c>
      <c r="C1" s="1" t="s">
        <v>715</v>
      </c>
      <c r="G1" s="40">
        <f>B2-B1</f>
        <v>188.503305449496</v>
      </c>
    </row>
    <row r="2" spans="2:12" x14ac:dyDescent="0.25">
      <c r="B2" s="43">
        <v>844.86597907407304</v>
      </c>
      <c r="C2" s="1" t="s">
        <v>716</v>
      </c>
    </row>
    <row r="3" spans="2:12" x14ac:dyDescent="0.25">
      <c r="B3" s="43">
        <v>1871.8344545612099</v>
      </c>
      <c r="C3" s="1" t="s">
        <v>717</v>
      </c>
      <c r="G3" s="40">
        <f>B4-B3</f>
        <v>371.05509153510002</v>
      </c>
    </row>
    <row r="4" spans="2:12" x14ac:dyDescent="0.25">
      <c r="B4" s="43">
        <v>2242.8895460963099</v>
      </c>
      <c r="C4" s="1" t="s">
        <v>718</v>
      </c>
      <c r="H4" s="1" t="s">
        <v>719</v>
      </c>
      <c r="I4" s="1" t="s">
        <v>720</v>
      </c>
      <c r="J4" s="1" t="s">
        <v>659</v>
      </c>
      <c r="K4" s="1" t="s">
        <v>660</v>
      </c>
      <c r="L4" s="47" t="s">
        <v>721</v>
      </c>
    </row>
    <row r="5" spans="2:12" x14ac:dyDescent="0.25">
      <c r="B5" s="43">
        <v>2358.2657185107901</v>
      </c>
      <c r="C5" s="1" t="s">
        <v>722</v>
      </c>
      <c r="G5" s="40">
        <f>B6-B5</f>
        <v>136.82945211561992</v>
      </c>
      <c r="H5" s="2" t="s">
        <v>23</v>
      </c>
      <c r="I5" s="2" t="s">
        <v>23</v>
      </c>
      <c r="J5" s="2" t="s">
        <v>23</v>
      </c>
      <c r="K5" s="2" t="s">
        <v>23</v>
      </c>
      <c r="L5" s="2" t="s">
        <v>23</v>
      </c>
    </row>
    <row r="6" spans="2:12" x14ac:dyDescent="0.25">
      <c r="B6" s="43">
        <v>2495.09517062641</v>
      </c>
      <c r="C6" s="1" t="s">
        <v>723</v>
      </c>
      <c r="H6" s="1">
        <v>7023.46</v>
      </c>
      <c r="I6" s="3">
        <f>SUM(E23:E62)</f>
        <v>4242.5257006453048</v>
      </c>
      <c r="J6" s="3">
        <f>SUM(F9:F29)</f>
        <v>587.99982116124829</v>
      </c>
      <c r="K6" s="40">
        <f>SUM(G1:G62)</f>
        <v>10160.365793376935</v>
      </c>
      <c r="L6" s="44">
        <f>SUM(H6:K6)</f>
        <v>22014.351315183489</v>
      </c>
    </row>
    <row r="7" spans="2:12" x14ac:dyDescent="0.25">
      <c r="B7" s="43">
        <v>2553.2678272329099</v>
      </c>
      <c r="C7" s="1" t="s">
        <v>724</v>
      </c>
      <c r="G7" s="40">
        <f>B8-B7</f>
        <v>176.56504676703025</v>
      </c>
    </row>
    <row r="8" spans="2:12" x14ac:dyDescent="0.25">
      <c r="B8" s="43">
        <v>2729.8328739999401</v>
      </c>
      <c r="C8" s="1" t="s">
        <v>725</v>
      </c>
    </row>
    <row r="9" spans="2:12" x14ac:dyDescent="0.25">
      <c r="B9" s="43">
        <v>2858.5128855096</v>
      </c>
      <c r="C9" s="1" t="s">
        <v>726</v>
      </c>
      <c r="F9" s="44">
        <f>B10-B9</f>
        <v>83.999362297769949</v>
      </c>
      <c r="I9" s="48"/>
    </row>
    <row r="10" spans="2:12" x14ac:dyDescent="0.25">
      <c r="B10" s="43">
        <v>2942.5122478073699</v>
      </c>
      <c r="C10" s="1" t="s">
        <v>727</v>
      </c>
    </row>
    <row r="11" spans="2:12" x14ac:dyDescent="0.25">
      <c r="B11" s="43">
        <v>3327.65108972703</v>
      </c>
      <c r="C11" s="1" t="s">
        <v>728</v>
      </c>
      <c r="F11" s="44">
        <f>B12-B11</f>
        <v>120.00000179277004</v>
      </c>
    </row>
    <row r="12" spans="2:12" x14ac:dyDescent="0.25">
      <c r="B12" s="43">
        <v>3447.6510915198</v>
      </c>
      <c r="C12" s="1" t="s">
        <v>729</v>
      </c>
    </row>
    <row r="13" spans="2:12" x14ac:dyDescent="0.25">
      <c r="B13" s="43">
        <v>3706.6332624175602</v>
      </c>
      <c r="C13" s="1" t="s">
        <v>730</v>
      </c>
      <c r="F13" s="44">
        <f>B14-B13</f>
        <v>119.99993709411001</v>
      </c>
    </row>
    <row r="14" spans="2:12" x14ac:dyDescent="0.25">
      <c r="B14" s="43">
        <v>3826.6331995116702</v>
      </c>
      <c r="C14" s="1" t="s">
        <v>731</v>
      </c>
    </row>
    <row r="15" spans="2:12" x14ac:dyDescent="0.25">
      <c r="B15" s="43">
        <v>3927.59691929675</v>
      </c>
      <c r="C15" s="1" t="s">
        <v>732</v>
      </c>
      <c r="G15" s="40">
        <f>B16-B15</f>
        <v>134.43001648829977</v>
      </c>
    </row>
    <row r="16" spans="2:12" x14ac:dyDescent="0.25">
      <c r="B16" s="43">
        <v>4062.0269357850498</v>
      </c>
      <c r="C16" s="1" t="s">
        <v>733</v>
      </c>
    </row>
    <row r="17" spans="2:7" x14ac:dyDescent="0.25">
      <c r="B17" s="43">
        <v>4774.3854424054598</v>
      </c>
      <c r="C17" s="1" t="s">
        <v>734</v>
      </c>
      <c r="G17" s="40">
        <f>B18-B17</f>
        <v>500.4774850306203</v>
      </c>
    </row>
    <row r="18" spans="2:7" x14ac:dyDescent="0.25">
      <c r="B18" s="43">
        <v>5274.8629274360801</v>
      </c>
      <c r="C18" s="1" t="s">
        <v>735</v>
      </c>
    </row>
    <row r="19" spans="2:7" x14ac:dyDescent="0.25">
      <c r="B19" s="43">
        <v>5794.4603224804196</v>
      </c>
      <c r="C19" s="1" t="s">
        <v>605</v>
      </c>
      <c r="G19" s="40">
        <f>B20-B19</f>
        <v>626.90036535529998</v>
      </c>
    </row>
    <row r="20" spans="2:7" x14ac:dyDescent="0.25">
      <c r="B20" s="43">
        <v>6421.3606878357195</v>
      </c>
      <c r="C20" s="1" t="s">
        <v>606</v>
      </c>
    </row>
    <row r="21" spans="2:7" x14ac:dyDescent="0.25">
      <c r="B21" s="43">
        <v>6675.6568827333103</v>
      </c>
      <c r="C21" s="1" t="s">
        <v>608</v>
      </c>
      <c r="G21" s="40">
        <f>B22-B21</f>
        <v>2594.9011352724701</v>
      </c>
    </row>
    <row r="22" spans="2:7" x14ac:dyDescent="0.25">
      <c r="B22" s="43">
        <v>9270.5580180057805</v>
      </c>
      <c r="C22" s="1" t="s">
        <v>609</v>
      </c>
    </row>
    <row r="23" spans="2:7" x14ac:dyDescent="0.25">
      <c r="B23" s="43">
        <v>9542.8680308206003</v>
      </c>
      <c r="C23" s="1" t="s">
        <v>611</v>
      </c>
      <c r="E23" s="44">
        <f>B24-B23</f>
        <v>617.77469509319963</v>
      </c>
      <c r="F23" s="44"/>
    </row>
    <row r="24" spans="2:7" x14ac:dyDescent="0.25">
      <c r="B24" s="43">
        <v>10160.6427259138</v>
      </c>
      <c r="C24" s="1" t="s">
        <v>612</v>
      </c>
    </row>
    <row r="25" spans="2:7" x14ac:dyDescent="0.25">
      <c r="B25" s="43">
        <v>11114.105036716701</v>
      </c>
      <c r="C25" s="1" t="s">
        <v>614</v>
      </c>
      <c r="F25" s="44">
        <f>B26-B25</f>
        <v>114.00056763379871</v>
      </c>
    </row>
    <row r="26" spans="2:7" x14ac:dyDescent="0.25">
      <c r="B26" s="43">
        <v>11228.1056043505</v>
      </c>
      <c r="C26" s="1" t="s">
        <v>615</v>
      </c>
    </row>
    <row r="27" spans="2:7" x14ac:dyDescent="0.25">
      <c r="B27" s="43">
        <v>11239.4261246732</v>
      </c>
      <c r="C27" s="1" t="s">
        <v>616</v>
      </c>
      <c r="E27" s="44">
        <f>B28-B27</f>
        <v>95.444248651399903</v>
      </c>
      <c r="F27" s="44"/>
    </row>
    <row r="28" spans="2:7" x14ac:dyDescent="0.25">
      <c r="B28" s="43">
        <v>11334.8703733246</v>
      </c>
      <c r="C28" s="1" t="s">
        <v>617</v>
      </c>
    </row>
    <row r="29" spans="2:7" x14ac:dyDescent="0.25">
      <c r="B29" s="43">
        <v>11349.531239464401</v>
      </c>
      <c r="C29" s="1" t="s">
        <v>736</v>
      </c>
      <c r="F29" s="44">
        <f>B30-B29</f>
        <v>149.99995234279959</v>
      </c>
    </row>
    <row r="30" spans="2:7" x14ac:dyDescent="0.25">
      <c r="B30" s="43">
        <v>11499.5311918072</v>
      </c>
      <c r="C30" s="1" t="s">
        <v>619</v>
      </c>
    </row>
    <row r="31" spans="2:7" x14ac:dyDescent="0.25">
      <c r="B31" s="43">
        <v>11510.531179292801</v>
      </c>
      <c r="C31" s="1" t="s">
        <v>620</v>
      </c>
      <c r="E31" s="44">
        <f>B32-B31</f>
        <v>152.74712548749994</v>
      </c>
      <c r="F31" s="44"/>
    </row>
    <row r="32" spans="2:7" x14ac:dyDescent="0.25">
      <c r="B32" s="43">
        <v>11663.2783047803</v>
      </c>
      <c r="C32" s="1" t="s">
        <v>621</v>
      </c>
    </row>
    <row r="33" spans="2:11" x14ac:dyDescent="0.25">
      <c r="B33" s="43">
        <v>11707.656577206801</v>
      </c>
      <c r="C33" s="1" t="s">
        <v>622</v>
      </c>
      <c r="G33" s="40">
        <f>B34-B33</f>
        <v>606.57845994459967</v>
      </c>
    </row>
    <row r="34" spans="2:11" x14ac:dyDescent="0.25">
      <c r="B34" s="43">
        <v>12314.2350371514</v>
      </c>
      <c r="C34" s="1" t="s">
        <v>623</v>
      </c>
    </row>
    <row r="35" spans="2:11" x14ac:dyDescent="0.25">
      <c r="B35" s="43">
        <v>12340.1572821507</v>
      </c>
      <c r="C35" s="1" t="s">
        <v>624</v>
      </c>
      <c r="E35" s="44">
        <f>B36-B35</f>
        <v>1551.3656228852997</v>
      </c>
      <c r="F35" s="44"/>
    </row>
    <row r="36" spans="2:11" x14ac:dyDescent="0.25">
      <c r="B36" s="43">
        <v>13891.522905035999</v>
      </c>
      <c r="C36" s="1" t="s">
        <v>625</v>
      </c>
    </row>
    <row r="37" spans="2:11" x14ac:dyDescent="0.25">
      <c r="B37" s="43">
        <v>14062.8302659685</v>
      </c>
      <c r="C37" s="1" t="s">
        <v>628</v>
      </c>
      <c r="G37" s="40">
        <f>B38-B37</f>
        <v>1374.6767412410009</v>
      </c>
    </row>
    <row r="38" spans="2:11" x14ac:dyDescent="0.25">
      <c r="B38" s="43">
        <v>15437.5070072095</v>
      </c>
      <c r="C38" s="1" t="s">
        <v>629</v>
      </c>
    </row>
    <row r="39" spans="2:11" x14ac:dyDescent="0.25">
      <c r="B39" s="43">
        <v>15447.205398267801</v>
      </c>
      <c r="C39" s="1" t="s">
        <v>630</v>
      </c>
      <c r="E39" s="44">
        <f>B40-B39</f>
        <v>242.04126930209895</v>
      </c>
      <c r="F39" s="44"/>
    </row>
    <row r="40" spans="2:11" x14ac:dyDescent="0.25">
      <c r="B40" s="43">
        <v>15689.2466675699</v>
      </c>
      <c r="C40" s="1" t="s">
        <v>631</v>
      </c>
    </row>
    <row r="41" spans="2:11" x14ac:dyDescent="0.25">
      <c r="B41" s="43">
        <v>15697.746276554901</v>
      </c>
      <c r="C41" s="1" t="s">
        <v>632</v>
      </c>
      <c r="G41" s="40">
        <f>B42-B41</f>
        <v>273.72519818229921</v>
      </c>
    </row>
    <row r="42" spans="2:11" x14ac:dyDescent="0.25">
      <c r="B42" s="43">
        <v>15971.4714747372</v>
      </c>
      <c r="C42" s="1" t="s">
        <v>633</v>
      </c>
    </row>
    <row r="43" spans="2:11" x14ac:dyDescent="0.25">
      <c r="B43" s="43">
        <v>15983.612254252999</v>
      </c>
      <c r="C43" s="1" t="s">
        <v>634</v>
      </c>
      <c r="E43" s="44">
        <f>B44-B43</f>
        <v>652.3387679740008</v>
      </c>
      <c r="F43" s="44"/>
    </row>
    <row r="44" spans="2:11" s="42" customFormat="1" x14ac:dyDescent="0.25">
      <c r="B44" s="43">
        <v>16635.951022227</v>
      </c>
      <c r="C44" s="45" t="s">
        <v>635</v>
      </c>
      <c r="G44" s="46"/>
      <c r="H44" s="45"/>
      <c r="I44" s="45"/>
      <c r="J44" s="45"/>
      <c r="K44" s="45"/>
    </row>
    <row r="45" spans="2:11" x14ac:dyDescent="0.25">
      <c r="B45" s="43">
        <v>16679.029711017502</v>
      </c>
      <c r="C45" s="1" t="s">
        <v>637</v>
      </c>
      <c r="G45" s="40">
        <f>B46-B45</f>
        <v>1644.1557157427997</v>
      </c>
    </row>
    <row r="46" spans="2:11" x14ac:dyDescent="0.25">
      <c r="B46" s="43">
        <v>18323.185426760301</v>
      </c>
      <c r="C46" s="1" t="s">
        <v>638</v>
      </c>
    </row>
    <row r="47" spans="2:11" x14ac:dyDescent="0.25">
      <c r="B47" s="43">
        <v>19244.4040703625</v>
      </c>
      <c r="C47" s="1" t="s">
        <v>640</v>
      </c>
      <c r="G47" s="40">
        <f>B48-B47</f>
        <v>242.768384225099</v>
      </c>
    </row>
    <row r="48" spans="2:11" x14ac:dyDescent="0.25">
      <c r="B48" s="43">
        <v>19487.172454587599</v>
      </c>
      <c r="C48" s="1" t="s">
        <v>641</v>
      </c>
    </row>
    <row r="49" spans="2:7" x14ac:dyDescent="0.25">
      <c r="B49" s="43">
        <v>19619.3689302641</v>
      </c>
      <c r="C49" s="1" t="s">
        <v>642</v>
      </c>
      <c r="G49" s="40">
        <f>B50-B49</f>
        <v>382.6748828874006</v>
      </c>
    </row>
    <row r="50" spans="2:7" x14ac:dyDescent="0.25">
      <c r="B50" s="43">
        <v>20002.0438131515</v>
      </c>
      <c r="C50" s="1" t="s">
        <v>643</v>
      </c>
    </row>
    <row r="51" spans="2:7" x14ac:dyDescent="0.25">
      <c r="B51" s="43">
        <v>20009.0446835734</v>
      </c>
      <c r="C51" s="1" t="s">
        <v>644</v>
      </c>
      <c r="E51" s="44">
        <f>B52-B51</f>
        <v>209.06238318610121</v>
      </c>
      <c r="F51" s="44"/>
    </row>
    <row r="52" spans="2:7" x14ac:dyDescent="0.25">
      <c r="B52" s="43">
        <v>20218.107066759501</v>
      </c>
      <c r="C52" s="1" t="s">
        <v>645</v>
      </c>
    </row>
    <row r="53" spans="2:7" x14ac:dyDescent="0.25">
      <c r="B53" s="43">
        <v>20225.107913264001</v>
      </c>
      <c r="C53" s="1" t="s">
        <v>646</v>
      </c>
      <c r="G53" s="40">
        <f>B54-B53</f>
        <v>230.99791725139949</v>
      </c>
    </row>
    <row r="54" spans="2:7" x14ac:dyDescent="0.25">
      <c r="B54" s="43">
        <v>20456.1058305154</v>
      </c>
      <c r="C54" s="1" t="s">
        <v>647</v>
      </c>
    </row>
    <row r="55" spans="2:7" x14ac:dyDescent="0.25">
      <c r="B55" s="43">
        <v>20493.0965060823</v>
      </c>
      <c r="C55" s="1" t="s">
        <v>649</v>
      </c>
      <c r="E55" s="44">
        <f>B56-B55</f>
        <v>283.18699343390108</v>
      </c>
      <c r="F55" s="44"/>
    </row>
    <row r="56" spans="2:7" x14ac:dyDescent="0.25">
      <c r="B56" s="43">
        <v>20776.283499516201</v>
      </c>
      <c r="C56" s="1" t="s">
        <v>650</v>
      </c>
    </row>
    <row r="57" spans="2:7" x14ac:dyDescent="0.25">
      <c r="B57" s="43">
        <v>20793.658555431499</v>
      </c>
      <c r="C57" s="1" t="s">
        <v>651</v>
      </c>
      <c r="G57" s="40">
        <f>B58-B57</f>
        <v>675.12659588839961</v>
      </c>
    </row>
    <row r="58" spans="2:7" x14ac:dyDescent="0.25">
      <c r="B58" s="43">
        <v>21468.785151319898</v>
      </c>
      <c r="C58" s="1" t="s">
        <v>652</v>
      </c>
    </row>
    <row r="59" spans="2:7" x14ac:dyDescent="0.25">
      <c r="B59" s="43">
        <v>21485.785201924798</v>
      </c>
      <c r="C59" s="2" t="s">
        <v>737</v>
      </c>
      <c r="E59" s="44">
        <f>B60-B59</f>
        <v>139.88021473510162</v>
      </c>
      <c r="F59" s="44"/>
    </row>
    <row r="60" spans="2:7" x14ac:dyDescent="0.25">
      <c r="B60" s="43">
        <v>21625.6654166599</v>
      </c>
      <c r="C60" s="2" t="s">
        <v>738</v>
      </c>
    </row>
    <row r="61" spans="2:7" x14ac:dyDescent="0.25">
      <c r="B61" s="43">
        <v>21715.665113884399</v>
      </c>
      <c r="C61" s="2" t="s">
        <v>739</v>
      </c>
      <c r="E61" s="44">
        <f>B62-B61</f>
        <v>298.68437989670201</v>
      </c>
    </row>
    <row r="62" spans="2:7" x14ac:dyDescent="0.25">
      <c r="B62" s="43">
        <v>22014.349493781101</v>
      </c>
      <c r="C62" s="2" t="s">
        <v>740</v>
      </c>
    </row>
  </sheetData>
  <phoneticPr fontId="31" type="noConversion"/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L196"/>
  <sheetViews>
    <sheetView workbookViewId="0">
      <selection activeCell="K203" sqref="K203"/>
    </sheetView>
  </sheetViews>
  <sheetFormatPr defaultColWidth="8.88671875" defaultRowHeight="14.4" x14ac:dyDescent="0.25"/>
  <cols>
    <col min="1" max="1" width="31.44140625" style="1" customWidth="1"/>
    <col min="2" max="2" width="12.88671875" style="36" customWidth="1"/>
    <col min="3" max="3" width="13.88671875" style="36" customWidth="1"/>
    <col min="4" max="4" width="5.5546875" style="1" customWidth="1"/>
    <col min="5" max="5" width="7.5546875" style="3" customWidth="1"/>
    <col min="6" max="7" width="8.88671875" style="1"/>
    <col min="8" max="10" width="16.109375" style="12" customWidth="1"/>
    <col min="11" max="11" width="11.6640625" style="1" customWidth="1"/>
    <col min="12" max="12" width="9.5546875" style="1" customWidth="1"/>
    <col min="13" max="16384" width="8.88671875" style="1"/>
  </cols>
  <sheetData>
    <row r="1" spans="1:12" x14ac:dyDescent="0.25">
      <c r="A1" s="37" t="s">
        <v>666</v>
      </c>
      <c r="B1" s="36" t="s">
        <v>667</v>
      </c>
      <c r="C1" s="36" t="s">
        <v>668</v>
      </c>
      <c r="D1" s="1" t="s">
        <v>60</v>
      </c>
      <c r="E1" s="1" t="s">
        <v>669</v>
      </c>
      <c r="F1" s="1" t="s">
        <v>573</v>
      </c>
      <c r="G1" s="1" t="s">
        <v>574</v>
      </c>
      <c r="H1" s="38" t="s">
        <v>741</v>
      </c>
      <c r="K1" s="3" t="s">
        <v>690</v>
      </c>
      <c r="L1" s="3" t="s">
        <v>690</v>
      </c>
    </row>
    <row r="2" spans="1:12" x14ac:dyDescent="0.25">
      <c r="A2" s="37"/>
      <c r="B2" s="39" t="s">
        <v>23</v>
      </c>
      <c r="C2" s="39" t="s">
        <v>23</v>
      </c>
      <c r="D2" s="2" t="s">
        <v>23</v>
      </c>
      <c r="E2" s="8" t="s">
        <v>742</v>
      </c>
      <c r="F2" s="2" t="s">
        <v>23</v>
      </c>
      <c r="G2" s="2" t="s">
        <v>23</v>
      </c>
      <c r="H2" s="12" t="s">
        <v>697</v>
      </c>
      <c r="I2" s="12" t="s">
        <v>698</v>
      </c>
      <c r="J2" s="12" t="s">
        <v>699</v>
      </c>
      <c r="K2" s="8" t="s">
        <v>743</v>
      </c>
      <c r="L2" s="8" t="s">
        <v>744</v>
      </c>
    </row>
    <row r="3" spans="1:12" x14ac:dyDescent="0.25">
      <c r="A3" s="37" t="s">
        <v>745</v>
      </c>
      <c r="B3" s="36">
        <v>451504.85830000002</v>
      </c>
      <c r="C3" s="36">
        <v>3048142.1269</v>
      </c>
      <c r="D3" s="1">
        <v>0</v>
      </c>
      <c r="E3" s="3">
        <v>0</v>
      </c>
      <c r="F3" s="3">
        <v>0</v>
      </c>
      <c r="G3" s="3">
        <v>0</v>
      </c>
      <c r="H3" s="12">
        <v>0</v>
      </c>
      <c r="I3" s="12">
        <v>0</v>
      </c>
      <c r="J3" s="12">
        <v>0</v>
      </c>
      <c r="K3" s="40">
        <v>2392.2710000000002</v>
      </c>
      <c r="L3" s="40">
        <v>2390.6710541635998</v>
      </c>
    </row>
    <row r="4" spans="1:12" x14ac:dyDescent="0.25">
      <c r="A4" s="37" t="s">
        <v>746</v>
      </c>
      <c r="B4" s="36">
        <v>451485.89730000001</v>
      </c>
      <c r="C4" s="36">
        <v>3048138.6324</v>
      </c>
      <c r="D4" s="1">
        <v>13</v>
      </c>
      <c r="E4" s="3">
        <v>66.192999999999998</v>
      </c>
      <c r="F4" s="3">
        <v>8.4734618302514093</v>
      </c>
      <c r="G4" s="3">
        <v>15.018715293043901</v>
      </c>
      <c r="H4" s="12">
        <v>10.8068662595555</v>
      </c>
      <c r="I4" s="12">
        <v>18.316223906077401</v>
      </c>
      <c r="J4" s="12">
        <v>25.825581552599399</v>
      </c>
      <c r="K4" s="40">
        <v>2392.2665407682198</v>
      </c>
      <c r="L4" s="40">
        <v>2390.6665949318199</v>
      </c>
    </row>
    <row r="5" spans="1:12" x14ac:dyDescent="0.25">
      <c r="A5" s="37" t="s">
        <v>747</v>
      </c>
      <c r="B5" s="36">
        <v>451464.65629999997</v>
      </c>
      <c r="C5" s="36">
        <v>3048049.2302999999</v>
      </c>
      <c r="D5" s="1">
        <v>13</v>
      </c>
      <c r="E5" s="3">
        <v>58.598999999999997</v>
      </c>
      <c r="F5" s="3">
        <v>7.2951105901021904</v>
      </c>
      <c r="G5" s="3">
        <v>13.295691348889999</v>
      </c>
      <c r="H5" s="12">
        <v>101.94778976568701</v>
      </c>
      <c r="I5" s="12">
        <v>108.595635440132</v>
      </c>
      <c r="J5" s="12">
        <v>115.24348111457699</v>
      </c>
      <c r="K5" s="40">
        <v>2392.24698423162</v>
      </c>
      <c r="L5" s="40">
        <v>2390.6470383952201</v>
      </c>
    </row>
    <row r="6" spans="1:12" x14ac:dyDescent="0.25">
      <c r="A6" s="37" t="s">
        <v>748</v>
      </c>
      <c r="B6" s="36">
        <v>451431.47340000002</v>
      </c>
      <c r="C6" s="36">
        <v>3048038.4252999998</v>
      </c>
      <c r="D6" s="1">
        <v>13</v>
      </c>
      <c r="E6" s="3">
        <v>33.454999999999998</v>
      </c>
      <c r="F6" s="3">
        <v>3.9069890572137398</v>
      </c>
      <c r="G6" s="3">
        <v>7.5906987163111399</v>
      </c>
      <c r="H6" s="12">
        <v>138.93913035470001</v>
      </c>
      <c r="I6" s="12">
        <v>142.73447971285501</v>
      </c>
      <c r="J6" s="12">
        <v>146.52982907101099</v>
      </c>
      <c r="K6" s="40">
        <v>2392.23904949092</v>
      </c>
      <c r="L6" s="40">
        <v>2390.6391036545201</v>
      </c>
    </row>
    <row r="7" spans="1:12" x14ac:dyDescent="0.25">
      <c r="A7" s="37" t="s">
        <v>749</v>
      </c>
      <c r="B7" s="36">
        <v>451427.04879999999</v>
      </c>
      <c r="C7" s="36">
        <v>3048032.8645000001</v>
      </c>
      <c r="D7" s="1">
        <v>0</v>
      </c>
      <c r="E7" s="3">
        <v>0</v>
      </c>
      <c r="F7" s="3">
        <v>0</v>
      </c>
      <c r="G7" s="3">
        <v>0</v>
      </c>
      <c r="H7" s="12">
        <v>149.729145790789</v>
      </c>
      <c r="I7" s="12">
        <v>149.729145790789</v>
      </c>
      <c r="J7" s="12">
        <v>149.729145790789</v>
      </c>
      <c r="K7" s="40">
        <v>2392.23724825315</v>
      </c>
      <c r="L7" s="40">
        <v>2390.6373024167501</v>
      </c>
    </row>
    <row r="8" spans="1:12" x14ac:dyDescent="0.25">
      <c r="A8" s="37" t="s">
        <v>750</v>
      </c>
      <c r="B8" s="36">
        <v>451364.00469999999</v>
      </c>
      <c r="C8" s="36">
        <v>3047953.6310999999</v>
      </c>
      <c r="D8" s="1">
        <v>13</v>
      </c>
      <c r="E8" s="3">
        <v>16.202000000000002</v>
      </c>
      <c r="F8" s="3">
        <v>1.85040547329525</v>
      </c>
      <c r="G8" s="3">
        <v>3.6761171903055798</v>
      </c>
      <c r="H8" s="12">
        <v>249.133321549214</v>
      </c>
      <c r="I8" s="12">
        <v>250.97138014436601</v>
      </c>
      <c r="J8" s="12">
        <v>252.80943873951901</v>
      </c>
      <c r="K8" s="40">
        <v>2392.2168057640902</v>
      </c>
      <c r="L8" s="40">
        <v>2390.63371669769</v>
      </c>
    </row>
    <row r="9" spans="1:12" x14ac:dyDescent="0.25">
      <c r="A9" s="37" t="s">
        <v>751</v>
      </c>
      <c r="B9" s="36">
        <v>451333.91159999999</v>
      </c>
      <c r="C9" s="36">
        <v>3047880.2790999999</v>
      </c>
      <c r="D9" s="1">
        <v>13</v>
      </c>
      <c r="E9" s="3">
        <v>64.323999999999998</v>
      </c>
      <c r="F9" s="3">
        <v>8.1745008610699408</v>
      </c>
      <c r="G9" s="3">
        <v>14.5946526446868</v>
      </c>
      <c r="H9" s="12">
        <v>322.06952828459703</v>
      </c>
      <c r="I9" s="12">
        <v>329.36685460694099</v>
      </c>
      <c r="J9" s="12">
        <v>336.66418092928399</v>
      </c>
      <c r="K9" s="40">
        <v>2392.2001622548401</v>
      </c>
      <c r="L9" s="40">
        <v>2390.6170731884399</v>
      </c>
    </row>
    <row r="10" spans="1:12" x14ac:dyDescent="0.25">
      <c r="A10" s="37" t="s">
        <v>752</v>
      </c>
      <c r="B10" s="36">
        <v>451286.96840000001</v>
      </c>
      <c r="C10" s="36">
        <v>3047877.5153000001</v>
      </c>
      <c r="D10" s="1">
        <v>13</v>
      </c>
      <c r="E10" s="3">
        <v>44.874000000000002</v>
      </c>
      <c r="F10" s="3">
        <v>5.3680371764116801</v>
      </c>
      <c r="G10" s="3">
        <v>10.1815876310192</v>
      </c>
      <c r="H10" s="12">
        <v>370.14613243371298</v>
      </c>
      <c r="I10" s="12">
        <v>375.23692624922199</v>
      </c>
      <c r="J10" s="12">
        <v>380.32772006473198</v>
      </c>
      <c r="K10" s="40">
        <v>2392.1896804378198</v>
      </c>
      <c r="L10" s="40">
        <v>2390.6065913714201</v>
      </c>
    </row>
    <row r="11" spans="1:12" x14ac:dyDescent="0.25">
      <c r="A11" s="37" t="s">
        <v>753</v>
      </c>
      <c r="B11" s="36">
        <v>451185.67940000002</v>
      </c>
      <c r="C11" s="36">
        <v>3047764.0562999998</v>
      </c>
      <c r="D11" s="1">
        <v>13</v>
      </c>
      <c r="E11" s="3">
        <v>53.83</v>
      </c>
      <c r="F11" s="3">
        <v>6.5995563576744498</v>
      </c>
      <c r="G11" s="3">
        <v>12.2136395725311</v>
      </c>
      <c r="H11" s="12">
        <v>520.45353928102702</v>
      </c>
      <c r="I11" s="12">
        <v>526.56035906729301</v>
      </c>
      <c r="J11" s="12">
        <v>532.66717885355797</v>
      </c>
      <c r="K11" s="40">
        <v>2392.1582336292699</v>
      </c>
      <c r="L11" s="40">
        <v>2390.5751445628698</v>
      </c>
    </row>
    <row r="12" spans="1:12" x14ac:dyDescent="0.25">
      <c r="A12" s="37" t="s">
        <v>715</v>
      </c>
      <c r="B12" s="36">
        <v>451212.93290000001</v>
      </c>
      <c r="C12" s="36">
        <v>3047636.6433999999</v>
      </c>
      <c r="D12" s="1">
        <v>0</v>
      </c>
      <c r="E12" s="3">
        <v>0</v>
      </c>
      <c r="F12" s="3">
        <v>0</v>
      </c>
      <c r="G12" s="3">
        <v>0</v>
      </c>
      <c r="H12" s="12">
        <v>656.36267362457704</v>
      </c>
      <c r="I12" s="12">
        <v>656.36267362457704</v>
      </c>
      <c r="J12" s="12">
        <v>656.36267362457704</v>
      </c>
      <c r="K12" s="40">
        <v>2392.1575889378</v>
      </c>
      <c r="L12" s="40">
        <v>2390.5744998713999</v>
      </c>
    </row>
    <row r="13" spans="1:12" x14ac:dyDescent="0.25">
      <c r="A13" s="37" t="s">
        <v>754</v>
      </c>
      <c r="B13" s="36">
        <v>451245.36609999998</v>
      </c>
      <c r="C13" s="36">
        <v>3047485.0145999999</v>
      </c>
      <c r="D13" s="1">
        <v>6</v>
      </c>
      <c r="E13" s="3">
        <v>66.338999999999999</v>
      </c>
      <c r="F13" s="3">
        <v>3.92172991764363</v>
      </c>
      <c r="G13" s="3">
        <v>6.9470038348831098</v>
      </c>
      <c r="H13" s="12">
        <v>807.49965984923097</v>
      </c>
      <c r="I13" s="12">
        <v>810.97316176667198</v>
      </c>
      <c r="J13" s="12">
        <v>814.44666368411401</v>
      </c>
      <c r="K13" s="40">
        <v>2392.1575889378</v>
      </c>
      <c r="L13" s="40">
        <v>2390.5744998713999</v>
      </c>
    </row>
    <row r="14" spans="1:12" x14ac:dyDescent="0.25">
      <c r="A14" s="37" t="s">
        <v>716</v>
      </c>
      <c r="B14" s="36">
        <v>451279.00719999999</v>
      </c>
      <c r="C14" s="36">
        <v>3047478.1165</v>
      </c>
      <c r="D14" s="1">
        <v>0</v>
      </c>
      <c r="E14" s="3">
        <v>0</v>
      </c>
      <c r="F14" s="3">
        <v>0</v>
      </c>
      <c r="G14" s="3">
        <v>0</v>
      </c>
      <c r="H14" s="12">
        <v>844.86597907407304</v>
      </c>
      <c r="I14" s="12">
        <v>844.86597907407304</v>
      </c>
      <c r="J14" s="12">
        <v>844.86597907407304</v>
      </c>
      <c r="K14" s="40">
        <v>2391.6635167178601</v>
      </c>
      <c r="L14" s="40">
        <v>2390.08042765146</v>
      </c>
    </row>
    <row r="15" spans="1:12" x14ac:dyDescent="0.25">
      <c r="A15" s="37" t="s">
        <v>755</v>
      </c>
      <c r="B15" s="36">
        <v>451315.81439999997</v>
      </c>
      <c r="C15" s="36">
        <v>3047470.5693000001</v>
      </c>
      <c r="D15" s="1">
        <v>13</v>
      </c>
      <c r="E15" s="3">
        <v>60.901000000000003</v>
      </c>
      <c r="F15" s="3">
        <v>7.6424647781655404</v>
      </c>
      <c r="G15" s="3">
        <v>13.8179985808419</v>
      </c>
      <c r="H15" s="12">
        <v>874.79651257495505</v>
      </c>
      <c r="I15" s="12">
        <v>881.70551186537602</v>
      </c>
      <c r="J15" s="12">
        <v>888.614511155797</v>
      </c>
      <c r="K15" s="40">
        <v>2391.6554194344599</v>
      </c>
      <c r="L15" s="40">
        <v>2390.0723303680602</v>
      </c>
    </row>
    <row r="16" spans="1:12" x14ac:dyDescent="0.25">
      <c r="A16" s="37" t="s">
        <v>756</v>
      </c>
      <c r="B16" s="36">
        <v>451337.09340000001</v>
      </c>
      <c r="C16" s="36">
        <v>3047403.1253</v>
      </c>
      <c r="D16" s="1">
        <v>13</v>
      </c>
      <c r="E16" s="3">
        <v>45.805</v>
      </c>
      <c r="F16" s="3">
        <v>5.4920834565260801</v>
      </c>
      <c r="G16" s="3">
        <v>10.392824830387999</v>
      </c>
      <c r="H16" s="12">
        <v>946.20116891350699</v>
      </c>
      <c r="I16" s="12">
        <v>951.39758132870099</v>
      </c>
      <c r="J16" s="12">
        <v>956.593993743895</v>
      </c>
      <c r="K16" s="40">
        <v>2391.6402030631598</v>
      </c>
      <c r="L16" s="40">
        <v>2390.0571139967601</v>
      </c>
    </row>
    <row r="17" spans="1:12" x14ac:dyDescent="0.25">
      <c r="A17" s="37" t="s">
        <v>757</v>
      </c>
      <c r="B17" s="36">
        <v>451309.92340000003</v>
      </c>
      <c r="C17" s="36">
        <v>3047352.6523000002</v>
      </c>
      <c r="D17" s="1">
        <v>13</v>
      </c>
      <c r="E17" s="3">
        <v>58.701999999999998</v>
      </c>
      <c r="F17" s="3">
        <v>7.3104829646042404</v>
      </c>
      <c r="G17" s="3">
        <v>13.3190613075742</v>
      </c>
      <c r="H17" s="12">
        <v>1001.1127377489501</v>
      </c>
      <c r="I17" s="12">
        <v>1007.77226840274</v>
      </c>
      <c r="J17" s="12">
        <v>1014.4317990565301</v>
      </c>
      <c r="K17" s="40">
        <v>2391.62767650451</v>
      </c>
      <c r="L17" s="40">
        <v>2390.0445874381098</v>
      </c>
    </row>
    <row r="18" spans="1:12" x14ac:dyDescent="0.25">
      <c r="A18" s="37" t="s">
        <v>758</v>
      </c>
      <c r="B18" s="36">
        <v>451332.33880000003</v>
      </c>
      <c r="C18" s="36">
        <v>3047314.4580000001</v>
      </c>
      <c r="D18" s="1">
        <v>13</v>
      </c>
      <c r="E18" s="3">
        <v>30.472999999999999</v>
      </c>
      <c r="F18" s="3">
        <v>3.5409162825085501</v>
      </c>
      <c r="G18" s="3">
        <v>6.9141043784830201</v>
      </c>
      <c r="H18" s="12">
        <v>1047.8664552857899</v>
      </c>
      <c r="I18" s="12">
        <v>1051.3235074750301</v>
      </c>
      <c r="J18" s="12">
        <v>1054.78055966427</v>
      </c>
      <c r="K18" s="40">
        <v>2391.61789825815</v>
      </c>
      <c r="L18" s="40">
        <v>2390.0348091917499</v>
      </c>
    </row>
    <row r="19" spans="1:12" x14ac:dyDescent="0.25">
      <c r="A19" s="37" t="s">
        <v>759</v>
      </c>
      <c r="B19" s="36">
        <v>451385.00439999998</v>
      </c>
      <c r="C19" s="36">
        <v>3047285.1213000002</v>
      </c>
      <c r="D19" s="1">
        <v>13</v>
      </c>
      <c r="E19" s="3">
        <v>76.224999999999994</v>
      </c>
      <c r="F19" s="3">
        <v>10.1978827073223</v>
      </c>
      <c r="G19" s="3">
        <v>17.2949038903248</v>
      </c>
      <c r="H19" s="12">
        <v>1101.3269776868799</v>
      </c>
      <c r="I19" s="12">
        <v>1109.97442963205</v>
      </c>
      <c r="J19" s="12">
        <v>1118.6218815772099</v>
      </c>
      <c r="K19" s="40">
        <v>2391.6048902121101</v>
      </c>
      <c r="L19" s="40">
        <v>2390.02180114571</v>
      </c>
    </row>
    <row r="20" spans="1:12" x14ac:dyDescent="0.25">
      <c r="A20" s="37" t="s">
        <v>760</v>
      </c>
      <c r="B20" s="36">
        <v>451372.18939999997</v>
      </c>
      <c r="C20" s="36">
        <v>3047238.4202999999</v>
      </c>
      <c r="D20" s="1">
        <v>13</v>
      </c>
      <c r="E20" s="3">
        <v>11.442</v>
      </c>
      <c r="F20" s="3">
        <v>1.3023848979667301</v>
      </c>
      <c r="G20" s="3">
        <v>2.5961074491714902</v>
      </c>
      <c r="H20" s="12">
        <v>1155.5489577565299</v>
      </c>
      <c r="I20" s="12">
        <v>1156.84701148112</v>
      </c>
      <c r="J20" s="12">
        <v>1158.1450652056999</v>
      </c>
      <c r="K20" s="40">
        <v>2391.5944657576601</v>
      </c>
      <c r="L20" s="40">
        <v>2390.01137669126</v>
      </c>
    </row>
    <row r="21" spans="1:12" x14ac:dyDescent="0.25">
      <c r="A21" s="37" t="s">
        <v>761</v>
      </c>
      <c r="B21" s="36">
        <v>451370.42080000002</v>
      </c>
      <c r="C21" s="36">
        <v>3047212.4931000001</v>
      </c>
      <c r="D21" s="1">
        <v>13</v>
      </c>
      <c r="E21" s="3">
        <v>17.408999999999999</v>
      </c>
      <c r="F21" s="3">
        <v>1.9903244766488299</v>
      </c>
      <c r="G21" s="3">
        <v>3.9499768032360101</v>
      </c>
      <c r="H21" s="12">
        <v>1180.83980752973</v>
      </c>
      <c r="I21" s="12">
        <v>1182.8147959313501</v>
      </c>
      <c r="J21" s="12">
        <v>1184.7897843329699</v>
      </c>
      <c r="K21" s="40">
        <v>2391.58892666866</v>
      </c>
      <c r="L21" s="40">
        <v>2390.0058376022598</v>
      </c>
    </row>
    <row r="22" spans="1:12" x14ac:dyDescent="0.25">
      <c r="A22" s="37" t="s">
        <v>762</v>
      </c>
      <c r="B22" s="36">
        <v>451352.3971</v>
      </c>
      <c r="C22" s="36">
        <v>3047166.2922</v>
      </c>
      <c r="D22" s="1">
        <v>13</v>
      </c>
      <c r="E22" s="3">
        <v>21.506</v>
      </c>
      <c r="F22" s="3">
        <v>2.4688323380463602</v>
      </c>
      <c r="G22" s="3">
        <v>4.87955661614071</v>
      </c>
      <c r="H22" s="12">
        <v>1229.9227329636501</v>
      </c>
      <c r="I22" s="12">
        <v>1232.36251127172</v>
      </c>
      <c r="J22" s="12">
        <v>1234.8022895797999</v>
      </c>
      <c r="K22" s="40">
        <v>2391.5785510626501</v>
      </c>
      <c r="L22" s="40">
        <v>2389.99546199625</v>
      </c>
    </row>
    <row r="23" spans="1:12" x14ac:dyDescent="0.25">
      <c r="A23" s="37" t="s">
        <v>763</v>
      </c>
      <c r="B23" s="36">
        <v>451352.6298</v>
      </c>
      <c r="C23" s="36">
        <v>3047097.8539999998</v>
      </c>
      <c r="D23" s="1">
        <v>13</v>
      </c>
      <c r="E23" s="3">
        <v>38.149000000000001</v>
      </c>
      <c r="F23" s="3">
        <v>4.4951750723694799</v>
      </c>
      <c r="G23" s="3">
        <v>8.6557335324631204</v>
      </c>
      <c r="H23" s="12">
        <v>1296.2768777756501</v>
      </c>
      <c r="I23" s="12">
        <v>1300.6047445418801</v>
      </c>
      <c r="J23" s="12">
        <v>1304.9326113081099</v>
      </c>
      <c r="K23" s="40">
        <v>2391.5641881617998</v>
      </c>
      <c r="L23" s="40">
        <v>2389.9810990954002</v>
      </c>
    </row>
    <row r="24" spans="1:12" x14ac:dyDescent="0.25">
      <c r="A24" s="37" t="s">
        <v>764</v>
      </c>
      <c r="B24" s="36">
        <v>451383.0098</v>
      </c>
      <c r="C24" s="36">
        <v>3047059.4470000002</v>
      </c>
      <c r="D24" s="1">
        <v>13</v>
      </c>
      <c r="E24" s="3">
        <v>53.112000000000002</v>
      </c>
      <c r="F24" s="3">
        <v>6.49743314405604</v>
      </c>
      <c r="G24" s="3">
        <v>12.050730540149999</v>
      </c>
      <c r="H24" s="12">
        <v>1342.90981061606</v>
      </c>
      <c r="I24" s="12">
        <v>1348.9351758861301</v>
      </c>
      <c r="J24" s="12">
        <v>1354.96054115621</v>
      </c>
      <c r="K24" s="40">
        <v>2391.55342909414</v>
      </c>
      <c r="L24" s="40">
        <v>2389.9703400277399</v>
      </c>
    </row>
    <row r="25" spans="1:12" x14ac:dyDescent="0.25">
      <c r="A25" s="37" t="s">
        <v>765</v>
      </c>
      <c r="B25" s="36">
        <v>451367.01140000002</v>
      </c>
      <c r="C25" s="36">
        <v>3046998.7563</v>
      </c>
      <c r="D25" s="1">
        <v>13</v>
      </c>
      <c r="E25" s="3">
        <v>65.28</v>
      </c>
      <c r="F25" s="3">
        <v>8.3266401888592299</v>
      </c>
      <c r="G25" s="3">
        <v>14.8115621641247</v>
      </c>
      <c r="H25" s="12">
        <v>1402.9003895384601</v>
      </c>
      <c r="I25" s="12">
        <v>1410.3061706205201</v>
      </c>
      <c r="J25" s="12">
        <v>1417.7119517025901</v>
      </c>
      <c r="K25" s="40">
        <v>2391.5397369811699</v>
      </c>
      <c r="L25" s="40">
        <v>2389.9566479147702</v>
      </c>
    </row>
    <row r="26" spans="1:12" x14ac:dyDescent="0.25">
      <c r="A26" s="37" t="s">
        <v>766</v>
      </c>
      <c r="B26" s="36">
        <v>451334.29840000003</v>
      </c>
      <c r="C26" s="36">
        <v>3046993.0162999998</v>
      </c>
      <c r="D26" s="1">
        <v>13</v>
      </c>
      <c r="E26" s="3">
        <v>75.58</v>
      </c>
      <c r="F26" s="3">
        <v>10.080200041828601</v>
      </c>
      <c r="G26" s="3">
        <v>17.1485580325451</v>
      </c>
      <c r="H26" s="12">
        <v>1432.51787963418</v>
      </c>
      <c r="I26" s="12">
        <v>1441.0921586504601</v>
      </c>
      <c r="J26" s="12">
        <v>1449.66643766673</v>
      </c>
      <c r="K26" s="40">
        <v>2391.5318927830099</v>
      </c>
      <c r="L26" s="40">
        <v>2389.9488037166102</v>
      </c>
    </row>
    <row r="27" spans="1:12" x14ac:dyDescent="0.25">
      <c r="A27" s="37" t="s">
        <v>767</v>
      </c>
      <c r="B27" s="36">
        <v>451329.61839999998</v>
      </c>
      <c r="C27" s="36">
        <v>3046933.1272999998</v>
      </c>
      <c r="D27" s="1">
        <v>13</v>
      </c>
      <c r="E27" s="3">
        <v>22.446000000000002</v>
      </c>
      <c r="F27" s="3">
        <v>2.5794928803930599</v>
      </c>
      <c r="G27" s="3">
        <v>5.09283585073441</v>
      </c>
      <c r="H27" s="12">
        <v>1497.07832472204</v>
      </c>
      <c r="I27" s="12">
        <v>1499.6247426473999</v>
      </c>
      <c r="J27" s="12">
        <v>1502.1711605727701</v>
      </c>
      <c r="K27" s="40">
        <v>2391.5190122642398</v>
      </c>
      <c r="L27" s="40">
        <v>2389.9359231978401</v>
      </c>
    </row>
    <row r="28" spans="1:12" x14ac:dyDescent="0.25">
      <c r="A28" s="37" t="s">
        <v>768</v>
      </c>
      <c r="B28" s="36">
        <v>451299.27340000001</v>
      </c>
      <c r="C28" s="36">
        <v>3046873.3503</v>
      </c>
      <c r="D28" s="1">
        <v>13</v>
      </c>
      <c r="E28" s="3">
        <v>10.15</v>
      </c>
      <c r="F28" s="3">
        <v>1.15450181214881</v>
      </c>
      <c r="G28" s="3">
        <v>2.3029619480065202</v>
      </c>
      <c r="H28" s="12">
        <v>1565.47528006888</v>
      </c>
      <c r="I28" s="12">
        <v>1566.6267610428799</v>
      </c>
      <c r="J28" s="12">
        <v>1567.7782420168901</v>
      </c>
      <c r="K28" s="40">
        <v>2391.5052214767102</v>
      </c>
      <c r="L28" s="40">
        <v>2389.92213241031</v>
      </c>
    </row>
    <row r="29" spans="1:12" x14ac:dyDescent="0.25">
      <c r="A29" s="37" t="s">
        <v>769</v>
      </c>
      <c r="B29" s="36">
        <v>451252.5724</v>
      </c>
      <c r="C29" s="36">
        <v>3046718.3173000002</v>
      </c>
      <c r="D29" s="1">
        <v>13</v>
      </c>
      <c r="E29" s="3">
        <v>7.0979999999999999</v>
      </c>
      <c r="F29" s="3">
        <v>0.80627398575814802</v>
      </c>
      <c r="G29" s="3">
        <v>1.6104851139852501</v>
      </c>
      <c r="H29" s="12">
        <v>1727.7316857611299</v>
      </c>
      <c r="I29" s="12">
        <v>1728.5369283181301</v>
      </c>
      <c r="J29" s="12">
        <v>1729.34217087512</v>
      </c>
      <c r="K29" s="40">
        <v>2391.4726328737102</v>
      </c>
      <c r="L29" s="40">
        <v>2389.88954380731</v>
      </c>
    </row>
    <row r="30" spans="1:12" x14ac:dyDescent="0.25">
      <c r="A30" s="37" t="s">
        <v>770</v>
      </c>
      <c r="B30" s="36">
        <v>451219.3444</v>
      </c>
      <c r="C30" s="36">
        <v>3046643.2012999998</v>
      </c>
      <c r="D30" s="1">
        <v>13</v>
      </c>
      <c r="E30" s="3">
        <v>56.350999999999999</v>
      </c>
      <c r="F30" s="3">
        <v>6.9633834012951201</v>
      </c>
      <c r="G30" s="3">
        <v>12.7856363282872</v>
      </c>
      <c r="H30" s="12">
        <v>1803.70967584505</v>
      </c>
      <c r="I30" s="12">
        <v>1810.1024940092</v>
      </c>
      <c r="J30" s="12">
        <v>1816.4953121733399</v>
      </c>
      <c r="K30" s="40">
        <v>2391.4555598677798</v>
      </c>
      <c r="L30" s="40">
        <v>2389.8724708013801</v>
      </c>
    </row>
    <row r="31" spans="1:12" x14ac:dyDescent="0.25">
      <c r="A31" s="37" t="s">
        <v>771</v>
      </c>
      <c r="B31" s="36">
        <v>451248.4314</v>
      </c>
      <c r="C31" s="36">
        <v>3046597.5243000002</v>
      </c>
      <c r="D31" s="1">
        <v>13</v>
      </c>
      <c r="E31" s="3">
        <v>15.711</v>
      </c>
      <c r="F31" s="3">
        <v>1.79360903614427</v>
      </c>
      <c r="G31" s="3">
        <v>3.5647128241507802</v>
      </c>
      <c r="H31" s="12">
        <v>1861.89034553338</v>
      </c>
      <c r="I31" s="12">
        <v>1863.6727019454499</v>
      </c>
      <c r="J31" s="12">
        <v>1865.4550583575301</v>
      </c>
      <c r="K31" s="40">
        <v>2391.4439827803699</v>
      </c>
      <c r="L31" s="40">
        <v>2389.8608937139702</v>
      </c>
    </row>
    <row r="32" spans="1:12" x14ac:dyDescent="0.25">
      <c r="A32" s="37" t="s">
        <v>717</v>
      </c>
      <c r="B32" s="36">
        <v>451250.79060000001</v>
      </c>
      <c r="C32" s="36">
        <v>3046589.6992000001</v>
      </c>
      <c r="D32" s="1">
        <v>0</v>
      </c>
      <c r="E32" s="3">
        <v>0</v>
      </c>
      <c r="F32" s="3">
        <v>0</v>
      </c>
      <c r="G32" s="3">
        <v>0</v>
      </c>
      <c r="H32" s="12">
        <v>1871.8344545612099</v>
      </c>
      <c r="I32" s="12">
        <v>1871.8344545612099</v>
      </c>
      <c r="J32" s="12">
        <v>1871.8344545612099</v>
      </c>
      <c r="K32" s="40">
        <v>2391.4437946186099</v>
      </c>
      <c r="L32" s="40">
        <v>2389.8607055522102</v>
      </c>
    </row>
    <row r="33" spans="1:12" x14ac:dyDescent="0.25">
      <c r="A33" s="37" t="s">
        <v>772</v>
      </c>
      <c r="B33" s="36">
        <v>451281.57150000002</v>
      </c>
      <c r="C33" s="36">
        <v>3046487.6060000001</v>
      </c>
      <c r="D33" s="1">
        <v>6</v>
      </c>
      <c r="E33" s="3">
        <v>29.341000000000001</v>
      </c>
      <c r="F33" s="3">
        <v>1.5707691299434401</v>
      </c>
      <c r="G33" s="3">
        <v>3.07258233496594</v>
      </c>
      <c r="H33" s="12">
        <v>1976.89616308724</v>
      </c>
      <c r="I33" s="12">
        <v>1978.4324542547199</v>
      </c>
      <c r="J33" s="12">
        <v>1979.9687454222101</v>
      </c>
      <c r="K33" s="40">
        <v>2391.4437946186099</v>
      </c>
      <c r="L33" s="40">
        <v>2389.8607055522102</v>
      </c>
    </row>
    <row r="34" spans="1:12" x14ac:dyDescent="0.25">
      <c r="A34" s="37" t="s">
        <v>773</v>
      </c>
      <c r="B34" s="36">
        <v>451236.16379999998</v>
      </c>
      <c r="C34" s="36">
        <v>3046283.85</v>
      </c>
      <c r="D34" s="1">
        <v>6</v>
      </c>
      <c r="E34" s="3">
        <v>25.052</v>
      </c>
      <c r="F34" s="3">
        <v>1.3330247944428999</v>
      </c>
      <c r="G34" s="3">
        <v>2.6234393052577198</v>
      </c>
      <c r="H34" s="12">
        <v>2185.8192730227101</v>
      </c>
      <c r="I34" s="12">
        <v>2187.1309926753302</v>
      </c>
      <c r="J34" s="12">
        <v>2188.4427123279602</v>
      </c>
      <c r="K34" s="40">
        <v>2391.4437946186099</v>
      </c>
      <c r="L34" s="40">
        <v>2389.8607055522102</v>
      </c>
    </row>
    <row r="35" spans="1:12" x14ac:dyDescent="0.25">
      <c r="A35" s="37" t="s">
        <v>718</v>
      </c>
      <c r="B35" s="36">
        <v>451202.11829999997</v>
      </c>
      <c r="C35" s="36">
        <v>3046239.6652000002</v>
      </c>
      <c r="D35" s="1">
        <v>0</v>
      </c>
      <c r="E35" s="3">
        <v>0</v>
      </c>
      <c r="F35" s="3">
        <v>0</v>
      </c>
      <c r="G35" s="3">
        <v>0</v>
      </c>
      <c r="H35" s="12">
        <v>2242.8895460963099</v>
      </c>
      <c r="I35" s="12">
        <v>2242.8895460963099</v>
      </c>
      <c r="J35" s="12">
        <v>2242.8895460963099</v>
      </c>
      <c r="K35" s="40">
        <v>2390.8049260963799</v>
      </c>
      <c r="L35" s="40">
        <v>2389.2218370299802</v>
      </c>
    </row>
    <row r="36" spans="1:12" x14ac:dyDescent="0.25">
      <c r="A36" s="37" t="s">
        <v>774</v>
      </c>
      <c r="B36" s="36">
        <v>451135.89640000003</v>
      </c>
      <c r="C36" s="36">
        <v>3046153.7203000002</v>
      </c>
      <c r="D36" s="1">
        <v>13</v>
      </c>
      <c r="E36" s="3">
        <v>35.598999999999997</v>
      </c>
      <c r="F36" s="3">
        <v>4.1737182413997296</v>
      </c>
      <c r="G36" s="3">
        <v>8.0771568854269997</v>
      </c>
      <c r="H36" s="12">
        <v>2347.2140576820002</v>
      </c>
      <c r="I36" s="12">
        <v>2351.2526361247101</v>
      </c>
      <c r="J36" s="12">
        <v>2355.29121456743</v>
      </c>
      <c r="K36" s="40">
        <v>2390.7828271292801</v>
      </c>
      <c r="L36" s="40">
        <v>2389.19973806288</v>
      </c>
    </row>
    <row r="37" spans="1:12" x14ac:dyDescent="0.25">
      <c r="A37" s="37" t="s">
        <v>722</v>
      </c>
      <c r="B37" s="36">
        <v>451135.64500000002</v>
      </c>
      <c r="C37" s="36">
        <v>3046146.5765</v>
      </c>
      <c r="D37" s="1">
        <v>0</v>
      </c>
      <c r="E37" s="3">
        <v>0</v>
      </c>
      <c r="F37" s="3">
        <v>0</v>
      </c>
      <c r="G37" s="3">
        <v>0</v>
      </c>
      <c r="H37" s="12">
        <v>2358.2657185107901</v>
      </c>
      <c r="I37" s="12">
        <v>2358.2657185107901</v>
      </c>
      <c r="J37" s="12">
        <v>2358.2657185107901</v>
      </c>
      <c r="K37" s="40">
        <v>2390.7824007801901</v>
      </c>
      <c r="L37" s="40">
        <v>2389.1993117137899</v>
      </c>
    </row>
    <row r="38" spans="1:12" x14ac:dyDescent="0.25">
      <c r="A38" s="37" t="s">
        <v>775</v>
      </c>
      <c r="B38" s="36">
        <v>451131.68079999997</v>
      </c>
      <c r="C38" s="36">
        <v>3046033.906</v>
      </c>
      <c r="D38" s="1">
        <v>6</v>
      </c>
      <c r="E38" s="3">
        <v>45.685000000000002</v>
      </c>
      <c r="F38" s="3">
        <v>2.5274064178226499</v>
      </c>
      <c r="G38" s="3">
        <v>4.7841220126416601</v>
      </c>
      <c r="H38" s="12">
        <v>2468.4785287500799</v>
      </c>
      <c r="I38" s="12">
        <v>2470.8705897564</v>
      </c>
      <c r="J38" s="12">
        <v>2473.2626507627201</v>
      </c>
      <c r="K38" s="40">
        <v>2390.7824007801901</v>
      </c>
      <c r="L38" s="40">
        <v>2389.1993117137899</v>
      </c>
    </row>
    <row r="39" spans="1:12" x14ac:dyDescent="0.25">
      <c r="A39" s="37" t="s">
        <v>723</v>
      </c>
      <c r="B39" s="36">
        <v>451113.66350000002</v>
      </c>
      <c r="C39" s="36">
        <v>3046017.5114000002</v>
      </c>
      <c r="D39" s="1">
        <v>0</v>
      </c>
      <c r="E39" s="3">
        <v>0</v>
      </c>
      <c r="F39" s="3">
        <v>0</v>
      </c>
      <c r="G39" s="3">
        <v>0</v>
      </c>
      <c r="H39" s="12">
        <v>2495.09517062641</v>
      </c>
      <c r="I39" s="12">
        <v>2495.09517062641</v>
      </c>
      <c r="J39" s="12">
        <v>2495.09517062641</v>
      </c>
      <c r="K39" s="40">
        <v>2390.3192195783199</v>
      </c>
      <c r="L39" s="40">
        <v>2388.7361305119198</v>
      </c>
    </row>
    <row r="40" spans="1:12" x14ac:dyDescent="0.25">
      <c r="A40" s="37" t="s">
        <v>776</v>
      </c>
      <c r="B40" s="36">
        <v>451093.21659999999</v>
      </c>
      <c r="C40" s="36">
        <v>3045998.9059000001</v>
      </c>
      <c r="D40" s="1">
        <v>13</v>
      </c>
      <c r="E40" s="3">
        <v>33.161000000000001</v>
      </c>
      <c r="F40" s="3">
        <v>3.8706511942577002</v>
      </c>
      <c r="G40" s="3">
        <v>7.5239922322999204</v>
      </c>
      <c r="H40" s="12">
        <v>2518.8694167888798</v>
      </c>
      <c r="I40" s="12">
        <v>2522.6314129050302</v>
      </c>
      <c r="J40" s="12">
        <v>2526.3934090211801</v>
      </c>
      <c r="K40" s="40">
        <v>2390.3133151793199</v>
      </c>
      <c r="L40" s="40">
        <v>2388.7302261129198</v>
      </c>
    </row>
    <row r="41" spans="1:12" x14ac:dyDescent="0.25">
      <c r="A41" s="37" t="s">
        <v>724</v>
      </c>
      <c r="B41" s="36">
        <v>451085.4987</v>
      </c>
      <c r="C41" s="36">
        <v>3045969.1453</v>
      </c>
      <c r="D41" s="1">
        <v>0</v>
      </c>
      <c r="E41" s="3">
        <v>1E-3</v>
      </c>
      <c r="F41" s="3">
        <v>0</v>
      </c>
      <c r="G41" s="3">
        <v>0</v>
      </c>
      <c r="H41" s="12">
        <v>2553.2678272329099</v>
      </c>
      <c r="I41" s="12">
        <v>2553.2678272329099</v>
      </c>
      <c r="J41" s="12">
        <v>2553.2678272329099</v>
      </c>
      <c r="K41" s="40">
        <v>2390.3129180287701</v>
      </c>
      <c r="L41" s="40">
        <v>2388.72982896237</v>
      </c>
    </row>
    <row r="42" spans="1:12" x14ac:dyDescent="0.25">
      <c r="A42" s="37" t="s">
        <v>777</v>
      </c>
      <c r="B42" s="36">
        <v>451052.85249999998</v>
      </c>
      <c r="C42" s="36">
        <v>3045843.2656</v>
      </c>
      <c r="D42" s="1">
        <v>6</v>
      </c>
      <c r="E42" s="3">
        <v>9.4499999999999993</v>
      </c>
      <c r="F42" s="3">
        <v>0.495925578952369</v>
      </c>
      <c r="G42" s="3">
        <v>0.98960168588078501</v>
      </c>
      <c r="H42" s="12">
        <v>2682.8160220382101</v>
      </c>
      <c r="I42" s="12">
        <v>2683.3108228811502</v>
      </c>
      <c r="J42" s="12">
        <v>2683.8056237240899</v>
      </c>
      <c r="K42" s="40">
        <v>2390.3129180287701</v>
      </c>
      <c r="L42" s="40">
        <v>2388.72982896237</v>
      </c>
    </row>
    <row r="43" spans="1:12" x14ac:dyDescent="0.25">
      <c r="A43" s="37" t="s">
        <v>725</v>
      </c>
      <c r="B43" s="36">
        <v>451048.72590000002</v>
      </c>
      <c r="C43" s="36">
        <v>3045796.9257999999</v>
      </c>
      <c r="D43" s="1">
        <v>0</v>
      </c>
      <c r="E43" s="3">
        <v>0</v>
      </c>
      <c r="F43" s="3">
        <v>0</v>
      </c>
      <c r="G43" s="3">
        <v>0</v>
      </c>
      <c r="H43" s="12">
        <v>2729.8328739999401</v>
      </c>
      <c r="I43" s="12">
        <v>2729.8328739999401</v>
      </c>
      <c r="J43" s="12">
        <v>2729.8328739999401</v>
      </c>
      <c r="K43" s="40">
        <v>2389.8921253847402</v>
      </c>
      <c r="L43" s="40">
        <v>2388.3090363183401</v>
      </c>
    </row>
    <row r="44" spans="1:12" x14ac:dyDescent="0.25">
      <c r="A44" s="37" t="s">
        <v>778</v>
      </c>
      <c r="B44" s="36">
        <v>451045.62030000001</v>
      </c>
      <c r="C44" s="36">
        <v>3045762.0514000002</v>
      </c>
      <c r="D44" s="1">
        <v>13</v>
      </c>
      <c r="E44" s="3">
        <v>76.283000000000001</v>
      </c>
      <c r="F44" s="3">
        <v>10.2085158611042</v>
      </c>
      <c r="G44" s="3">
        <v>17.308063672884799</v>
      </c>
      <c r="H44" s="12">
        <v>2754.6367634645799</v>
      </c>
      <c r="I44" s="12">
        <v>2763.2907953010199</v>
      </c>
      <c r="J44" s="12">
        <v>2771.9448271374599</v>
      </c>
      <c r="K44" s="40">
        <v>2389.8845202021298</v>
      </c>
      <c r="L44" s="40">
        <v>2388.3014311357301</v>
      </c>
    </row>
    <row r="45" spans="1:12" x14ac:dyDescent="0.25">
      <c r="A45" s="37" t="s">
        <v>779</v>
      </c>
      <c r="B45" s="36">
        <v>451115.75150000001</v>
      </c>
      <c r="C45" s="36">
        <v>3045738.1691000001</v>
      </c>
      <c r="D45" s="1">
        <v>13</v>
      </c>
      <c r="E45" s="3">
        <v>69.983000000000004</v>
      </c>
      <c r="F45" s="3">
        <v>9.0998241374473192</v>
      </c>
      <c r="G45" s="3">
        <v>15.8786390155015</v>
      </c>
      <c r="H45" s="12">
        <v>2826.7225821010502</v>
      </c>
      <c r="I45" s="12">
        <v>2834.6619016087998</v>
      </c>
      <c r="J45" s="12">
        <v>2842.6012211165498</v>
      </c>
      <c r="K45" s="40">
        <v>2389.8684942357099</v>
      </c>
      <c r="L45" s="40">
        <v>2388.2854051693098</v>
      </c>
    </row>
    <row r="46" spans="1:12" x14ac:dyDescent="0.25">
      <c r="A46" s="37" t="s">
        <v>726</v>
      </c>
      <c r="B46" s="36">
        <v>451116.28019999998</v>
      </c>
      <c r="C46" s="36">
        <v>3045713.1631999998</v>
      </c>
      <c r="D46" s="1">
        <v>0</v>
      </c>
      <c r="E46" s="3">
        <v>0</v>
      </c>
      <c r="F46" s="3">
        <v>0</v>
      </c>
      <c r="G46" s="3">
        <v>0</v>
      </c>
      <c r="H46" s="12">
        <v>2858.5128855096</v>
      </c>
      <c r="I46" s="12">
        <v>2858.5128855096</v>
      </c>
      <c r="J46" s="12">
        <v>2858.5128855096</v>
      </c>
      <c r="K46" s="40">
        <v>2389.80662393478</v>
      </c>
      <c r="L46" s="40">
        <v>2388.15092779212</v>
      </c>
    </row>
    <row r="47" spans="1:12" x14ac:dyDescent="0.25">
      <c r="A47" s="37" t="s">
        <v>727</v>
      </c>
      <c r="B47" s="36">
        <v>451118.05550000002</v>
      </c>
      <c r="C47" s="36">
        <v>3045629.1825999999</v>
      </c>
      <c r="D47" s="1">
        <v>0</v>
      </c>
      <c r="E47" s="3">
        <v>0</v>
      </c>
      <c r="F47" s="3">
        <v>0</v>
      </c>
      <c r="G47" s="3">
        <v>0</v>
      </c>
      <c r="H47" s="12">
        <v>2942.5122478073699</v>
      </c>
      <c r="I47" s="12">
        <v>2942.5122478073699</v>
      </c>
      <c r="J47" s="12">
        <v>2942.5122478073699</v>
      </c>
      <c r="K47" s="40">
        <v>2389.7646242536298</v>
      </c>
      <c r="L47" s="40">
        <v>2388.1089281109698</v>
      </c>
    </row>
    <row r="48" spans="1:12" x14ac:dyDescent="0.25">
      <c r="A48" s="37" t="s">
        <v>780</v>
      </c>
      <c r="B48" s="36">
        <v>451118.41769999999</v>
      </c>
      <c r="C48" s="36">
        <v>3045612.0479000001</v>
      </c>
      <c r="D48" s="1">
        <v>13</v>
      </c>
      <c r="E48" s="3">
        <v>46.162999999999997</v>
      </c>
      <c r="F48" s="3">
        <v>5.5400093987725496</v>
      </c>
      <c r="G48" s="3">
        <v>10.4740524537758</v>
      </c>
      <c r="H48" s="12">
        <v>2954.1107661436099</v>
      </c>
      <c r="I48" s="12">
        <v>2959.3477923705</v>
      </c>
      <c r="J48" s="12">
        <v>2964.58481859738</v>
      </c>
      <c r="K48" s="40">
        <v>2389.7927887760602</v>
      </c>
      <c r="L48" s="40">
        <v>2388.2096997096601</v>
      </c>
    </row>
    <row r="49" spans="1:12" x14ac:dyDescent="0.25">
      <c r="A49" s="37" t="s">
        <v>781</v>
      </c>
      <c r="B49" s="36">
        <v>451099.57040000003</v>
      </c>
      <c r="C49" s="36">
        <v>3045593.1693000002</v>
      </c>
      <c r="D49" s="1">
        <v>13</v>
      </c>
      <c r="E49" s="3">
        <v>32.344999999999999</v>
      </c>
      <c r="F49" s="3">
        <v>3.7700838735628799</v>
      </c>
      <c r="G49" s="3">
        <v>7.3388477052483596</v>
      </c>
      <c r="H49" s="12">
        <v>2981.9509742226401</v>
      </c>
      <c r="I49" s="12">
        <v>2985.6203980752698</v>
      </c>
      <c r="J49" s="12">
        <v>2989.28982192789</v>
      </c>
      <c r="K49" s="40">
        <v>2389.7865940090001</v>
      </c>
      <c r="L49" s="40">
        <v>2388.2035049425999</v>
      </c>
    </row>
    <row r="50" spans="1:12" x14ac:dyDescent="0.25">
      <c r="A50" s="37" t="s">
        <v>782</v>
      </c>
      <c r="B50" s="36">
        <v>451096.16590000002</v>
      </c>
      <c r="C50" s="36">
        <v>3045577.9482999998</v>
      </c>
      <c r="D50" s="1">
        <v>0</v>
      </c>
      <c r="E50" s="3">
        <v>0</v>
      </c>
      <c r="F50" s="3">
        <v>0</v>
      </c>
      <c r="G50" s="3">
        <v>0</v>
      </c>
      <c r="H50" s="12">
        <v>3001.1168359017202</v>
      </c>
      <c r="I50" s="12">
        <v>3001.1168359017202</v>
      </c>
      <c r="J50" s="12">
        <v>3001.1168359017202</v>
      </c>
      <c r="K50" s="40">
        <v>2389.78310734366</v>
      </c>
      <c r="L50" s="40">
        <v>2388.2000182772599</v>
      </c>
    </row>
    <row r="51" spans="1:12" x14ac:dyDescent="0.25">
      <c r="A51" s="37" t="s">
        <v>783</v>
      </c>
      <c r="B51" s="36">
        <v>451049.23540000001</v>
      </c>
      <c r="C51" s="36">
        <v>3045368.1313</v>
      </c>
      <c r="D51" s="1">
        <v>13</v>
      </c>
      <c r="E51" s="3">
        <v>5.3230000000000004</v>
      </c>
      <c r="F51" s="3">
        <v>0.60430991354454999</v>
      </c>
      <c r="G51" s="3">
        <v>1.2077503890875601</v>
      </c>
      <c r="H51" s="12">
        <v>3215.5140267252</v>
      </c>
      <c r="I51" s="12">
        <v>3216.1179019197398</v>
      </c>
      <c r="J51" s="12">
        <v>3216.72177711429</v>
      </c>
      <c r="K51" s="40">
        <v>2389.7400439067501</v>
      </c>
      <c r="L51" s="40">
        <v>2388.1909267824499</v>
      </c>
    </row>
    <row r="52" spans="1:12" x14ac:dyDescent="0.25">
      <c r="A52" s="37" t="s">
        <v>784</v>
      </c>
      <c r="B52" s="36">
        <v>451043.1384</v>
      </c>
      <c r="C52" s="36">
        <v>3045320.4402999999</v>
      </c>
      <c r="D52" s="1">
        <v>13</v>
      </c>
      <c r="E52" s="3">
        <v>36.646000000000001</v>
      </c>
      <c r="F52" s="3">
        <v>4.3051290197946104</v>
      </c>
      <c r="G52" s="3">
        <v>8.3147136499159497</v>
      </c>
      <c r="H52" s="12">
        <v>3259.8914905238298</v>
      </c>
      <c r="I52" s="12">
        <v>3264.0488473487899</v>
      </c>
      <c r="J52" s="12">
        <v>3268.2062041737499</v>
      </c>
      <c r="K52" s="40">
        <v>2389.7299592326799</v>
      </c>
      <c r="L52" s="40">
        <v>2388.1808421083701</v>
      </c>
    </row>
    <row r="53" spans="1:12" x14ac:dyDescent="0.25">
      <c r="A53" s="37" t="s">
        <v>728</v>
      </c>
      <c r="B53" s="36">
        <v>451074.39549999998</v>
      </c>
      <c r="C53" s="36">
        <v>3045264.8790000002</v>
      </c>
      <c r="D53" s="1">
        <v>0</v>
      </c>
      <c r="E53" s="3">
        <v>0</v>
      </c>
      <c r="F53" s="3">
        <v>0</v>
      </c>
      <c r="G53" s="3">
        <v>0</v>
      </c>
      <c r="H53" s="12">
        <v>3327.65108972703</v>
      </c>
      <c r="I53" s="12">
        <v>3327.65108972703</v>
      </c>
      <c r="J53" s="12">
        <v>3327.65108972703</v>
      </c>
      <c r="K53" s="40">
        <v>2389.6615102680698</v>
      </c>
      <c r="L53" s="40">
        <v>2388.0541936131099</v>
      </c>
    </row>
    <row r="54" spans="1:12" x14ac:dyDescent="0.25">
      <c r="A54" s="37" t="s">
        <v>729</v>
      </c>
      <c r="B54" s="36">
        <v>451133.23229999997</v>
      </c>
      <c r="C54" s="36">
        <v>3045160.2930000001</v>
      </c>
      <c r="D54" s="1">
        <v>0</v>
      </c>
      <c r="E54" s="3">
        <v>0</v>
      </c>
      <c r="F54" s="3">
        <v>0</v>
      </c>
      <c r="G54" s="3">
        <v>0</v>
      </c>
      <c r="H54" s="12">
        <v>3447.6510915198</v>
      </c>
      <c r="I54" s="12">
        <v>3447.6510915198</v>
      </c>
      <c r="J54" s="12">
        <v>3447.6510915198</v>
      </c>
      <c r="K54" s="40">
        <v>2389.6015102671799</v>
      </c>
      <c r="L54" s="40">
        <v>2387.99419361222</v>
      </c>
    </row>
    <row r="55" spans="1:12" x14ac:dyDescent="0.25">
      <c r="A55" s="37" t="s">
        <v>785</v>
      </c>
      <c r="B55" s="36">
        <v>451143.08529999998</v>
      </c>
      <c r="C55" s="36">
        <v>3045142.7788</v>
      </c>
      <c r="D55" s="1">
        <v>13</v>
      </c>
      <c r="E55" s="3">
        <v>88.561000000000007</v>
      </c>
      <c r="F55" s="3">
        <v>12.6775337229721</v>
      </c>
      <c r="G55" s="3">
        <v>20.0938535051631</v>
      </c>
      <c r="H55" s="12">
        <v>3455.0690500934402</v>
      </c>
      <c r="I55" s="12">
        <v>3465.1159768460202</v>
      </c>
      <c r="J55" s="12">
        <v>3475.1629035986002</v>
      </c>
      <c r="K55" s="40">
        <v>2389.6279445001201</v>
      </c>
      <c r="L55" s="40">
        <v>2388.0788273758199</v>
      </c>
    </row>
    <row r="56" spans="1:12" x14ac:dyDescent="0.25">
      <c r="A56" s="37" t="s">
        <v>786</v>
      </c>
      <c r="B56" s="36">
        <v>451098.06550000003</v>
      </c>
      <c r="C56" s="36">
        <v>3045115.9411999998</v>
      </c>
      <c r="D56" s="1">
        <v>13</v>
      </c>
      <c r="E56" s="3">
        <v>11.997999999999999</v>
      </c>
      <c r="F56" s="3">
        <v>1.36612565960966</v>
      </c>
      <c r="G56" s="3">
        <v>2.7222598475056401</v>
      </c>
      <c r="H56" s="12">
        <v>3513.5314485753702</v>
      </c>
      <c r="I56" s="12">
        <v>3514.8925784991302</v>
      </c>
      <c r="J56" s="12">
        <v>3516.2537084228802</v>
      </c>
      <c r="K56" s="40">
        <v>2389.6167947946001</v>
      </c>
      <c r="L56" s="40">
        <v>2388.0676776702899</v>
      </c>
    </row>
    <row r="57" spans="1:12" x14ac:dyDescent="0.25">
      <c r="A57" s="37" t="s">
        <v>787</v>
      </c>
      <c r="B57" s="36">
        <v>451017.22039999999</v>
      </c>
      <c r="C57" s="36">
        <v>3045041.0813000002</v>
      </c>
      <c r="D57" s="1">
        <v>13</v>
      </c>
      <c r="E57" s="3">
        <v>68.587999999999994</v>
      </c>
      <c r="F57" s="3">
        <v>8.8660040422077806</v>
      </c>
      <c r="G57" s="3">
        <v>15.562123555652301</v>
      </c>
      <c r="H57" s="12">
        <v>3616.20295111205</v>
      </c>
      <c r="I57" s="12">
        <v>3623.98401288988</v>
      </c>
      <c r="J57" s="12">
        <v>3631.7650746677</v>
      </c>
      <c r="K57" s="40">
        <v>2389.59401935097</v>
      </c>
      <c r="L57" s="40">
        <v>2388.0449022266698</v>
      </c>
    </row>
    <row r="58" spans="1:12" x14ac:dyDescent="0.25">
      <c r="A58" s="37" t="s">
        <v>730</v>
      </c>
      <c r="B58" s="36">
        <v>451047.75469999999</v>
      </c>
      <c r="C58" s="36">
        <v>3044963.1129000001</v>
      </c>
      <c r="D58" s="1">
        <v>0</v>
      </c>
      <c r="E58" s="3">
        <v>0</v>
      </c>
      <c r="F58" s="3">
        <v>0</v>
      </c>
      <c r="G58" s="3">
        <v>0</v>
      </c>
      <c r="H58" s="12">
        <v>3706.6332624175602</v>
      </c>
      <c r="I58" s="12">
        <v>3706.6332624175602</v>
      </c>
      <c r="J58" s="12">
        <v>3706.6332624175602</v>
      </c>
      <c r="K58" s="40">
        <v>2389.5213815952102</v>
      </c>
      <c r="L58" s="40">
        <v>2387.9140649402498</v>
      </c>
    </row>
    <row r="59" spans="1:12" x14ac:dyDescent="0.25">
      <c r="A59" s="37" t="s">
        <v>731</v>
      </c>
      <c r="B59" s="36">
        <v>451091.51370000001</v>
      </c>
      <c r="C59" s="36">
        <v>3044851.3760000002</v>
      </c>
      <c r="D59" s="1">
        <v>0</v>
      </c>
      <c r="E59" s="3">
        <v>0</v>
      </c>
      <c r="F59" s="3">
        <v>0</v>
      </c>
      <c r="G59" s="3">
        <v>0</v>
      </c>
      <c r="H59" s="12">
        <v>3826.6331995116702</v>
      </c>
      <c r="I59" s="12">
        <v>3826.6331995116702</v>
      </c>
      <c r="J59" s="12">
        <v>3826.6331995116702</v>
      </c>
      <c r="K59" s="40">
        <v>2389.4613816266601</v>
      </c>
      <c r="L59" s="40">
        <v>2387.8540649717002</v>
      </c>
    </row>
    <row r="60" spans="1:12" x14ac:dyDescent="0.25">
      <c r="A60" s="37" t="s">
        <v>788</v>
      </c>
      <c r="B60" s="36">
        <v>451098.16830000002</v>
      </c>
      <c r="C60" s="36">
        <v>3044834.3838</v>
      </c>
      <c r="D60" s="1">
        <v>13</v>
      </c>
      <c r="E60" s="3">
        <v>71.430000000000007</v>
      </c>
      <c r="F60" s="3">
        <v>9.3466093367732608</v>
      </c>
      <c r="G60" s="3">
        <v>16.206952901094098</v>
      </c>
      <c r="H60" s="12">
        <v>3835.5353863545702</v>
      </c>
      <c r="I60" s="12">
        <v>3843.63886280512</v>
      </c>
      <c r="J60" s="12">
        <v>3851.7423392556602</v>
      </c>
      <c r="K60" s="40">
        <v>2389.4881111767299</v>
      </c>
      <c r="L60" s="40">
        <v>2387.9389940524302</v>
      </c>
    </row>
    <row r="61" spans="1:12" x14ac:dyDescent="0.25">
      <c r="A61" s="37" t="s">
        <v>789</v>
      </c>
      <c r="B61" s="36">
        <v>451076.62339999998</v>
      </c>
      <c r="C61" s="36">
        <v>3044816.3333000001</v>
      </c>
      <c r="D61" s="1">
        <v>13</v>
      </c>
      <c r="E61" s="3">
        <v>57.707000000000001</v>
      </c>
      <c r="F61" s="3">
        <v>7.1626260678165101</v>
      </c>
      <c r="G61" s="3">
        <v>13.0933029688288</v>
      </c>
      <c r="H61" s="12">
        <v>3863.34010060024</v>
      </c>
      <c r="I61" s="12">
        <v>3869.8867520846602</v>
      </c>
      <c r="J61" s="12">
        <v>3876.4334035690699</v>
      </c>
      <c r="K61" s="40">
        <v>2389.4813277797102</v>
      </c>
      <c r="L61" s="40">
        <v>2387.93221065541</v>
      </c>
    </row>
    <row r="62" spans="1:12" x14ac:dyDescent="0.25">
      <c r="A62" s="37" t="s">
        <v>790</v>
      </c>
      <c r="B62" s="36">
        <v>451083.745</v>
      </c>
      <c r="C62" s="36">
        <v>3044763.4071</v>
      </c>
      <c r="D62" s="1">
        <v>13</v>
      </c>
      <c r="E62" s="3">
        <v>21.678000000000001</v>
      </c>
      <c r="F62" s="3">
        <v>2.4890546442280299</v>
      </c>
      <c r="G62" s="3">
        <v>4.9185821782153001</v>
      </c>
      <c r="H62" s="12">
        <v>3920.18490471927</v>
      </c>
      <c r="I62" s="12">
        <v>3922.6441958083701</v>
      </c>
      <c r="J62" s="12">
        <v>3925.1034868974798</v>
      </c>
      <c r="K62" s="40">
        <v>2389.46983339904</v>
      </c>
      <c r="L62" s="40">
        <v>2387.9207162747398</v>
      </c>
    </row>
    <row r="63" spans="1:12" x14ac:dyDescent="0.25">
      <c r="A63" s="37" t="s">
        <v>732</v>
      </c>
      <c r="B63" s="36">
        <v>451086.18650000001</v>
      </c>
      <c r="C63" s="36">
        <v>3044759.0638000001</v>
      </c>
      <c r="D63" s="1">
        <v>0</v>
      </c>
      <c r="E63" s="3">
        <v>1E-3</v>
      </c>
      <c r="F63" s="3">
        <v>0</v>
      </c>
      <c r="G63" s="3">
        <v>0</v>
      </c>
      <c r="H63" s="12">
        <v>3927.59691929675</v>
      </c>
      <c r="I63" s="12">
        <v>3927.59691929675</v>
      </c>
      <c r="J63" s="12">
        <v>3927.59691929675</v>
      </c>
      <c r="K63" s="40">
        <v>2389.4695759195301</v>
      </c>
      <c r="L63" s="40">
        <v>2387.9204587952299</v>
      </c>
    </row>
    <row r="64" spans="1:12" x14ac:dyDescent="0.25">
      <c r="A64" s="37" t="s">
        <v>791</v>
      </c>
      <c r="B64" s="36">
        <v>451124.59450000001</v>
      </c>
      <c r="C64" s="36">
        <v>3044690.7395000001</v>
      </c>
      <c r="D64" s="1">
        <v>6</v>
      </c>
      <c r="E64" s="3">
        <v>28.672000000000001</v>
      </c>
      <c r="F64" s="3">
        <v>1.53339631744672</v>
      </c>
      <c r="G64" s="3">
        <v>3.0025248187908802</v>
      </c>
      <c r="H64" s="12">
        <v>4004.44326803175</v>
      </c>
      <c r="I64" s="12">
        <v>4005.9445304411502</v>
      </c>
      <c r="J64" s="12">
        <v>4007.4457928505399</v>
      </c>
      <c r="K64" s="40">
        <v>2389.4695759195301</v>
      </c>
      <c r="L64" s="40">
        <v>2387.9204587952299</v>
      </c>
    </row>
    <row r="65" spans="1:12" x14ac:dyDescent="0.25">
      <c r="A65" s="37" t="s">
        <v>733</v>
      </c>
      <c r="B65" s="36">
        <v>451125.25089999998</v>
      </c>
      <c r="C65" s="36">
        <v>3044634.6288000001</v>
      </c>
      <c r="D65" s="1">
        <v>0</v>
      </c>
      <c r="E65" s="3">
        <v>0</v>
      </c>
      <c r="F65" s="3">
        <v>0</v>
      </c>
      <c r="G65" s="3">
        <v>0</v>
      </c>
      <c r="H65" s="12">
        <v>4062.0269357850498</v>
      </c>
      <c r="I65" s="12">
        <v>4062.0269357850498</v>
      </c>
      <c r="J65" s="12">
        <v>4062.0269357850498</v>
      </c>
      <c r="K65" s="40">
        <v>2389.03889364524</v>
      </c>
      <c r="L65" s="40">
        <v>2387.4897765209398</v>
      </c>
    </row>
    <row r="66" spans="1:12" x14ac:dyDescent="0.25">
      <c r="A66" s="37" t="s">
        <v>792</v>
      </c>
      <c r="B66" s="36">
        <v>451125.89750000002</v>
      </c>
      <c r="C66" s="36">
        <v>3044579.3541999999</v>
      </c>
      <c r="D66" s="1">
        <v>13</v>
      </c>
      <c r="E66" s="3">
        <v>86.954999999999998</v>
      </c>
      <c r="F66" s="3">
        <v>12.326840588964499</v>
      </c>
      <c r="G66" s="3">
        <v>19.7294636639317</v>
      </c>
      <c r="H66" s="12">
        <v>4104.9784770169499</v>
      </c>
      <c r="I66" s="12">
        <v>4114.8432088489099</v>
      </c>
      <c r="J66" s="12">
        <v>4124.7079406808798</v>
      </c>
      <c r="K66" s="40">
        <v>2389.02729758636</v>
      </c>
      <c r="L66" s="40">
        <v>2387.4781804620502</v>
      </c>
    </row>
    <row r="67" spans="1:12" x14ac:dyDescent="0.25">
      <c r="A67" s="37" t="s">
        <v>793</v>
      </c>
      <c r="B67" s="36">
        <v>451083.85800000001</v>
      </c>
      <c r="C67" s="36">
        <v>3044576.6244000001</v>
      </c>
      <c r="D67" s="1">
        <v>13</v>
      </c>
      <c r="E67" s="3">
        <v>64.733000000000004</v>
      </c>
      <c r="F67" s="3">
        <v>8.2393927100936803</v>
      </c>
      <c r="G67" s="3">
        <v>14.687451801015399</v>
      </c>
      <c r="H67" s="12">
        <v>4146.2697428011297</v>
      </c>
      <c r="I67" s="12">
        <v>4153.6134687016302</v>
      </c>
      <c r="J67" s="12">
        <v>4160.9571946021397</v>
      </c>
      <c r="K67" s="40">
        <v>2389.0177418666899</v>
      </c>
      <c r="L67" s="40">
        <v>2387.4686247423901</v>
      </c>
    </row>
    <row r="68" spans="1:12" x14ac:dyDescent="0.25">
      <c r="A68" s="37" t="s">
        <v>794</v>
      </c>
      <c r="B68" s="36">
        <v>451077.6324</v>
      </c>
      <c r="C68" s="36">
        <v>3044560.8613</v>
      </c>
      <c r="D68" s="1">
        <v>13</v>
      </c>
      <c r="E68" s="3">
        <v>16.738</v>
      </c>
      <c r="F68" s="3">
        <v>1.9124865070238299</v>
      </c>
      <c r="G68" s="3">
        <v>3.7977317325845399</v>
      </c>
      <c r="H68" s="12">
        <v>4167.7532774151096</v>
      </c>
      <c r="I68" s="12">
        <v>4169.6521432813997</v>
      </c>
      <c r="J68" s="12">
        <v>4171.5510091476899</v>
      </c>
      <c r="K68" s="40">
        <v>2389.0135664634799</v>
      </c>
      <c r="L68" s="40">
        <v>2387.4644493391702</v>
      </c>
    </row>
    <row r="69" spans="1:12" x14ac:dyDescent="0.25">
      <c r="A69" s="37" t="s">
        <v>795</v>
      </c>
      <c r="B69" s="36">
        <v>451062.83899999998</v>
      </c>
      <c r="C69" s="36">
        <v>3044385.1781000001</v>
      </c>
      <c r="D69" s="1">
        <v>13</v>
      </c>
      <c r="E69" s="3">
        <v>32.542000000000002</v>
      </c>
      <c r="F69" s="3">
        <v>3.7943245536314598</v>
      </c>
      <c r="G69" s="3">
        <v>7.3835455873919296</v>
      </c>
      <c r="H69" s="12">
        <v>4342.1491368883899</v>
      </c>
      <c r="I69" s="12">
        <v>4345.8409096820897</v>
      </c>
      <c r="J69" s="12">
        <v>4349.5326824757803</v>
      </c>
      <c r="K69" s="40">
        <v>2388.97774338912</v>
      </c>
      <c r="L69" s="40">
        <v>2387.4286262648102</v>
      </c>
    </row>
    <row r="70" spans="1:12" x14ac:dyDescent="0.25">
      <c r="A70" s="37" t="s">
        <v>796</v>
      </c>
      <c r="B70" s="36">
        <v>451026.54820000002</v>
      </c>
      <c r="C70" s="36">
        <v>3044337.6340000001</v>
      </c>
      <c r="D70" s="1">
        <v>13</v>
      </c>
      <c r="E70" s="3">
        <v>60.968000000000004</v>
      </c>
      <c r="F70" s="3">
        <v>7.6526961181475599</v>
      </c>
      <c r="G70" s="3">
        <v>13.833200398626699</v>
      </c>
      <c r="H70" s="12">
        <v>4397.8975637086596</v>
      </c>
      <c r="I70" s="12">
        <v>4404.8141639079804</v>
      </c>
      <c r="J70" s="12">
        <v>4411.7307641072903</v>
      </c>
      <c r="K70" s="40">
        <v>2388.9648380772701</v>
      </c>
      <c r="L70" s="40">
        <v>2387.4157209529699</v>
      </c>
    </row>
    <row r="71" spans="1:12" x14ac:dyDescent="0.25">
      <c r="A71" s="37" t="s">
        <v>797</v>
      </c>
      <c r="B71" s="36">
        <v>451056.29060000001</v>
      </c>
      <c r="C71" s="36">
        <v>3044269.5983000002</v>
      </c>
      <c r="D71" s="1">
        <v>13</v>
      </c>
      <c r="E71" s="3">
        <v>26.521999999999998</v>
      </c>
      <c r="F71" s="3">
        <v>3.0637279873417298</v>
      </c>
      <c r="G71" s="3">
        <v>6.0176509147811696</v>
      </c>
      <c r="H71" s="12">
        <v>4475.2670627278703</v>
      </c>
      <c r="I71" s="12">
        <v>4478.2758881852596</v>
      </c>
      <c r="J71" s="12">
        <v>4481.2847136426499</v>
      </c>
      <c r="K71" s="40">
        <v>2388.9491065737002</v>
      </c>
      <c r="L71" s="40">
        <v>2387.3999894494</v>
      </c>
    </row>
    <row r="72" spans="1:12" x14ac:dyDescent="0.25">
      <c r="A72" s="37" t="s">
        <v>798</v>
      </c>
      <c r="B72" s="36">
        <v>451051.7818</v>
      </c>
      <c r="C72" s="36">
        <v>3044180.8851999999</v>
      </c>
      <c r="D72" s="1">
        <v>0</v>
      </c>
      <c r="E72" s="3">
        <v>0</v>
      </c>
      <c r="F72" s="3">
        <v>0</v>
      </c>
      <c r="G72" s="3">
        <v>0</v>
      </c>
      <c r="H72" s="12">
        <v>4567.0485905374699</v>
      </c>
      <c r="I72" s="12">
        <v>4567.0485905374699</v>
      </c>
      <c r="J72" s="12">
        <v>4567.0485905374699</v>
      </c>
      <c r="K72" s="40">
        <v>2388.9310370193198</v>
      </c>
      <c r="L72" s="40">
        <v>2387.38191989501</v>
      </c>
    </row>
    <row r="73" spans="1:12" x14ac:dyDescent="0.25">
      <c r="A73" s="37" t="s">
        <v>799</v>
      </c>
      <c r="B73" s="36">
        <v>451050.05479999998</v>
      </c>
      <c r="C73" s="36">
        <v>3044146.9071</v>
      </c>
      <c r="D73" s="1">
        <v>13</v>
      </c>
      <c r="E73" s="3">
        <v>35.354999999999997</v>
      </c>
      <c r="F73" s="3">
        <v>4.1432048811914504</v>
      </c>
      <c r="G73" s="3">
        <v>8.0217950415537391</v>
      </c>
      <c r="H73" s="12">
        <v>4596.9273463376703</v>
      </c>
      <c r="I73" s="12">
        <v>4600.9382438584498</v>
      </c>
      <c r="J73" s="12">
        <v>4604.9491413792302</v>
      </c>
      <c r="K73" s="40">
        <v>2388.9238446796098</v>
      </c>
      <c r="L73" s="40">
        <v>2387.4277281899199</v>
      </c>
    </row>
    <row r="74" spans="1:12" x14ac:dyDescent="0.25">
      <c r="A74" s="37" t="s">
        <v>800</v>
      </c>
      <c r="B74" s="36">
        <v>451023.33409999998</v>
      </c>
      <c r="C74" s="36">
        <v>3044113.03</v>
      </c>
      <c r="D74" s="1">
        <v>13</v>
      </c>
      <c r="E74" s="3">
        <v>62.375999999999998</v>
      </c>
      <c r="F74" s="3">
        <v>7.8693589792532901</v>
      </c>
      <c r="G74" s="3">
        <v>14.1526654649118</v>
      </c>
      <c r="H74" s="12">
        <v>4636.0834628398698</v>
      </c>
      <c r="I74" s="12">
        <v>4643.15979557233</v>
      </c>
      <c r="J74" s="12">
        <v>4650.2361283047803</v>
      </c>
      <c r="K74" s="40">
        <v>2388.9142548280201</v>
      </c>
      <c r="L74" s="40">
        <v>2387.4181383383402</v>
      </c>
    </row>
    <row r="75" spans="1:12" x14ac:dyDescent="0.25">
      <c r="A75" s="37" t="s">
        <v>801</v>
      </c>
      <c r="B75" s="36">
        <v>451044.4999</v>
      </c>
      <c r="C75" s="36">
        <v>3044065.7387000001</v>
      </c>
      <c r="D75" s="1">
        <v>13</v>
      </c>
      <c r="E75" s="3">
        <v>30.152000000000001</v>
      </c>
      <c r="F75" s="3">
        <v>3.5018279896031701</v>
      </c>
      <c r="G75" s="3">
        <v>6.8412717887972896</v>
      </c>
      <c r="H75" s="12">
        <v>4690.6766981610099</v>
      </c>
      <c r="I75" s="12">
        <v>4694.0973340554101</v>
      </c>
      <c r="J75" s="12">
        <v>4697.5179699498103</v>
      </c>
      <c r="K75" s="40">
        <v>2388.9029827653799</v>
      </c>
      <c r="L75" s="40">
        <v>2387.4068662756899</v>
      </c>
    </row>
    <row r="76" spans="1:12" x14ac:dyDescent="0.25">
      <c r="A76" s="37" t="s">
        <v>734</v>
      </c>
      <c r="B76" s="36">
        <v>451036.0428</v>
      </c>
      <c r="C76" s="36">
        <v>3043985.8155999999</v>
      </c>
      <c r="D76" s="1">
        <v>0</v>
      </c>
      <c r="E76" s="3">
        <v>0</v>
      </c>
      <c r="F76" s="3">
        <v>0</v>
      </c>
      <c r="G76" s="3">
        <v>0</v>
      </c>
      <c r="H76" s="12">
        <v>4774.3854424054598</v>
      </c>
      <c r="I76" s="12">
        <v>4774.3854424054598</v>
      </c>
      <c r="J76" s="12">
        <v>4774.3854424054598</v>
      </c>
      <c r="K76" s="40">
        <v>2388.90262934262</v>
      </c>
      <c r="L76" s="40">
        <v>2387.4065128529301</v>
      </c>
    </row>
    <row r="77" spans="1:12" x14ac:dyDescent="0.25">
      <c r="A77" s="37" t="s">
        <v>735</v>
      </c>
      <c r="B77" s="36">
        <v>450983.3786</v>
      </c>
      <c r="C77" s="36">
        <v>3043488.1167000001</v>
      </c>
      <c r="D77" s="1">
        <v>0</v>
      </c>
      <c r="E77" s="3">
        <v>0</v>
      </c>
      <c r="F77" s="3">
        <v>0</v>
      </c>
      <c r="G77" s="3">
        <v>0</v>
      </c>
      <c r="H77" s="12">
        <v>5274.8629274360801</v>
      </c>
      <c r="I77" s="12">
        <v>5274.8629274360801</v>
      </c>
      <c r="J77" s="12">
        <v>5274.8629274360801</v>
      </c>
      <c r="K77" s="40">
        <v>2388.2717788703899</v>
      </c>
      <c r="L77" s="40">
        <v>2386.7756623807099</v>
      </c>
    </row>
    <row r="78" spans="1:12" x14ac:dyDescent="0.25">
      <c r="A78" s="37" t="s">
        <v>802</v>
      </c>
      <c r="B78" s="36">
        <v>450982.10879999999</v>
      </c>
      <c r="C78" s="36">
        <v>3043476.1159999999</v>
      </c>
      <c r="D78" s="1">
        <v>13</v>
      </c>
      <c r="E78" s="3">
        <v>71.61</v>
      </c>
      <c r="F78" s="3">
        <v>9.3776203803202502</v>
      </c>
      <c r="G78" s="3">
        <v>16.2477936055908</v>
      </c>
      <c r="H78" s="12">
        <v>5277.5529991522199</v>
      </c>
      <c r="I78" s="12">
        <v>5285.67689595502</v>
      </c>
      <c r="J78" s="12">
        <v>5293.8007927578101</v>
      </c>
      <c r="K78" s="40">
        <v>2388.2687767093598</v>
      </c>
      <c r="L78" s="40">
        <v>2386.7726602196799</v>
      </c>
    </row>
    <row r="79" spans="1:12" x14ac:dyDescent="0.25">
      <c r="A79" s="37" t="s">
        <v>803</v>
      </c>
      <c r="B79" s="36">
        <v>450897.06540000002</v>
      </c>
      <c r="C79" s="36">
        <v>3043457.4953000001</v>
      </c>
      <c r="D79" s="1">
        <v>13</v>
      </c>
      <c r="E79" s="3">
        <v>71.929000000000002</v>
      </c>
      <c r="F79" s="3">
        <v>9.4327519217691105</v>
      </c>
      <c r="G79" s="3">
        <v>16.320172409670999</v>
      </c>
      <c r="H79" s="12">
        <v>5362.0485065364501</v>
      </c>
      <c r="I79" s="12">
        <v>5370.20859274128</v>
      </c>
      <c r="J79" s="12">
        <v>5378.3686789461199</v>
      </c>
      <c r="K79" s="40">
        <v>2388.2501878962298</v>
      </c>
      <c r="L79" s="40">
        <v>2386.7540714065499</v>
      </c>
    </row>
    <row r="80" spans="1:12" x14ac:dyDescent="0.25">
      <c r="A80" s="37" t="s">
        <v>804</v>
      </c>
      <c r="B80" s="36">
        <v>450892.11709999997</v>
      </c>
      <c r="C80" s="36">
        <v>3043408.1017</v>
      </c>
      <c r="D80" s="1">
        <v>13</v>
      </c>
      <c r="E80" s="3">
        <v>51.826999999999998</v>
      </c>
      <c r="F80" s="3">
        <v>6.3162465341646303</v>
      </c>
      <c r="G80" s="3">
        <v>11.7591732886043</v>
      </c>
      <c r="H80" s="12">
        <v>5412.2605244984898</v>
      </c>
      <c r="I80" s="12">
        <v>5418.1401111427904</v>
      </c>
      <c r="J80" s="12">
        <v>5424.0196977871001</v>
      </c>
      <c r="K80" s="40">
        <v>2388.23915100265</v>
      </c>
      <c r="L80" s="40">
        <v>2386.7430345129701</v>
      </c>
    </row>
    <row r="81" spans="1:12" x14ac:dyDescent="0.25">
      <c r="A81" s="37" t="s">
        <v>805</v>
      </c>
      <c r="B81" s="36">
        <v>450931.35820000002</v>
      </c>
      <c r="C81" s="36">
        <v>3043370.3476</v>
      </c>
      <c r="D81" s="1">
        <v>13</v>
      </c>
      <c r="E81" s="3">
        <v>57.619</v>
      </c>
      <c r="F81" s="3">
        <v>7.1496176676357397</v>
      </c>
      <c r="G81" s="3">
        <v>13.073336402185999</v>
      </c>
      <c r="H81" s="12">
        <v>5465.0078141195499</v>
      </c>
      <c r="I81" s="12">
        <v>5471.5444823206399</v>
      </c>
      <c r="J81" s="12">
        <v>5478.0811505217398</v>
      </c>
      <c r="K81" s="40">
        <v>2388.22718727132</v>
      </c>
      <c r="L81" s="40">
        <v>2386.73107078164</v>
      </c>
    </row>
    <row r="82" spans="1:12" x14ac:dyDescent="0.25">
      <c r="A82" s="37" t="s">
        <v>806</v>
      </c>
      <c r="B82" s="36">
        <v>450919.56420000002</v>
      </c>
      <c r="C82" s="36">
        <v>3043312.4408999998</v>
      </c>
      <c r="D82" s="1">
        <v>13</v>
      </c>
      <c r="E82" s="3">
        <v>43.857999999999997</v>
      </c>
      <c r="F82" s="3">
        <v>5.2336112631124401</v>
      </c>
      <c r="G82" s="3">
        <v>9.9510645434157503</v>
      </c>
      <c r="H82" s="12">
        <v>5524.7934742232201</v>
      </c>
      <c r="I82" s="12">
        <v>5529.7690064949302</v>
      </c>
      <c r="J82" s="12">
        <v>5534.7445387666403</v>
      </c>
      <c r="K82" s="40">
        <v>2388.2143529169898</v>
      </c>
      <c r="L82" s="40">
        <v>2386.7182364273099</v>
      </c>
    </row>
    <row r="83" spans="1:12" x14ac:dyDescent="0.25">
      <c r="A83" s="37" t="s">
        <v>807</v>
      </c>
      <c r="B83" s="36">
        <v>450864.5404</v>
      </c>
      <c r="C83" s="36">
        <v>3043274.4396000002</v>
      </c>
      <c r="D83" s="1">
        <v>13</v>
      </c>
      <c r="E83" s="3">
        <v>33.929000000000002</v>
      </c>
      <c r="F83" s="3">
        <v>3.9656929490661299</v>
      </c>
      <c r="G83" s="3">
        <v>7.6982459048190304</v>
      </c>
      <c r="H83" s="12">
        <v>5592.4161353118598</v>
      </c>
      <c r="I83" s="12">
        <v>5596.2652582642704</v>
      </c>
      <c r="J83" s="12">
        <v>5600.1143812166802</v>
      </c>
      <c r="K83" s="40">
        <v>2388.2001418964101</v>
      </c>
      <c r="L83" s="40">
        <v>2386.7040254067201</v>
      </c>
    </row>
    <row r="84" spans="1:12" x14ac:dyDescent="0.25">
      <c r="A84" s="37" t="s">
        <v>808</v>
      </c>
      <c r="B84" s="36">
        <v>450826.34240000002</v>
      </c>
      <c r="C84" s="36">
        <v>3043177.1752999998</v>
      </c>
      <c r="D84" s="1">
        <v>13</v>
      </c>
      <c r="E84" s="3">
        <v>40.753999999999998</v>
      </c>
      <c r="F84" s="3">
        <v>4.8287172539268797</v>
      </c>
      <c r="G84" s="3">
        <v>9.2467892836509993</v>
      </c>
      <c r="H84" s="12">
        <v>5695.8160535171201</v>
      </c>
      <c r="I84" s="12">
        <v>5700.4394481589397</v>
      </c>
      <c r="J84" s="12">
        <v>5705.0628428007703</v>
      </c>
      <c r="K84" s="40">
        <v>2388.1784316713301</v>
      </c>
      <c r="L84" s="40">
        <v>2386.6823151816402</v>
      </c>
    </row>
    <row r="85" spans="1:12" x14ac:dyDescent="0.25">
      <c r="A85" s="37" t="s">
        <v>809</v>
      </c>
      <c r="B85" s="36">
        <v>450835.5624</v>
      </c>
      <c r="C85" s="36">
        <v>3043150.8662999999</v>
      </c>
      <c r="D85" s="1">
        <v>13</v>
      </c>
      <c r="E85" s="3">
        <v>31.888999999999999</v>
      </c>
      <c r="F85" s="3">
        <v>3.71406584804381</v>
      </c>
      <c r="G85" s="3">
        <v>7.2353845871901301</v>
      </c>
      <c r="H85" s="12">
        <v>5724.3978623559997</v>
      </c>
      <c r="I85" s="12">
        <v>5728.0155546495898</v>
      </c>
      <c r="J85" s="12">
        <v>5731.63324694319</v>
      </c>
      <c r="K85" s="40">
        <v>2388.1720649745298</v>
      </c>
      <c r="L85" s="40">
        <v>2386.6759484848399</v>
      </c>
    </row>
    <row r="86" spans="1:12" x14ac:dyDescent="0.25">
      <c r="A86" s="37" t="s">
        <v>605</v>
      </c>
      <c r="B86" s="36">
        <v>450821.07370000001</v>
      </c>
      <c r="C86" s="36">
        <v>3043085.9216999998</v>
      </c>
      <c r="D86" s="1">
        <v>0</v>
      </c>
      <c r="E86" s="3">
        <v>0</v>
      </c>
      <c r="F86" s="3">
        <v>0</v>
      </c>
      <c r="G86" s="3">
        <v>0</v>
      </c>
      <c r="H86" s="12">
        <v>5794.4603224804196</v>
      </c>
      <c r="I86" s="12">
        <v>5794.4603224804196</v>
      </c>
      <c r="J86" s="12">
        <v>5794.4603224804196</v>
      </c>
      <c r="K86" s="40">
        <v>2388.1716911917501</v>
      </c>
      <c r="L86" s="40">
        <v>2386.6755747020702</v>
      </c>
    </row>
    <row r="87" spans="1:12" x14ac:dyDescent="0.25">
      <c r="A87" s="37" t="s">
        <v>606</v>
      </c>
      <c r="B87" s="36">
        <v>450684.5723</v>
      </c>
      <c r="C87" s="36">
        <v>3042474.0627000001</v>
      </c>
      <c r="D87" s="1">
        <v>0</v>
      </c>
      <c r="E87" s="3">
        <v>0</v>
      </c>
      <c r="F87" s="3">
        <v>0</v>
      </c>
      <c r="G87" s="3">
        <v>0</v>
      </c>
      <c r="H87" s="12">
        <v>6421.3606878357195</v>
      </c>
      <c r="I87" s="12">
        <v>6421.3606878357195</v>
      </c>
      <c r="J87" s="12">
        <v>6421.3606878357195</v>
      </c>
      <c r="K87" s="40">
        <v>2387.5417895052101</v>
      </c>
      <c r="L87" s="40">
        <v>2386.0456730155302</v>
      </c>
    </row>
    <row r="88" spans="1:12" x14ac:dyDescent="0.25">
      <c r="A88" s="37" t="s">
        <v>607</v>
      </c>
      <c r="B88" s="36">
        <v>450638.90759999998</v>
      </c>
      <c r="C88" s="36">
        <v>3042269.3739999998</v>
      </c>
      <c r="D88" s="1">
        <v>0</v>
      </c>
      <c r="E88" s="3">
        <v>0</v>
      </c>
      <c r="F88" s="3">
        <v>0</v>
      </c>
      <c r="G88" s="3">
        <v>0</v>
      </c>
      <c r="H88" s="12">
        <v>6631.08128466374</v>
      </c>
      <c r="I88" s="12">
        <v>6631.08128466374</v>
      </c>
      <c r="J88" s="12">
        <v>6631.08128466374</v>
      </c>
      <c r="K88" s="40">
        <v>2387.44984538585</v>
      </c>
      <c r="L88" s="40">
        <v>2385.9537288961701</v>
      </c>
    </row>
    <row r="89" spans="1:12" x14ac:dyDescent="0.25">
      <c r="A89" s="37" t="s">
        <v>810</v>
      </c>
      <c r="B89" s="36">
        <v>450634.0184</v>
      </c>
      <c r="C89" s="36">
        <v>3042247.4582000002</v>
      </c>
      <c r="D89" s="1">
        <v>13</v>
      </c>
      <c r="E89" s="3">
        <v>28.887</v>
      </c>
      <c r="F89" s="3">
        <v>3.3483552323630001</v>
      </c>
      <c r="G89" s="3">
        <v>6.55425239330682</v>
      </c>
      <c r="H89" s="12">
        <v>6650.1874738770402</v>
      </c>
      <c r="I89" s="12">
        <v>6653.4646000737002</v>
      </c>
      <c r="J89" s="12">
        <v>6656.7417262703502</v>
      </c>
      <c r="K89" s="40">
        <v>2387.4450301275401</v>
      </c>
      <c r="L89" s="40">
        <v>2385.9489136378602</v>
      </c>
    </row>
    <row r="90" spans="1:12" x14ac:dyDescent="0.25">
      <c r="A90" s="37" t="s">
        <v>608</v>
      </c>
      <c r="B90" s="36">
        <v>450619.27679999999</v>
      </c>
      <c r="C90" s="36">
        <v>3042230.7744</v>
      </c>
      <c r="D90" s="1">
        <v>0</v>
      </c>
      <c r="E90" s="3">
        <v>0</v>
      </c>
      <c r="F90" s="3">
        <v>0</v>
      </c>
      <c r="G90" s="3">
        <v>0</v>
      </c>
      <c r="H90" s="12">
        <v>6675.6568827333103</v>
      </c>
      <c r="I90" s="12">
        <v>6675.6568827333103</v>
      </c>
      <c r="J90" s="12">
        <v>6675.6568827333103</v>
      </c>
      <c r="K90" s="40">
        <v>2387.4446915323201</v>
      </c>
      <c r="L90" s="40">
        <v>2385.9485750426402</v>
      </c>
    </row>
    <row r="91" spans="1:12" x14ac:dyDescent="0.25">
      <c r="A91" s="37" t="s">
        <v>811</v>
      </c>
      <c r="B91" s="36">
        <v>450240.08590000001</v>
      </c>
      <c r="C91" s="36">
        <v>3041801.6181999999</v>
      </c>
      <c r="D91" s="1">
        <v>5.4</v>
      </c>
      <c r="E91" s="3">
        <v>25.042999999999999</v>
      </c>
      <c r="F91" s="3">
        <v>1.19927727349599</v>
      </c>
      <c r="G91" s="3">
        <v>2.3602471447154798</v>
      </c>
      <c r="H91" s="12">
        <v>7247.1362087281004</v>
      </c>
      <c r="I91" s="12">
        <v>7248.3163323004601</v>
      </c>
      <c r="J91" s="12">
        <v>7249.4964558728198</v>
      </c>
      <c r="K91" s="40">
        <v>2387.4446915323201</v>
      </c>
      <c r="L91" s="40">
        <v>2385.9485750426402</v>
      </c>
    </row>
    <row r="92" spans="1:12" x14ac:dyDescent="0.25">
      <c r="A92" s="37" t="s">
        <v>812</v>
      </c>
      <c r="B92" s="36">
        <v>450045.6741</v>
      </c>
      <c r="C92" s="36">
        <v>3041717.1096999999</v>
      </c>
      <c r="D92" s="1">
        <v>5.4</v>
      </c>
      <c r="E92" s="3">
        <v>45.49</v>
      </c>
      <c r="F92" s="3">
        <v>2.2638538474342398</v>
      </c>
      <c r="G92" s="3">
        <v>4.2873314943539897</v>
      </c>
      <c r="H92" s="12">
        <v>7458.0183113700195</v>
      </c>
      <c r="I92" s="12">
        <v>7460.1619771172</v>
      </c>
      <c r="J92" s="12">
        <v>7462.3056428643804</v>
      </c>
      <c r="K92" s="40">
        <v>2387.4446915323201</v>
      </c>
      <c r="L92" s="40">
        <v>2385.9485750426402</v>
      </c>
    </row>
    <row r="93" spans="1:12" x14ac:dyDescent="0.25">
      <c r="A93" s="37" t="s">
        <v>813</v>
      </c>
      <c r="B93" s="36">
        <v>449953.90549999999</v>
      </c>
      <c r="C93" s="36">
        <v>3041478.2414000002</v>
      </c>
      <c r="D93" s="1">
        <v>5.4</v>
      </c>
      <c r="E93" s="3">
        <v>8.9990000000000006</v>
      </c>
      <c r="F93" s="3">
        <v>0.42494180111227497</v>
      </c>
      <c r="G93" s="3">
        <v>0.84813576868963703</v>
      </c>
      <c r="H93" s="12">
        <v>7715.5065513672998</v>
      </c>
      <c r="I93" s="12">
        <v>7715.9306192516497</v>
      </c>
      <c r="J93" s="12">
        <v>7716.3546871359904</v>
      </c>
      <c r="K93" s="40">
        <v>2387.4446915323201</v>
      </c>
      <c r="L93" s="40">
        <v>2385.9485750426402</v>
      </c>
    </row>
    <row r="94" spans="1:12" x14ac:dyDescent="0.25">
      <c r="A94" s="37" t="s">
        <v>814</v>
      </c>
      <c r="B94" s="36">
        <v>449300.57939999999</v>
      </c>
      <c r="C94" s="36">
        <v>3040347.3034999999</v>
      </c>
      <c r="D94" s="1">
        <v>5.4</v>
      </c>
      <c r="E94" s="3">
        <v>18.683</v>
      </c>
      <c r="F94" s="3">
        <v>0.88830055788096596</v>
      </c>
      <c r="G94" s="3">
        <v>1.7608312664105401</v>
      </c>
      <c r="H94" s="12">
        <v>9021.1254874780007</v>
      </c>
      <c r="I94" s="12">
        <v>9022.0059031112105</v>
      </c>
      <c r="J94" s="12">
        <v>9022.8863187444094</v>
      </c>
      <c r="K94" s="40">
        <v>2387.4446915323201</v>
      </c>
      <c r="L94" s="40">
        <v>2385.9485750426402</v>
      </c>
    </row>
    <row r="95" spans="1:12" x14ac:dyDescent="0.25">
      <c r="A95" s="37" t="s">
        <v>609</v>
      </c>
      <c r="B95" s="36">
        <v>449113.85149999999</v>
      </c>
      <c r="C95" s="36">
        <v>3040183.2463000002</v>
      </c>
      <c r="D95" s="1">
        <v>0</v>
      </c>
      <c r="E95" s="3">
        <v>0</v>
      </c>
      <c r="F95" s="3">
        <v>0</v>
      </c>
      <c r="G95" s="3">
        <v>0</v>
      </c>
      <c r="H95" s="12">
        <v>9270.5580180057805</v>
      </c>
      <c r="I95" s="12">
        <v>9270.5580180057805</v>
      </c>
      <c r="J95" s="12">
        <v>9270.5580180057805</v>
      </c>
      <c r="K95" s="40">
        <v>2383.9486341788302</v>
      </c>
      <c r="L95" s="40">
        <v>2382.4525176891402</v>
      </c>
    </row>
    <row r="96" spans="1:12" x14ac:dyDescent="0.25">
      <c r="A96" s="37" t="s">
        <v>610</v>
      </c>
      <c r="B96" s="36">
        <v>448966.28320000001</v>
      </c>
      <c r="C96" s="36">
        <v>3040053.5945000001</v>
      </c>
      <c r="D96" s="1">
        <v>0</v>
      </c>
      <c r="E96" s="3">
        <v>0</v>
      </c>
      <c r="F96" s="3">
        <v>0</v>
      </c>
      <c r="G96" s="3">
        <v>0</v>
      </c>
      <c r="H96" s="12">
        <v>9466.9911934323209</v>
      </c>
      <c r="I96" s="12">
        <v>9466.9911934323209</v>
      </c>
      <c r="J96" s="12">
        <v>9466.9911934323209</v>
      </c>
      <c r="K96" s="40">
        <v>2383.9093475437398</v>
      </c>
      <c r="L96" s="40">
        <v>2382.4132310540599</v>
      </c>
    </row>
    <row r="97" spans="1:12" x14ac:dyDescent="0.25">
      <c r="A97" s="37" t="s">
        <v>815</v>
      </c>
      <c r="B97" s="36">
        <v>448940.58760000003</v>
      </c>
      <c r="C97" s="36">
        <v>3040031.0186000001</v>
      </c>
      <c r="D97" s="1">
        <v>12</v>
      </c>
      <c r="E97" s="3">
        <v>34.332999999999998</v>
      </c>
      <c r="F97" s="3">
        <v>3.7069333704313401</v>
      </c>
      <c r="G97" s="3">
        <v>7.1906867050465602</v>
      </c>
      <c r="H97" s="12">
        <v>9497.4885744121493</v>
      </c>
      <c r="I97" s="12">
        <v>9501.0839177646703</v>
      </c>
      <c r="J97" s="12">
        <v>9504.6792611171895</v>
      </c>
      <c r="K97" s="40">
        <v>2383.9021524291702</v>
      </c>
      <c r="L97" s="40">
        <v>2382.4115394987498</v>
      </c>
    </row>
    <row r="98" spans="1:12" x14ac:dyDescent="0.25">
      <c r="A98" s="37" t="s">
        <v>611</v>
      </c>
      <c r="B98" s="36">
        <v>448899.00140000001</v>
      </c>
      <c r="C98" s="36">
        <v>3040025.9355000001</v>
      </c>
      <c r="D98" s="1">
        <v>0</v>
      </c>
      <c r="E98" s="3">
        <v>0</v>
      </c>
      <c r="F98" s="3">
        <v>0</v>
      </c>
      <c r="G98" s="3">
        <v>0</v>
      </c>
      <c r="H98" s="12">
        <v>9542.8680308206003</v>
      </c>
      <c r="I98" s="12">
        <v>9542.8680308206003</v>
      </c>
      <c r="J98" s="12">
        <v>9542.8680308206003</v>
      </c>
      <c r="K98" s="40">
        <v>2383.85408397019</v>
      </c>
      <c r="L98" s="40">
        <v>2382.3223834043201</v>
      </c>
    </row>
    <row r="99" spans="1:12" x14ac:dyDescent="0.25">
      <c r="A99" s="37" t="s">
        <v>816</v>
      </c>
      <c r="B99" s="36">
        <v>448695.69219999999</v>
      </c>
      <c r="C99" s="36">
        <v>3040001.0847999998</v>
      </c>
      <c r="D99" s="1">
        <v>12</v>
      </c>
      <c r="E99" s="3">
        <v>8.7949999999999999</v>
      </c>
      <c r="F99" s="3">
        <v>0.92282298074707403</v>
      </c>
      <c r="G99" s="3">
        <v>1.84202049255482</v>
      </c>
      <c r="H99" s="12">
        <v>9746.7675408388495</v>
      </c>
      <c r="I99" s="12">
        <v>9747.6885510851207</v>
      </c>
      <c r="J99" s="12">
        <v>9748.6095613313992</v>
      </c>
      <c r="K99" s="40">
        <v>2383.75156449114</v>
      </c>
      <c r="L99" s="40">
        <v>2382.2198639252802</v>
      </c>
    </row>
    <row r="100" spans="1:12" x14ac:dyDescent="0.25">
      <c r="A100" s="37" t="s">
        <v>817</v>
      </c>
      <c r="B100" s="36">
        <v>448332.3933</v>
      </c>
      <c r="C100" s="36">
        <v>3040012.6708</v>
      </c>
      <c r="D100" s="1">
        <v>12</v>
      </c>
      <c r="E100" s="3">
        <v>59.088000000000001</v>
      </c>
      <c r="F100" s="3">
        <v>6.8014437860567503</v>
      </c>
      <c r="G100" s="3">
        <v>12.375361781020899</v>
      </c>
      <c r="H100" s="12">
        <v>10104.3688927327</v>
      </c>
      <c r="I100" s="12">
        <v>10110.5565736232</v>
      </c>
      <c r="J100" s="12">
        <v>10116.7442545137</v>
      </c>
      <c r="K100" s="40">
        <v>2383.5692874886699</v>
      </c>
      <c r="L100" s="40">
        <v>2382.0375869228101</v>
      </c>
    </row>
    <row r="101" spans="1:12" x14ac:dyDescent="0.25">
      <c r="A101" s="37" t="s">
        <v>612</v>
      </c>
      <c r="B101" s="36">
        <v>448307.7475</v>
      </c>
      <c r="C101" s="36">
        <v>3040056.9772999999</v>
      </c>
      <c r="D101" s="1">
        <v>0</v>
      </c>
      <c r="E101" s="3">
        <v>0</v>
      </c>
      <c r="F101" s="3">
        <v>0</v>
      </c>
      <c r="G101" s="3">
        <v>0</v>
      </c>
      <c r="H101" s="12">
        <v>10160.6427259138</v>
      </c>
      <c r="I101" s="12">
        <v>10160.6427259138</v>
      </c>
      <c r="J101" s="12">
        <v>10160.6427259138</v>
      </c>
      <c r="K101" s="40">
        <v>2383.5435106402401</v>
      </c>
      <c r="L101" s="40">
        <v>2382.0118100743798</v>
      </c>
    </row>
    <row r="102" spans="1:12" x14ac:dyDescent="0.25">
      <c r="A102" s="37" t="s">
        <v>818</v>
      </c>
      <c r="B102" s="36">
        <v>448300.69540000003</v>
      </c>
      <c r="C102" s="36">
        <v>3040069.6551000001</v>
      </c>
      <c r="D102" s="1">
        <v>12</v>
      </c>
      <c r="E102" s="3">
        <v>66.444999999999993</v>
      </c>
      <c r="F102" s="3">
        <v>7.8593119999893997</v>
      </c>
      <c r="G102" s="3">
        <v>13.916208257851601</v>
      </c>
      <c r="H102" s="12">
        <v>10167.2906096199</v>
      </c>
      <c r="I102" s="12">
        <v>10174.248713748801</v>
      </c>
      <c r="J102" s="12">
        <v>10181.206817877701</v>
      </c>
      <c r="K102" s="40">
        <v>2383.5622050461502</v>
      </c>
      <c r="L102" s="40">
        <v>2382.0715921157198</v>
      </c>
    </row>
    <row r="103" spans="1:12" x14ac:dyDescent="0.25">
      <c r="A103" s="37" t="s">
        <v>819</v>
      </c>
      <c r="B103" s="36">
        <v>448177.20140000002</v>
      </c>
      <c r="C103" s="36">
        <v>3040057.6973000001</v>
      </c>
      <c r="D103" s="1">
        <v>12</v>
      </c>
      <c r="E103" s="3">
        <v>27.663</v>
      </c>
      <c r="F103" s="3">
        <v>2.9544790155777201</v>
      </c>
      <c r="G103" s="3">
        <v>5.7937251717503004</v>
      </c>
      <c r="H103" s="12">
        <v>10294.464607076299</v>
      </c>
      <c r="I103" s="12">
        <v>10297.361469662201</v>
      </c>
      <c r="J103" s="12">
        <v>10300.2583322481</v>
      </c>
      <c r="K103" s="40">
        <v>2383.5365503037201</v>
      </c>
      <c r="L103" s="40">
        <v>2382.0459373733001</v>
      </c>
    </row>
    <row r="104" spans="1:12" x14ac:dyDescent="0.25">
      <c r="A104" s="37" t="s">
        <v>820</v>
      </c>
      <c r="B104" s="36">
        <v>448106.8835</v>
      </c>
      <c r="C104" s="36">
        <v>3040086.2966</v>
      </c>
      <c r="D104" s="1">
        <v>12</v>
      </c>
      <c r="E104" s="3">
        <v>49.683</v>
      </c>
      <c r="F104" s="3">
        <v>5.5553294312866903</v>
      </c>
      <c r="G104" s="3">
        <v>10.405583187220101</v>
      </c>
      <c r="H104" s="12">
        <v>10367.6598340316</v>
      </c>
      <c r="I104" s="12">
        <v>10372.862625625199</v>
      </c>
      <c r="J104" s="12">
        <v>10378.065417218801</v>
      </c>
      <c r="K104" s="40">
        <v>2383.52060172952</v>
      </c>
      <c r="L104" s="40">
        <v>2382.0299887991</v>
      </c>
    </row>
    <row r="105" spans="1:12" x14ac:dyDescent="0.25">
      <c r="A105" s="37" t="s">
        <v>821</v>
      </c>
      <c r="B105" s="36">
        <v>447977.74939999997</v>
      </c>
      <c r="C105" s="36">
        <v>3040018.9273000001</v>
      </c>
      <c r="D105" s="1">
        <v>12</v>
      </c>
      <c r="E105" s="3">
        <v>16.57</v>
      </c>
      <c r="F105" s="3">
        <v>1.74740234728916</v>
      </c>
      <c r="G105" s="3">
        <v>3.4704126846655199</v>
      </c>
      <c r="H105" s="12">
        <v>10516.413769766101</v>
      </c>
      <c r="I105" s="12">
        <v>10518.148976108499</v>
      </c>
      <c r="J105" s="12">
        <v>10519.8841824508</v>
      </c>
      <c r="K105" s="40">
        <v>2383.4908177861698</v>
      </c>
      <c r="L105" s="40">
        <v>2382.0002048557499</v>
      </c>
    </row>
    <row r="106" spans="1:12" x14ac:dyDescent="0.25">
      <c r="A106" s="37" t="s">
        <v>822</v>
      </c>
      <c r="B106" s="36">
        <v>447899.01640000002</v>
      </c>
      <c r="C106" s="36">
        <v>3039942.5723000001</v>
      </c>
      <c r="D106" s="1">
        <v>12</v>
      </c>
      <c r="E106" s="3">
        <v>38.744</v>
      </c>
      <c r="F106" s="3">
        <v>4.2192766573449898</v>
      </c>
      <c r="G106" s="3">
        <v>8.1145243847121993</v>
      </c>
      <c r="H106" s="12">
        <v>10623.5941705818</v>
      </c>
      <c r="I106" s="12">
        <v>10627.651432774201</v>
      </c>
      <c r="J106" s="12">
        <v>10631.708694966501</v>
      </c>
      <c r="K106" s="40">
        <v>2383.4683106022399</v>
      </c>
      <c r="L106" s="40">
        <v>2381.9776976718199</v>
      </c>
    </row>
    <row r="107" spans="1:12" x14ac:dyDescent="0.25">
      <c r="A107" s="37" t="s">
        <v>823</v>
      </c>
      <c r="B107" s="36">
        <v>447892.12439999997</v>
      </c>
      <c r="C107" s="36">
        <v>3039887.5133000002</v>
      </c>
      <c r="D107" s="1">
        <v>12</v>
      </c>
      <c r="E107" s="3">
        <v>53.51</v>
      </c>
      <c r="F107" s="3">
        <v>6.0498112359530802</v>
      </c>
      <c r="G107" s="3">
        <v>11.207108192906</v>
      </c>
      <c r="H107" s="12">
        <v>10676.9282828998</v>
      </c>
      <c r="I107" s="12">
        <v>10682.531836996301</v>
      </c>
      <c r="J107" s="12">
        <v>10688.135391092699</v>
      </c>
      <c r="K107" s="40">
        <v>2383.4563226651098</v>
      </c>
      <c r="L107" s="40">
        <v>2381.9657097346899</v>
      </c>
    </row>
    <row r="108" spans="1:12" x14ac:dyDescent="0.25">
      <c r="A108" s="37" t="s">
        <v>824</v>
      </c>
      <c r="B108" s="36">
        <v>447916.30940000003</v>
      </c>
      <c r="C108" s="36">
        <v>3039864.4622999998</v>
      </c>
      <c r="D108" s="1">
        <v>12</v>
      </c>
      <c r="E108" s="3">
        <v>77.388999999999996</v>
      </c>
      <c r="F108" s="3">
        <v>9.61192172472634</v>
      </c>
      <c r="G108" s="3">
        <v>16.2083142579107</v>
      </c>
      <c r="H108" s="12">
        <v>10705.8841778231</v>
      </c>
      <c r="I108" s="12">
        <v>10713.988334952001</v>
      </c>
      <c r="J108" s="12">
        <v>10722.092492080999</v>
      </c>
      <c r="K108" s="40">
        <v>2383.4485956448402</v>
      </c>
      <c r="L108" s="40">
        <v>2381.9579827144198</v>
      </c>
    </row>
    <row r="109" spans="1:12" x14ac:dyDescent="0.25">
      <c r="A109" s="37" t="s">
        <v>613</v>
      </c>
      <c r="B109" s="36">
        <v>447838.95110000001</v>
      </c>
      <c r="C109" s="36">
        <v>3039735.7842000001</v>
      </c>
      <c r="D109" s="1">
        <v>0</v>
      </c>
      <c r="E109" s="3">
        <v>1E-3</v>
      </c>
      <c r="F109" s="3">
        <v>0</v>
      </c>
      <c r="G109" s="3">
        <v>0</v>
      </c>
      <c r="H109" s="12">
        <v>10862.621703955299</v>
      </c>
      <c r="I109" s="12">
        <v>10862.621703955299</v>
      </c>
      <c r="J109" s="12">
        <v>10862.621703955299</v>
      </c>
      <c r="K109" s="40">
        <v>2383.4180201564</v>
      </c>
      <c r="L109" s="40">
        <v>2381.92740722598</v>
      </c>
    </row>
    <row r="110" spans="1:12" x14ac:dyDescent="0.25">
      <c r="A110" s="37" t="s">
        <v>825</v>
      </c>
      <c r="B110" s="36">
        <v>447834.07020000002</v>
      </c>
      <c r="C110" s="36">
        <v>3039727.6650999999</v>
      </c>
      <c r="D110" s="1">
        <v>12</v>
      </c>
      <c r="E110" s="3">
        <v>21.3</v>
      </c>
      <c r="F110" s="3">
        <v>2.2565794695481101</v>
      </c>
      <c r="G110" s="3">
        <v>4.4610615680975103</v>
      </c>
      <c r="H110" s="12">
        <v>10869.838401090199</v>
      </c>
      <c r="I110" s="12">
        <v>10872.068931874301</v>
      </c>
      <c r="J110" s="12">
        <v>10874.2994626583</v>
      </c>
      <c r="K110" s="40">
        <v>2383.4159022949698</v>
      </c>
      <c r="L110" s="40">
        <v>2382.0079309879502</v>
      </c>
    </row>
    <row r="111" spans="1:12" x14ac:dyDescent="0.25">
      <c r="A111" s="37" t="s">
        <v>826</v>
      </c>
      <c r="B111" s="36">
        <v>447826.61540000001</v>
      </c>
      <c r="C111" s="36">
        <v>3039684.1093000001</v>
      </c>
      <c r="D111" s="1">
        <v>12</v>
      </c>
      <c r="E111" s="3">
        <v>36.36</v>
      </c>
      <c r="F111" s="3">
        <v>3.9407581932376901</v>
      </c>
      <c r="G111" s="3">
        <v>7.61522059230166</v>
      </c>
      <c r="H111" s="12">
        <v>10912.2912838092</v>
      </c>
      <c r="I111" s="12">
        <v>10916.0988941053</v>
      </c>
      <c r="J111" s="12">
        <v>10919.906504401501</v>
      </c>
      <c r="K111" s="40">
        <v>2383.4064779711598</v>
      </c>
      <c r="L111" s="40">
        <v>2381.9985066641402</v>
      </c>
    </row>
    <row r="112" spans="1:12" x14ac:dyDescent="0.25">
      <c r="A112" s="37" t="s">
        <v>827</v>
      </c>
      <c r="B112" s="36">
        <v>447782.32699999999</v>
      </c>
      <c r="C112" s="36">
        <v>3039641.4481000002</v>
      </c>
      <c r="D112" s="1">
        <v>12</v>
      </c>
      <c r="E112" s="3">
        <v>56.789000000000001</v>
      </c>
      <c r="F112" s="3">
        <v>6.4868871875892902</v>
      </c>
      <c r="G112" s="3">
        <v>11.8938603469807</v>
      </c>
      <c r="H112" s="12">
        <v>10970.9722762293</v>
      </c>
      <c r="I112" s="12">
        <v>10976.919206402799</v>
      </c>
      <c r="J112" s="12">
        <v>10982.8661365763</v>
      </c>
      <c r="K112" s="40">
        <v>2383.3933150022199</v>
      </c>
      <c r="L112" s="40">
        <v>2381.9853436951998</v>
      </c>
    </row>
    <row r="113" spans="1:12" x14ac:dyDescent="0.25">
      <c r="A113" s="37" t="s">
        <v>828</v>
      </c>
      <c r="B113" s="36">
        <v>447792.09259999997</v>
      </c>
      <c r="C113" s="36">
        <v>3039589.8476999998</v>
      </c>
      <c r="D113" s="1">
        <v>12</v>
      </c>
      <c r="E113" s="3">
        <v>47.374000000000002</v>
      </c>
      <c r="F113" s="3">
        <v>5.2643846772118303</v>
      </c>
      <c r="G113" s="3">
        <v>9.9219873580775193</v>
      </c>
      <c r="H113" s="12">
        <v>11023.631226195799</v>
      </c>
      <c r="I113" s="12">
        <v>11028.592219874899</v>
      </c>
      <c r="J113" s="12">
        <v>11033.5532135539</v>
      </c>
      <c r="K113" s="40">
        <v>2383.38186338167</v>
      </c>
      <c r="L113" s="40">
        <v>2381.9738920746499</v>
      </c>
    </row>
    <row r="114" spans="1:12" x14ac:dyDescent="0.25">
      <c r="A114" s="37" t="s">
        <v>829</v>
      </c>
      <c r="B114" s="36">
        <v>447767.32900000003</v>
      </c>
      <c r="C114" s="36">
        <v>3039556.5726999999</v>
      </c>
      <c r="D114" s="1">
        <v>12</v>
      </c>
      <c r="E114" s="3">
        <v>40.201000000000001</v>
      </c>
      <c r="F114" s="3">
        <v>4.3914951429290001</v>
      </c>
      <c r="G114" s="3">
        <v>8.4196777511308891</v>
      </c>
      <c r="H114" s="12">
        <v>11065.3757800638</v>
      </c>
      <c r="I114" s="12">
        <v>11069.5856189393</v>
      </c>
      <c r="J114" s="12">
        <v>11073.7954578149</v>
      </c>
      <c r="K114" s="40">
        <v>2383.3727255695499</v>
      </c>
      <c r="L114" s="40">
        <v>2381.9647542625298</v>
      </c>
    </row>
    <row r="115" spans="1:12" x14ac:dyDescent="0.25">
      <c r="A115" s="37" t="s">
        <v>830</v>
      </c>
      <c r="B115" s="36">
        <v>447735.00780000002</v>
      </c>
      <c r="C115" s="36">
        <v>3039549.0263999999</v>
      </c>
      <c r="D115" s="1">
        <v>12</v>
      </c>
      <c r="E115" s="3">
        <v>49.746000000000002</v>
      </c>
      <c r="F115" s="3">
        <v>5.5633427409847398</v>
      </c>
      <c r="G115" s="3">
        <v>10.418777876365199</v>
      </c>
      <c r="H115" s="12">
        <v>11097.0310796014</v>
      </c>
      <c r="I115" s="12">
        <v>11102.2404685396</v>
      </c>
      <c r="J115" s="12">
        <v>11107.449857477701</v>
      </c>
      <c r="K115" s="40">
        <v>2383.3652300305898</v>
      </c>
      <c r="L115" s="40">
        <v>2381.9572587235698</v>
      </c>
    </row>
    <row r="116" spans="1:12" x14ac:dyDescent="0.25">
      <c r="A116" s="37" t="s">
        <v>831</v>
      </c>
      <c r="B116" s="36">
        <v>447732.17320000002</v>
      </c>
      <c r="C116" s="36">
        <v>3039543.4901000001</v>
      </c>
      <c r="D116" s="1">
        <v>0</v>
      </c>
      <c r="E116" s="3">
        <v>1E-3</v>
      </c>
      <c r="F116" s="3">
        <v>0</v>
      </c>
      <c r="G116" s="3">
        <v>0</v>
      </c>
      <c r="H116" s="12">
        <v>11108.1062876303</v>
      </c>
      <c r="I116" s="12">
        <v>11108.1062876303</v>
      </c>
      <c r="J116" s="12">
        <v>11108.1062876303</v>
      </c>
      <c r="K116" s="40">
        <v>2383.3635234031599</v>
      </c>
      <c r="L116" s="40">
        <v>2381.9555520961399</v>
      </c>
    </row>
    <row r="117" spans="1:12" x14ac:dyDescent="0.25">
      <c r="A117" s="37" t="s">
        <v>614</v>
      </c>
      <c r="B117" s="36">
        <v>447729.43939999997</v>
      </c>
      <c r="C117" s="36">
        <v>3039538.1505</v>
      </c>
      <c r="D117" s="1">
        <v>0</v>
      </c>
      <c r="E117" s="3">
        <v>0</v>
      </c>
      <c r="F117" s="3">
        <v>0</v>
      </c>
      <c r="G117" s="3">
        <v>0</v>
      </c>
      <c r="H117" s="12">
        <v>11114.105036716701</v>
      </c>
      <c r="I117" s="12">
        <v>11114.105036716701</v>
      </c>
      <c r="J117" s="12">
        <v>11114.105036716701</v>
      </c>
      <c r="K117" s="40">
        <v>2383.3155181224402</v>
      </c>
      <c r="L117" s="40">
        <v>2381.8883084792801</v>
      </c>
    </row>
    <row r="118" spans="1:12" x14ac:dyDescent="0.25">
      <c r="A118" s="37" t="s">
        <v>615</v>
      </c>
      <c r="B118" s="36">
        <v>447677.48560000001</v>
      </c>
      <c r="C118" s="36">
        <v>3039436.6767000002</v>
      </c>
      <c r="D118" s="1">
        <v>0</v>
      </c>
      <c r="E118" s="3">
        <v>0</v>
      </c>
      <c r="F118" s="3">
        <v>0</v>
      </c>
      <c r="G118" s="3">
        <v>0</v>
      </c>
      <c r="H118" s="12">
        <v>11228.1056043505</v>
      </c>
      <c r="I118" s="12">
        <v>11228.1056043505</v>
      </c>
      <c r="J118" s="12">
        <v>11228.1056043505</v>
      </c>
      <c r="K118" s="40">
        <v>2383.2585178386198</v>
      </c>
      <c r="L118" s="40">
        <v>2381.8313081954698</v>
      </c>
    </row>
    <row r="119" spans="1:12" x14ac:dyDescent="0.25">
      <c r="A119" s="37" t="s">
        <v>616</v>
      </c>
      <c r="B119" s="36">
        <v>447672.32650000002</v>
      </c>
      <c r="C119" s="36">
        <v>3039426.6000999999</v>
      </c>
      <c r="D119" s="1">
        <v>0</v>
      </c>
      <c r="E119" s="3">
        <v>0</v>
      </c>
      <c r="F119" s="3">
        <v>0</v>
      </c>
      <c r="G119" s="3">
        <v>0</v>
      </c>
      <c r="H119" s="12">
        <v>11239.4261246732</v>
      </c>
      <c r="I119" s="12">
        <v>11239.4261246732</v>
      </c>
      <c r="J119" s="12">
        <v>11239.4261246732</v>
      </c>
      <c r="K119" s="40">
        <v>2383.27261908011</v>
      </c>
      <c r="L119" s="40">
        <v>2381.8804076882798</v>
      </c>
    </row>
    <row r="120" spans="1:12" x14ac:dyDescent="0.25">
      <c r="A120" s="37" t="s">
        <v>617</v>
      </c>
      <c r="B120" s="36">
        <v>447628.82939999999</v>
      </c>
      <c r="C120" s="36">
        <v>3039341.6436000001</v>
      </c>
      <c r="D120" s="1">
        <v>0</v>
      </c>
      <c r="E120" s="3">
        <v>0</v>
      </c>
      <c r="F120" s="3">
        <v>0</v>
      </c>
      <c r="G120" s="3">
        <v>0</v>
      </c>
      <c r="H120" s="12">
        <v>11334.8703733246</v>
      </c>
      <c r="I120" s="12">
        <v>11334.8703733246</v>
      </c>
      <c r="J120" s="12">
        <v>11334.8703733246</v>
      </c>
      <c r="K120" s="40">
        <v>2383.22489695579</v>
      </c>
      <c r="L120" s="40">
        <v>2381.8326855639498</v>
      </c>
    </row>
    <row r="121" spans="1:12" x14ac:dyDescent="0.25">
      <c r="A121" s="41" t="s">
        <v>736</v>
      </c>
      <c r="B121" s="36">
        <v>447622.14799999999</v>
      </c>
      <c r="C121" s="36">
        <v>3039328.5937000001</v>
      </c>
      <c r="D121" s="1">
        <v>0</v>
      </c>
      <c r="E121" s="3">
        <v>0</v>
      </c>
      <c r="F121" s="3">
        <v>0</v>
      </c>
      <c r="G121" s="3">
        <v>0</v>
      </c>
      <c r="H121" s="12">
        <v>11349.531239464401</v>
      </c>
      <c r="I121" s="12">
        <v>11349.531239464401</v>
      </c>
      <c r="J121" s="12">
        <v>11349.531239464401</v>
      </c>
      <c r="K121" s="40">
        <v>2383.2098994369999</v>
      </c>
      <c r="L121" s="40">
        <v>2381.7826897938498</v>
      </c>
    </row>
    <row r="122" spans="1:12" x14ac:dyDescent="0.25">
      <c r="A122" s="37" t="s">
        <v>619</v>
      </c>
      <c r="B122" s="36">
        <v>447553.788</v>
      </c>
      <c r="C122" s="36">
        <v>3039195.0762999998</v>
      </c>
      <c r="D122" s="1">
        <v>0</v>
      </c>
      <c r="E122" s="3">
        <v>0</v>
      </c>
      <c r="F122" s="3">
        <v>0</v>
      </c>
      <c r="G122" s="3">
        <v>0</v>
      </c>
      <c r="H122" s="12">
        <v>11499.5311918072</v>
      </c>
      <c r="I122" s="12">
        <v>11499.5311918072</v>
      </c>
      <c r="J122" s="12">
        <v>11499.5311918072</v>
      </c>
      <c r="K122" s="40">
        <v>2383.1348994608302</v>
      </c>
      <c r="L122" s="40">
        <v>2381.7076898176801</v>
      </c>
    </row>
    <row r="123" spans="1:12" x14ac:dyDescent="0.25">
      <c r="A123" s="37" t="s">
        <v>620</v>
      </c>
      <c r="B123" s="36">
        <v>447548.77500000002</v>
      </c>
      <c r="C123" s="36">
        <v>3039185.2850000001</v>
      </c>
      <c r="D123" s="1">
        <v>0</v>
      </c>
      <c r="E123" s="3">
        <v>0</v>
      </c>
      <c r="F123" s="3">
        <v>0</v>
      </c>
      <c r="G123" s="3">
        <v>0</v>
      </c>
      <c r="H123" s="12">
        <v>11510.531179292801</v>
      </c>
      <c r="I123" s="12">
        <v>11510.531179292801</v>
      </c>
      <c r="J123" s="12">
        <v>11510.531179292801</v>
      </c>
      <c r="K123" s="40">
        <v>2383.1490648088902</v>
      </c>
      <c r="L123" s="40">
        <v>2381.75685341706</v>
      </c>
    </row>
    <row r="124" spans="1:12" x14ac:dyDescent="0.25">
      <c r="A124" s="37" t="s">
        <v>832</v>
      </c>
      <c r="B124" s="36">
        <v>447522.20939999999</v>
      </c>
      <c r="C124" s="36">
        <v>3039133.3983</v>
      </c>
      <c r="D124" s="1">
        <v>12</v>
      </c>
      <c r="E124" s="3">
        <v>16.311</v>
      </c>
      <c r="F124" s="3">
        <v>1.7197138854260301</v>
      </c>
      <c r="G124" s="3">
        <v>3.4161678515135399</v>
      </c>
      <c r="H124" s="12">
        <v>11567.103495224999</v>
      </c>
      <c r="I124" s="12">
        <v>11568.811579150801</v>
      </c>
      <c r="J124" s="12">
        <v>11570.5196630766</v>
      </c>
      <c r="K124" s="40">
        <v>2383.1197220085501</v>
      </c>
      <c r="L124" s="40">
        <v>2381.7275106167199</v>
      </c>
    </row>
    <row r="125" spans="1:12" x14ac:dyDescent="0.25">
      <c r="A125" s="37" t="s">
        <v>621</v>
      </c>
      <c r="B125" s="36">
        <v>447457.26630000002</v>
      </c>
      <c r="C125" s="36">
        <v>3039064.7793999999</v>
      </c>
      <c r="D125" s="1">
        <v>0</v>
      </c>
      <c r="E125" s="3">
        <v>0</v>
      </c>
      <c r="F125" s="3">
        <v>0</v>
      </c>
      <c r="G125" s="3">
        <v>0</v>
      </c>
      <c r="H125" s="12">
        <v>11663.2783047803</v>
      </c>
      <c r="I125" s="12">
        <v>11663.2783047803</v>
      </c>
      <c r="J125" s="12">
        <v>11663.2783047803</v>
      </c>
      <c r="K125" s="40">
        <v>2383.0722860453302</v>
      </c>
      <c r="L125" s="40">
        <v>2381.6800746535</v>
      </c>
    </row>
    <row r="126" spans="1:12" x14ac:dyDescent="0.25">
      <c r="A126" s="37" t="s">
        <v>622</v>
      </c>
      <c r="B126" s="36">
        <v>447426.76130000001</v>
      </c>
      <c r="C126" s="36">
        <v>3039032.5477999998</v>
      </c>
      <c r="D126" s="1">
        <v>0</v>
      </c>
      <c r="E126" s="3">
        <v>0</v>
      </c>
      <c r="F126" s="3">
        <v>0</v>
      </c>
      <c r="G126" s="3">
        <v>0</v>
      </c>
      <c r="H126" s="12">
        <v>11707.656577206801</v>
      </c>
      <c r="I126" s="12">
        <v>11707.656577206801</v>
      </c>
      <c r="J126" s="12">
        <v>11707.656577206801</v>
      </c>
      <c r="K126" s="40">
        <v>2383.09244143366</v>
      </c>
      <c r="L126" s="40">
        <v>2381.68447012664</v>
      </c>
    </row>
    <row r="127" spans="1:12" x14ac:dyDescent="0.25">
      <c r="A127" s="37" t="s">
        <v>833</v>
      </c>
      <c r="B127" s="36">
        <v>447194.56520000001</v>
      </c>
      <c r="C127" s="36">
        <v>3038787.2091999999</v>
      </c>
      <c r="D127" s="1">
        <v>5.4</v>
      </c>
      <c r="E127" s="3">
        <v>5.6319999999999997</v>
      </c>
      <c r="F127" s="3">
        <v>0.26561565309367602</v>
      </c>
      <c r="G127" s="3">
        <v>0.53080349475053101</v>
      </c>
      <c r="H127" s="12">
        <v>12045.186842974899</v>
      </c>
      <c r="I127" s="12">
        <v>12045.452244722301</v>
      </c>
      <c r="J127" s="12">
        <v>12045.7176464697</v>
      </c>
      <c r="K127" s="40">
        <v>2383.09244143366</v>
      </c>
      <c r="L127" s="40">
        <v>2381.68447012664</v>
      </c>
    </row>
    <row r="128" spans="1:12" x14ac:dyDescent="0.25">
      <c r="A128" s="37" t="s">
        <v>623</v>
      </c>
      <c r="B128" s="36">
        <v>446991.5416</v>
      </c>
      <c r="C128" s="36">
        <v>3038611.068</v>
      </c>
      <c r="D128" s="1">
        <v>0</v>
      </c>
      <c r="E128" s="3">
        <v>0</v>
      </c>
      <c r="F128" s="3">
        <v>0</v>
      </c>
      <c r="G128" s="3">
        <v>0</v>
      </c>
      <c r="H128" s="12">
        <v>12314.2350371514</v>
      </c>
      <c r="I128" s="12">
        <v>12314.2350371514</v>
      </c>
      <c r="J128" s="12">
        <v>12314.2350371514</v>
      </c>
      <c r="K128" s="40">
        <v>2382.33023057013</v>
      </c>
      <c r="L128" s="40">
        <v>2380.9222592631099</v>
      </c>
    </row>
    <row r="129" spans="1:12" x14ac:dyDescent="0.25">
      <c r="A129" s="37" t="s">
        <v>624</v>
      </c>
      <c r="B129" s="36">
        <v>446971.96139999997</v>
      </c>
      <c r="C129" s="36">
        <v>3038594.0803999999</v>
      </c>
      <c r="D129" s="1">
        <v>0</v>
      </c>
      <c r="E129" s="3">
        <v>0</v>
      </c>
      <c r="F129" s="3">
        <v>0</v>
      </c>
      <c r="G129" s="3">
        <v>0</v>
      </c>
      <c r="H129" s="12">
        <v>12340.1572821507</v>
      </c>
      <c r="I129" s="12">
        <v>12340.1572821507</v>
      </c>
      <c r="J129" s="12">
        <v>12340.1572821507</v>
      </c>
      <c r="K129" s="40">
        <v>2382.2873149601601</v>
      </c>
      <c r="L129" s="40">
        <v>2380.8951035683299</v>
      </c>
    </row>
    <row r="130" spans="1:12" x14ac:dyDescent="0.25">
      <c r="A130" s="37" t="s">
        <v>834</v>
      </c>
      <c r="B130" s="36">
        <v>445877.34409999999</v>
      </c>
      <c r="C130" s="36">
        <v>3037644.4015000002</v>
      </c>
      <c r="D130" s="1">
        <v>12</v>
      </c>
      <c r="E130" s="3">
        <v>20.507000000000001</v>
      </c>
      <c r="F130" s="3">
        <v>2.1707105060012402</v>
      </c>
      <c r="G130" s="3">
        <v>4.2949760364777303</v>
      </c>
      <c r="H130" s="12">
        <v>13787.15082961</v>
      </c>
      <c r="I130" s="12">
        <v>13789.2983176282</v>
      </c>
      <c r="J130" s="12">
        <v>13791.445805646399</v>
      </c>
      <c r="K130" s="40">
        <v>2381.5624897231201</v>
      </c>
      <c r="L130" s="40">
        <v>2380.1702783312799</v>
      </c>
    </row>
    <row r="131" spans="1:12" x14ac:dyDescent="0.25">
      <c r="A131" s="37" t="s">
        <v>625</v>
      </c>
      <c r="B131" s="36">
        <v>445781.53240000003</v>
      </c>
      <c r="C131" s="36">
        <v>3037608.6981000002</v>
      </c>
      <c r="D131" s="1">
        <v>0</v>
      </c>
      <c r="E131" s="3">
        <v>0</v>
      </c>
      <c r="F131" s="3">
        <v>0</v>
      </c>
      <c r="G131" s="3">
        <v>0</v>
      </c>
      <c r="H131" s="12">
        <v>13891.522905035999</v>
      </c>
      <c r="I131" s="12">
        <v>13891.522905035999</v>
      </c>
      <c r="J131" s="12">
        <v>13891.522905035999</v>
      </c>
      <c r="K131" s="40">
        <v>2381.5111227101102</v>
      </c>
      <c r="L131" s="40">
        <v>2380.11891131827</v>
      </c>
    </row>
    <row r="132" spans="1:12" x14ac:dyDescent="0.25">
      <c r="A132" s="37" t="s">
        <v>626</v>
      </c>
      <c r="B132" s="36">
        <v>445695.97200000001</v>
      </c>
      <c r="C132" s="36">
        <v>3037576.8147</v>
      </c>
      <c r="D132" s="1">
        <v>0</v>
      </c>
      <c r="E132" s="3">
        <v>0</v>
      </c>
      <c r="F132" s="3">
        <v>0</v>
      </c>
      <c r="G132" s="3">
        <v>0</v>
      </c>
      <c r="H132" s="12">
        <v>13982.8308085479</v>
      </c>
      <c r="I132" s="12">
        <v>13982.8308085479</v>
      </c>
      <c r="J132" s="12">
        <v>13982.8308085479</v>
      </c>
      <c r="K132" s="40">
        <v>2381.5140165177399</v>
      </c>
      <c r="L132" s="40">
        <v>2380.1060452107199</v>
      </c>
    </row>
    <row r="133" spans="1:12" x14ac:dyDescent="0.25">
      <c r="A133" s="37" t="s">
        <v>627</v>
      </c>
      <c r="B133" s="36">
        <v>445666.90029999998</v>
      </c>
      <c r="C133" s="36">
        <v>3037565.9813999999</v>
      </c>
      <c r="D133" s="1">
        <v>0</v>
      </c>
      <c r="E133" s="3">
        <v>0</v>
      </c>
      <c r="F133" s="3">
        <v>0</v>
      </c>
      <c r="G133" s="3">
        <v>0</v>
      </c>
      <c r="H133" s="12">
        <v>14013.8553815471</v>
      </c>
      <c r="I133" s="12">
        <v>14013.8553815471</v>
      </c>
      <c r="J133" s="12">
        <v>14013.8553815471</v>
      </c>
      <c r="K133" s="40">
        <v>2381.4578116031398</v>
      </c>
      <c r="L133" s="40">
        <v>2380.07748139655</v>
      </c>
    </row>
    <row r="134" spans="1:12" x14ac:dyDescent="0.25">
      <c r="A134" s="37" t="s">
        <v>628</v>
      </c>
      <c r="B134" s="36">
        <v>445621.00819999998</v>
      </c>
      <c r="C134" s="36">
        <v>3037548.8801000002</v>
      </c>
      <c r="D134" s="1">
        <v>0</v>
      </c>
      <c r="E134" s="3">
        <v>0</v>
      </c>
      <c r="F134" s="3">
        <v>0</v>
      </c>
      <c r="G134" s="3">
        <v>0</v>
      </c>
      <c r="H134" s="12">
        <v>14062.8302659685</v>
      </c>
      <c r="I134" s="12">
        <v>14062.8302659685</v>
      </c>
      <c r="J134" s="12">
        <v>14062.8302659685</v>
      </c>
      <c r="K134" s="40">
        <v>2381.4578116031398</v>
      </c>
      <c r="L134" s="40">
        <v>2380.07748139655</v>
      </c>
    </row>
    <row r="135" spans="1:12" x14ac:dyDescent="0.25">
      <c r="A135" s="37" t="s">
        <v>835</v>
      </c>
      <c r="B135" s="36">
        <v>445278.45939999999</v>
      </c>
      <c r="C135" s="36">
        <v>3037421.2322999998</v>
      </c>
      <c r="D135" s="1">
        <v>4.8</v>
      </c>
      <c r="E135" s="3">
        <v>24.1</v>
      </c>
      <c r="F135" s="3">
        <v>1.0246503503329301</v>
      </c>
      <c r="G135" s="3">
        <v>2.01899687870704</v>
      </c>
      <c r="H135" s="12">
        <v>14427.364969521699</v>
      </c>
      <c r="I135" s="12">
        <v>14428.374467961101</v>
      </c>
      <c r="J135" s="12">
        <v>14429.383966400401</v>
      </c>
      <c r="K135" s="40">
        <v>2381.4578116031398</v>
      </c>
      <c r="L135" s="40">
        <v>2380.07748139655</v>
      </c>
    </row>
    <row r="136" spans="1:12" x14ac:dyDescent="0.25">
      <c r="A136" s="37" t="s">
        <v>836</v>
      </c>
      <c r="B136" s="36">
        <v>445124.32049999997</v>
      </c>
      <c r="C136" s="36">
        <v>3037431.0981000001</v>
      </c>
      <c r="D136" s="1">
        <v>4.8</v>
      </c>
      <c r="E136" s="3">
        <v>8.4480000000000004</v>
      </c>
      <c r="F136" s="3">
        <v>0.35451149043041602</v>
      </c>
      <c r="G136" s="3">
        <v>0.70773799300070905</v>
      </c>
      <c r="H136" s="12">
        <v>14582.459116583799</v>
      </c>
      <c r="I136" s="12">
        <v>14582.8129855803</v>
      </c>
      <c r="J136" s="12">
        <v>14583.166854576801</v>
      </c>
      <c r="K136" s="40">
        <v>2381.4578116031398</v>
      </c>
      <c r="L136" s="40">
        <v>2380.07748139655</v>
      </c>
    </row>
    <row r="137" spans="1:12" x14ac:dyDescent="0.25">
      <c r="A137" s="37" t="s">
        <v>837</v>
      </c>
      <c r="B137" s="36">
        <v>444690.77149999997</v>
      </c>
      <c r="C137" s="36">
        <v>3037394.8001999999</v>
      </c>
      <c r="D137" s="1">
        <v>4.8</v>
      </c>
      <c r="E137" s="3">
        <v>31.51</v>
      </c>
      <c r="F137" s="3">
        <v>1.3541922158280899</v>
      </c>
      <c r="G137" s="3">
        <v>2.6397755870563802</v>
      </c>
      <c r="H137" s="12">
        <v>15016.523976861799</v>
      </c>
      <c r="I137" s="12">
        <v>15017.8438646553</v>
      </c>
      <c r="J137" s="12">
        <v>15019.1637524489</v>
      </c>
      <c r="K137" s="40">
        <v>2381.4578116031398</v>
      </c>
      <c r="L137" s="40">
        <v>2380.07748139655</v>
      </c>
    </row>
    <row r="138" spans="1:12" x14ac:dyDescent="0.25">
      <c r="A138" s="37" t="s">
        <v>838</v>
      </c>
      <c r="B138" s="36">
        <v>444447.97950000002</v>
      </c>
      <c r="C138" s="36">
        <v>3037216.4761000001</v>
      </c>
      <c r="D138" s="1">
        <v>4.8</v>
      </c>
      <c r="E138" s="3">
        <v>27.581</v>
      </c>
      <c r="F138" s="3">
        <v>1.17814922926354</v>
      </c>
      <c r="G138" s="3">
        <v>2.3106204527642702</v>
      </c>
      <c r="H138" s="12">
        <v>15317.8745684443</v>
      </c>
      <c r="I138" s="12">
        <v>15319.029878670701</v>
      </c>
      <c r="J138" s="12">
        <v>15320.1851888971</v>
      </c>
      <c r="K138" s="40">
        <v>2381.4578116031398</v>
      </c>
      <c r="L138" s="40">
        <v>2380.07748139655</v>
      </c>
    </row>
    <row r="139" spans="1:12" x14ac:dyDescent="0.25">
      <c r="A139" s="37" t="s">
        <v>629</v>
      </c>
      <c r="B139" s="36">
        <v>444330.84779999999</v>
      </c>
      <c r="C139" s="36">
        <v>3037198.5203999998</v>
      </c>
      <c r="D139" s="1">
        <v>0</v>
      </c>
      <c r="E139" s="3">
        <v>0</v>
      </c>
      <c r="F139" s="3">
        <v>0</v>
      </c>
      <c r="G139" s="3">
        <v>0</v>
      </c>
      <c r="H139" s="12">
        <v>15437.5070072095</v>
      </c>
      <c r="I139" s="12">
        <v>15437.5070072095</v>
      </c>
      <c r="J139" s="12">
        <v>15437.5070072095</v>
      </c>
      <c r="K139" s="40">
        <v>2379.46812829695</v>
      </c>
      <c r="L139" s="40">
        <v>2378.0877980903701</v>
      </c>
    </row>
    <row r="140" spans="1:12" x14ac:dyDescent="0.25">
      <c r="A140" s="41" t="s">
        <v>630</v>
      </c>
      <c r="B140" s="36">
        <v>444321.26140000002</v>
      </c>
      <c r="C140" s="36">
        <v>3037197.0507999999</v>
      </c>
      <c r="D140" s="1">
        <v>0</v>
      </c>
      <c r="E140" s="3">
        <v>0</v>
      </c>
      <c r="F140" s="3">
        <v>0</v>
      </c>
      <c r="G140" s="3">
        <v>0</v>
      </c>
      <c r="H140" s="12">
        <v>15447.205398267801</v>
      </c>
      <c r="I140" s="12">
        <v>15447.205398267801</v>
      </c>
      <c r="J140" s="12">
        <v>15447.205398267801</v>
      </c>
      <c r="K140" s="40">
        <v>2379.43056885442</v>
      </c>
      <c r="L140" s="40">
        <v>2378.1799701086602</v>
      </c>
    </row>
    <row r="141" spans="1:12" x14ac:dyDescent="0.25">
      <c r="A141" s="37" t="s">
        <v>839</v>
      </c>
      <c r="B141" s="36">
        <v>444133.53499999997</v>
      </c>
      <c r="C141" s="36">
        <v>3037168.2732000002</v>
      </c>
      <c r="D141" s="1">
        <v>12</v>
      </c>
      <c r="E141" s="3">
        <v>36.512999999999998</v>
      </c>
      <c r="F141" s="3">
        <v>3.9585160066832898</v>
      </c>
      <c r="G141" s="3">
        <v>7.6472648373682803</v>
      </c>
      <c r="H141" s="12">
        <v>15633.1662112372</v>
      </c>
      <c r="I141" s="12">
        <v>15636.9898436559</v>
      </c>
      <c r="J141" s="12">
        <v>15640.8134760746</v>
      </c>
      <c r="K141" s="40">
        <v>2379.33526275437</v>
      </c>
      <c r="L141" s="40">
        <v>2378.0846640086102</v>
      </c>
    </row>
    <row r="142" spans="1:12" x14ac:dyDescent="0.25">
      <c r="A142" s="37" t="s">
        <v>631</v>
      </c>
      <c r="B142" s="36">
        <v>444087.18939999997</v>
      </c>
      <c r="C142" s="36">
        <v>3037192.7063000002</v>
      </c>
      <c r="D142" s="1">
        <v>0</v>
      </c>
      <c r="E142" s="3">
        <v>1E-3</v>
      </c>
      <c r="F142" s="3">
        <v>0</v>
      </c>
      <c r="G142" s="3">
        <v>0</v>
      </c>
      <c r="H142" s="12">
        <v>15689.2466675699</v>
      </c>
      <c r="I142" s="12">
        <v>15689.2466675699</v>
      </c>
      <c r="J142" s="12">
        <v>15689.2466675699</v>
      </c>
      <c r="K142" s="40">
        <v>2379.3087204650601</v>
      </c>
      <c r="L142" s="40">
        <v>2378.0581217192998</v>
      </c>
    </row>
    <row r="143" spans="1:12" x14ac:dyDescent="0.25">
      <c r="A143" s="37" t="s">
        <v>632</v>
      </c>
      <c r="B143" s="36">
        <v>444079.67070000002</v>
      </c>
      <c r="C143" s="36">
        <v>3037196.6702000001</v>
      </c>
      <c r="D143" s="1">
        <v>0</v>
      </c>
      <c r="E143" s="3">
        <v>1E-3</v>
      </c>
      <c r="F143" s="3">
        <v>0</v>
      </c>
      <c r="G143" s="3">
        <v>0</v>
      </c>
      <c r="H143" s="12">
        <v>15697.746276554901</v>
      </c>
      <c r="I143" s="12">
        <v>15697.746276554901</v>
      </c>
      <c r="J143" s="12">
        <v>15697.746276554901</v>
      </c>
      <c r="K143" s="40">
        <v>2379.32777425514</v>
      </c>
      <c r="L143" s="40">
        <v>2377.9474440485601</v>
      </c>
    </row>
    <row r="144" spans="1:12" x14ac:dyDescent="0.25">
      <c r="A144" s="37" t="s">
        <v>840</v>
      </c>
      <c r="B144" s="36">
        <v>443919.37219999998</v>
      </c>
      <c r="C144" s="36">
        <v>3037281.1784000001</v>
      </c>
      <c r="D144" s="1">
        <v>4.8</v>
      </c>
      <c r="E144" s="3">
        <v>38.725000000000001</v>
      </c>
      <c r="F144" s="3">
        <v>1.6868164538428001</v>
      </c>
      <c r="G144" s="3">
        <v>3.24421801360706</v>
      </c>
      <c r="H144" s="12">
        <v>15877.2699591608</v>
      </c>
      <c r="I144" s="12">
        <v>15878.892068167601</v>
      </c>
      <c r="J144" s="12">
        <v>15880.5141771745</v>
      </c>
      <c r="K144" s="40">
        <v>2379.32777425514</v>
      </c>
      <c r="L144" s="40">
        <v>2377.9474440485601</v>
      </c>
    </row>
    <row r="145" spans="1:12" x14ac:dyDescent="0.25">
      <c r="A145" s="37" t="s">
        <v>633</v>
      </c>
      <c r="B145" s="36">
        <v>443828.40779999999</v>
      </c>
      <c r="C145" s="36">
        <v>3037263.6168</v>
      </c>
      <c r="D145" s="1">
        <v>0</v>
      </c>
      <c r="E145" s="3">
        <v>1E-3</v>
      </c>
      <c r="F145" s="3">
        <v>0</v>
      </c>
      <c r="G145" s="3">
        <v>0</v>
      </c>
      <c r="H145" s="12">
        <v>15971.4714747372</v>
      </c>
      <c r="I145" s="12">
        <v>15971.4714747372</v>
      </c>
      <c r="J145" s="12">
        <v>15971.4714747372</v>
      </c>
      <c r="K145" s="40">
        <v>2378.7533144054401</v>
      </c>
      <c r="L145" s="40">
        <v>2377.3729841988502</v>
      </c>
    </row>
    <row r="146" spans="1:12" x14ac:dyDescent="0.25">
      <c r="A146" s="37" t="s">
        <v>634</v>
      </c>
      <c r="B146" s="36">
        <v>443816.48719999997</v>
      </c>
      <c r="C146" s="36">
        <v>3037261.3150999998</v>
      </c>
      <c r="D146" s="1">
        <v>0</v>
      </c>
      <c r="E146" s="3">
        <v>2E-3</v>
      </c>
      <c r="F146" s="3">
        <v>0</v>
      </c>
      <c r="G146" s="3">
        <v>0</v>
      </c>
      <c r="H146" s="12">
        <v>15983.612254252999</v>
      </c>
      <c r="I146" s="12">
        <v>15983.612254252999</v>
      </c>
      <c r="J146" s="12">
        <v>15983.612254252999</v>
      </c>
      <c r="K146" s="40">
        <v>2378.7152664852101</v>
      </c>
      <c r="L146" s="40">
        <v>2377.4646677394499</v>
      </c>
    </row>
    <row r="147" spans="1:12" x14ac:dyDescent="0.25">
      <c r="A147" s="37" t="s">
        <v>841</v>
      </c>
      <c r="B147" s="36">
        <v>443672.37650000001</v>
      </c>
      <c r="C147" s="36">
        <v>3037233.4950999999</v>
      </c>
      <c r="D147" s="1">
        <v>12</v>
      </c>
      <c r="E147" s="3">
        <v>35.904000000000003</v>
      </c>
      <c r="F147" s="3">
        <v>3.8879249466388899</v>
      </c>
      <c r="G147" s="3">
        <v>7.5197161756325297</v>
      </c>
      <c r="H147" s="12">
        <v>16126.495737470501</v>
      </c>
      <c r="I147" s="12">
        <v>16130.255595558299</v>
      </c>
      <c r="J147" s="12">
        <v>16134.0154536461</v>
      </c>
      <c r="K147" s="40">
        <v>2378.6415378402598</v>
      </c>
      <c r="L147" s="40">
        <v>2377.3909390945</v>
      </c>
    </row>
    <row r="148" spans="1:12" x14ac:dyDescent="0.25">
      <c r="A148" s="37" t="s">
        <v>842</v>
      </c>
      <c r="B148" s="36">
        <v>443571.66230000003</v>
      </c>
      <c r="C148" s="36">
        <v>3037126.1301000002</v>
      </c>
      <c r="D148" s="1">
        <v>12</v>
      </c>
      <c r="E148" s="3">
        <v>37.090000000000003</v>
      </c>
      <c r="F148" s="3">
        <v>4.02562651074357</v>
      </c>
      <c r="G148" s="3">
        <v>7.76811143477636</v>
      </c>
      <c r="H148" s="12">
        <v>16273.3112541559</v>
      </c>
      <c r="I148" s="12">
        <v>16277.195309873199</v>
      </c>
      <c r="J148" s="12">
        <v>16281.0793655906</v>
      </c>
      <c r="K148" s="40">
        <v>2378.56724059112</v>
      </c>
      <c r="L148" s="40">
        <v>2377.3166418453602</v>
      </c>
    </row>
    <row r="149" spans="1:12" x14ac:dyDescent="0.25">
      <c r="A149" s="37" t="s">
        <v>635</v>
      </c>
      <c r="B149" s="36">
        <v>443217.93949999998</v>
      </c>
      <c r="C149" s="36">
        <v>3037065.4057999998</v>
      </c>
      <c r="D149" s="1">
        <v>0</v>
      </c>
      <c r="E149" s="3">
        <v>0</v>
      </c>
      <c r="F149" s="3">
        <v>0</v>
      </c>
      <c r="G149" s="3">
        <v>0</v>
      </c>
      <c r="H149" s="12">
        <v>16635.951022227</v>
      </c>
      <c r="I149" s="12">
        <v>16635.951022227</v>
      </c>
      <c r="J149" s="12">
        <v>16635.951022227</v>
      </c>
      <c r="K149" s="40">
        <v>2378.3874423172501</v>
      </c>
      <c r="L149" s="40">
        <v>2377.1368435714899</v>
      </c>
    </row>
    <row r="150" spans="1:12" x14ac:dyDescent="0.25">
      <c r="A150" s="37" t="s">
        <v>843</v>
      </c>
      <c r="B150" s="36">
        <v>443206.44510000001</v>
      </c>
      <c r="C150" s="36">
        <v>3037063.4325000001</v>
      </c>
      <c r="D150" s="1">
        <v>12</v>
      </c>
      <c r="E150" s="3">
        <v>41.860999999999997</v>
      </c>
      <c r="F150" s="3">
        <v>4.5896752824534097</v>
      </c>
      <c r="G150" s="3">
        <v>8.7673473381281593</v>
      </c>
      <c r="H150" s="12">
        <v>16643.0239000205</v>
      </c>
      <c r="I150" s="12">
        <v>16647.407573689601</v>
      </c>
      <c r="J150" s="12">
        <v>16651.7912473586</v>
      </c>
      <c r="K150" s="40">
        <v>2378.4047675284601</v>
      </c>
      <c r="L150" s="40">
        <v>2377.0244373218802</v>
      </c>
    </row>
    <row r="151" spans="1:12" x14ac:dyDescent="0.25">
      <c r="A151" s="37" t="s">
        <v>636</v>
      </c>
      <c r="B151" s="36">
        <v>443197.26</v>
      </c>
      <c r="C151" s="36">
        <v>3037051.8429</v>
      </c>
      <c r="D151" s="1">
        <v>0</v>
      </c>
      <c r="E151" s="3">
        <v>0</v>
      </c>
      <c r="F151" s="3">
        <v>0</v>
      </c>
      <c r="G151" s="3">
        <v>0</v>
      </c>
      <c r="H151" s="12">
        <v>16661.989570256199</v>
      </c>
      <c r="I151" s="12">
        <v>16661.989570256199</v>
      </c>
      <c r="J151" s="12">
        <v>16661.989570256199</v>
      </c>
      <c r="K151" s="40">
        <v>2378.3514138605801</v>
      </c>
      <c r="L151" s="40">
        <v>2376.9710836539998</v>
      </c>
    </row>
    <row r="152" spans="1:12" x14ac:dyDescent="0.25">
      <c r="A152" s="37" t="s">
        <v>637</v>
      </c>
      <c r="B152" s="36">
        <v>443186.67599999998</v>
      </c>
      <c r="C152" s="36">
        <v>3037038.4882999999</v>
      </c>
      <c r="D152" s="1">
        <v>0</v>
      </c>
      <c r="E152" s="3">
        <v>0</v>
      </c>
      <c r="F152" s="3">
        <v>0</v>
      </c>
      <c r="G152" s="3">
        <v>0</v>
      </c>
      <c r="H152" s="12">
        <v>16679.029711017502</v>
      </c>
      <c r="I152" s="12">
        <v>16679.029711017502</v>
      </c>
      <c r="J152" s="12">
        <v>16679.029711017502</v>
      </c>
      <c r="K152" s="40">
        <v>2378.3514138605801</v>
      </c>
      <c r="L152" s="40">
        <v>2377.1232732172398</v>
      </c>
    </row>
    <row r="153" spans="1:12" x14ac:dyDescent="0.25">
      <c r="A153" s="37" t="s">
        <v>844</v>
      </c>
      <c r="B153" s="36">
        <v>442924.7634</v>
      </c>
      <c r="C153" s="36">
        <v>3036708.0103000002</v>
      </c>
      <c r="D153" s="1">
        <v>4.8</v>
      </c>
      <c r="E153" s="3">
        <v>10.055999999999999</v>
      </c>
      <c r="F153" s="3">
        <v>0.42230936347536902</v>
      </c>
      <c r="G153" s="3">
        <v>0.84244948598663905</v>
      </c>
      <c r="H153" s="12">
        <v>17100.287278483</v>
      </c>
      <c r="I153" s="12">
        <v>17100.708503226</v>
      </c>
      <c r="J153" s="12">
        <v>17101.129727969001</v>
      </c>
      <c r="K153" s="40">
        <v>2378.3514138605801</v>
      </c>
      <c r="L153" s="40">
        <v>2377.1232732172398</v>
      </c>
    </row>
    <row r="154" spans="1:12" x14ac:dyDescent="0.25">
      <c r="A154" s="37" t="s">
        <v>845</v>
      </c>
      <c r="B154" s="36">
        <v>442639.58039999998</v>
      </c>
      <c r="C154" s="36">
        <v>3036455.2892999998</v>
      </c>
      <c r="D154" s="1">
        <v>4.8</v>
      </c>
      <c r="E154" s="3">
        <v>11.881</v>
      </c>
      <c r="F154" s="3">
        <v>0.49946115208894898</v>
      </c>
      <c r="G154" s="3">
        <v>0.99534032846134202</v>
      </c>
      <c r="H154" s="12">
        <v>17481.2555231591</v>
      </c>
      <c r="I154" s="12">
        <v>17481.7531933233</v>
      </c>
      <c r="J154" s="12">
        <v>17482.250863487501</v>
      </c>
      <c r="K154" s="40">
        <v>2378.3514138605801</v>
      </c>
      <c r="L154" s="40">
        <v>2377.1232732172398</v>
      </c>
    </row>
    <row r="155" spans="1:12" x14ac:dyDescent="0.25">
      <c r="A155" s="37" t="s">
        <v>638</v>
      </c>
      <c r="B155" s="36">
        <v>441908.4302</v>
      </c>
      <c r="C155" s="36">
        <v>3036038.8393000001</v>
      </c>
      <c r="D155" s="1">
        <v>0</v>
      </c>
      <c r="E155" s="3">
        <v>0</v>
      </c>
      <c r="F155" s="3">
        <v>0</v>
      </c>
      <c r="G155" s="3">
        <v>0</v>
      </c>
      <c r="H155" s="12">
        <v>18323.185426760301</v>
      </c>
      <c r="I155" s="12">
        <v>18323.185426760301</v>
      </c>
      <c r="J155" s="12">
        <v>18323.185426760301</v>
      </c>
      <c r="K155" s="40">
        <v>2375.5985693828202</v>
      </c>
      <c r="L155" s="40">
        <v>2374.3704287394798</v>
      </c>
    </row>
    <row r="156" spans="1:12" x14ac:dyDescent="0.25">
      <c r="A156" s="37" t="s">
        <v>846</v>
      </c>
      <c r="B156" s="36">
        <v>441903.05339999998</v>
      </c>
      <c r="C156" s="36">
        <v>3036035.7768000001</v>
      </c>
      <c r="D156" s="1">
        <v>10</v>
      </c>
      <c r="E156" s="3">
        <v>26.376999999999999</v>
      </c>
      <c r="F156" s="3">
        <v>2.3433613783796701</v>
      </c>
      <c r="G156" s="3">
        <v>4.6036549679854399</v>
      </c>
      <c r="H156" s="12">
        <v>18327.029866646499</v>
      </c>
      <c r="I156" s="12">
        <v>18329.331694130498</v>
      </c>
      <c r="J156" s="12">
        <v>18331.633521614502</v>
      </c>
      <c r="K156" s="40">
        <v>2375.5971001253602</v>
      </c>
      <c r="L156" s="40">
        <v>2374.3689594820198</v>
      </c>
    </row>
    <row r="157" spans="1:12" x14ac:dyDescent="0.25">
      <c r="A157" s="37" t="s">
        <v>847</v>
      </c>
      <c r="B157" s="36">
        <v>441829.2501</v>
      </c>
      <c r="C157" s="36">
        <v>3036031.5372000001</v>
      </c>
      <c r="D157" s="1">
        <v>10</v>
      </c>
      <c r="E157" s="3">
        <v>35.219000000000001</v>
      </c>
      <c r="F157" s="3">
        <v>3.1740118616948898</v>
      </c>
      <c r="G157" s="3">
        <v>6.1468750925988296</v>
      </c>
      <c r="H157" s="12">
        <v>18400.0411191153</v>
      </c>
      <c r="I157" s="12">
        <v>18403.1145566616</v>
      </c>
      <c r="J157" s="12">
        <v>18406.187994207899</v>
      </c>
      <c r="K157" s="40">
        <v>2375.5817830916399</v>
      </c>
      <c r="L157" s="40">
        <v>2374.3536424483</v>
      </c>
    </row>
    <row r="158" spans="1:12" x14ac:dyDescent="0.25">
      <c r="A158" s="37" t="s">
        <v>848</v>
      </c>
      <c r="B158" s="36">
        <v>441762.1385</v>
      </c>
      <c r="C158" s="36">
        <v>3035978.1406</v>
      </c>
      <c r="D158" s="1">
        <v>10</v>
      </c>
      <c r="E158" s="3">
        <v>19.632000000000001</v>
      </c>
      <c r="F158" s="3">
        <v>1.7301759100079199</v>
      </c>
      <c r="G158" s="3">
        <v>3.42643038751527</v>
      </c>
      <c r="H158" s="12">
        <v>18487.0460577251</v>
      </c>
      <c r="I158" s="12">
        <v>18488.7592729188</v>
      </c>
      <c r="J158" s="12">
        <v>18490.472488112599</v>
      </c>
      <c r="K158" s="40">
        <v>2375.5641550598398</v>
      </c>
      <c r="L158" s="40">
        <v>2374.3360144164999</v>
      </c>
    </row>
    <row r="159" spans="1:12" x14ac:dyDescent="0.25">
      <c r="A159" s="37" t="s">
        <v>849</v>
      </c>
      <c r="B159" s="36">
        <v>441735.64539999998</v>
      </c>
      <c r="C159" s="36">
        <v>3035935.5133000002</v>
      </c>
      <c r="D159" s="1">
        <v>10</v>
      </c>
      <c r="E159" s="3">
        <v>18.256</v>
      </c>
      <c r="F159" s="3">
        <v>1.60675318006601</v>
      </c>
      <c r="G159" s="3">
        <v>3.1862730824408501</v>
      </c>
      <c r="H159" s="12">
        <v>18537.3249110096</v>
      </c>
      <c r="I159" s="12">
        <v>18538.918047550898</v>
      </c>
      <c r="J159" s="12">
        <v>18540.511184092102</v>
      </c>
      <c r="K159" s="40">
        <v>2375.5537785624902</v>
      </c>
      <c r="L159" s="40">
        <v>2374.3256379191498</v>
      </c>
    </row>
    <row r="160" spans="1:12" x14ac:dyDescent="0.25">
      <c r="A160" s="37" t="s">
        <v>850</v>
      </c>
      <c r="B160" s="36">
        <v>441726.08279999997</v>
      </c>
      <c r="C160" s="36">
        <v>3035896.0014999998</v>
      </c>
      <c r="D160" s="1">
        <v>10</v>
      </c>
      <c r="E160" s="3">
        <v>18.228000000000002</v>
      </c>
      <c r="F160" s="3">
        <v>1.6042467357163499</v>
      </c>
      <c r="G160" s="3">
        <v>3.18138616053526</v>
      </c>
      <c r="H160" s="12">
        <v>18577.952682968302</v>
      </c>
      <c r="I160" s="12">
        <v>18579.543376048601</v>
      </c>
      <c r="J160" s="12">
        <v>18581.134069128901</v>
      </c>
      <c r="K160" s="40">
        <v>2375.5453215293401</v>
      </c>
      <c r="L160" s="40">
        <v>2374.3171808860002</v>
      </c>
    </row>
    <row r="161" spans="1:12" x14ac:dyDescent="0.25">
      <c r="A161" s="37" t="s">
        <v>851</v>
      </c>
      <c r="B161" s="36">
        <v>441729.68609999999</v>
      </c>
      <c r="C161" s="36">
        <v>3035851.443</v>
      </c>
      <c r="D161" s="1">
        <v>10</v>
      </c>
      <c r="E161" s="3">
        <v>70.436000000000007</v>
      </c>
      <c r="F161" s="3">
        <v>7.0589299677161197</v>
      </c>
      <c r="G161" s="3">
        <v>12.293401119347299</v>
      </c>
      <c r="H161" s="12">
        <v>18617.174848549301</v>
      </c>
      <c r="I161" s="12">
        <v>18623.321549108899</v>
      </c>
      <c r="J161" s="12">
        <v>18629.4682496686</v>
      </c>
      <c r="K161" s="40">
        <v>2375.5357591421298</v>
      </c>
      <c r="L161" s="40">
        <v>2374.3076184987999</v>
      </c>
    </row>
    <row r="162" spans="1:12" x14ac:dyDescent="0.25">
      <c r="A162" s="37" t="s">
        <v>852</v>
      </c>
      <c r="B162" s="36">
        <v>441707.72529999999</v>
      </c>
      <c r="C162" s="36">
        <v>3035841.5792999999</v>
      </c>
      <c r="D162" s="1">
        <v>10</v>
      </c>
      <c r="E162" s="3">
        <v>37.268000000000001</v>
      </c>
      <c r="F162" s="3">
        <v>3.3719793357048999</v>
      </c>
      <c r="G162" s="3">
        <v>6.5044930563324703</v>
      </c>
      <c r="H162" s="12">
        <v>18643.111586237799</v>
      </c>
      <c r="I162" s="12">
        <v>18646.363832765899</v>
      </c>
      <c r="J162" s="12">
        <v>18649.616079294101</v>
      </c>
      <c r="K162" s="40">
        <v>2375.53017068809</v>
      </c>
      <c r="L162" s="40">
        <v>2374.3020300447502</v>
      </c>
    </row>
    <row r="163" spans="1:12" x14ac:dyDescent="0.25">
      <c r="A163" s="37" t="s">
        <v>853</v>
      </c>
      <c r="B163" s="36">
        <v>441657.61780000001</v>
      </c>
      <c r="C163" s="36">
        <v>3035853.2223</v>
      </c>
      <c r="D163" s="1">
        <v>10</v>
      </c>
      <c r="E163" s="3">
        <v>31.9</v>
      </c>
      <c r="F163" s="3">
        <v>2.8580120412765302</v>
      </c>
      <c r="G163" s="3">
        <v>5.5676003138619103</v>
      </c>
      <c r="H163" s="12">
        <v>18694.828492655299</v>
      </c>
      <c r="I163" s="12">
        <v>18697.6122928123</v>
      </c>
      <c r="J163" s="12">
        <v>18700.3960929692</v>
      </c>
      <c r="K163" s="40">
        <v>2375.5192916373398</v>
      </c>
      <c r="L163" s="40">
        <v>2374.291150994</v>
      </c>
    </row>
    <row r="164" spans="1:12" x14ac:dyDescent="0.25">
      <c r="A164" s="37" t="s">
        <v>854</v>
      </c>
      <c r="B164" s="36">
        <v>441617.05489999999</v>
      </c>
      <c r="C164" s="36">
        <v>3035893.7588</v>
      </c>
      <c r="D164" s="1">
        <v>10</v>
      </c>
      <c r="E164" s="3">
        <v>15.782</v>
      </c>
      <c r="F164" s="3">
        <v>1.38601366166724</v>
      </c>
      <c r="G164" s="3">
        <v>2.75447862549745</v>
      </c>
      <c r="H164" s="12">
        <v>18753.498005994799</v>
      </c>
      <c r="I164" s="12">
        <v>18754.875245307499</v>
      </c>
      <c r="J164" s="12">
        <v>18756.252484620301</v>
      </c>
      <c r="K164" s="40">
        <v>2375.5074051889301</v>
      </c>
      <c r="L164" s="40">
        <v>2374.2792645455902</v>
      </c>
    </row>
    <row r="165" spans="1:12" x14ac:dyDescent="0.25">
      <c r="A165" s="37" t="s">
        <v>855</v>
      </c>
      <c r="B165" s="36">
        <v>441590.40100000001</v>
      </c>
      <c r="C165" s="36">
        <v>3035908.6549</v>
      </c>
      <c r="D165" s="1">
        <v>10</v>
      </c>
      <c r="E165" s="3">
        <v>61.947000000000003</v>
      </c>
      <c r="F165" s="3">
        <v>6.0023129921286102</v>
      </c>
      <c r="G165" s="3">
        <v>10.8117911173293</v>
      </c>
      <c r="H165" s="12">
        <v>18779.398141991202</v>
      </c>
      <c r="I165" s="12">
        <v>18784.804037549799</v>
      </c>
      <c r="J165" s="12">
        <v>18790.209933108501</v>
      </c>
      <c r="K165" s="40">
        <v>2375.5007121753101</v>
      </c>
      <c r="L165" s="40">
        <v>2374.2725715319698</v>
      </c>
    </row>
    <row r="166" spans="1:12" x14ac:dyDescent="0.25">
      <c r="A166" s="37" t="s">
        <v>856</v>
      </c>
      <c r="B166" s="36">
        <v>441546.29489999998</v>
      </c>
      <c r="C166" s="36">
        <v>3035880.2878</v>
      </c>
      <c r="D166" s="1">
        <v>10</v>
      </c>
      <c r="E166" s="3">
        <v>50.61</v>
      </c>
      <c r="F166" s="3">
        <v>4.7280460441693402</v>
      </c>
      <c r="G166" s="3">
        <v>8.8331113443432994</v>
      </c>
      <c r="H166" s="12">
        <v>18831.920401865202</v>
      </c>
      <c r="I166" s="12">
        <v>18836.336957537402</v>
      </c>
      <c r="J166" s="12">
        <v>18840.753513209602</v>
      </c>
      <c r="K166" s="40">
        <v>2375.4893814366101</v>
      </c>
      <c r="L166" s="40">
        <v>2374.2612407932802</v>
      </c>
    </row>
    <row r="167" spans="1:12" x14ac:dyDescent="0.25">
      <c r="A167" s="37" t="s">
        <v>857</v>
      </c>
      <c r="B167" s="36">
        <v>441540.62819999998</v>
      </c>
      <c r="C167" s="36">
        <v>3035831.6313999998</v>
      </c>
      <c r="D167" s="1">
        <v>10</v>
      </c>
      <c r="E167" s="3">
        <v>43.264000000000003</v>
      </c>
      <c r="F167" s="3">
        <v>3.96574207853409</v>
      </c>
      <c r="G167" s="3">
        <v>7.55099247582827</v>
      </c>
      <c r="H167" s="12">
        <v>18881.0449958309</v>
      </c>
      <c r="I167" s="12">
        <v>18884.8204920688</v>
      </c>
      <c r="J167" s="12">
        <v>18888.595988306799</v>
      </c>
      <c r="K167" s="40">
        <v>2375.4788305713901</v>
      </c>
      <c r="L167" s="40">
        <v>2374.2506899280502</v>
      </c>
    </row>
    <row r="168" spans="1:12" x14ac:dyDescent="0.25">
      <c r="A168" s="37" t="s">
        <v>858</v>
      </c>
      <c r="B168" s="36">
        <v>441572.09749999997</v>
      </c>
      <c r="C168" s="36">
        <v>3035789.2903999998</v>
      </c>
      <c r="D168" s="1">
        <v>10</v>
      </c>
      <c r="E168" s="3">
        <v>41.606000000000002</v>
      </c>
      <c r="F168" s="3">
        <v>3.7992428192946099</v>
      </c>
      <c r="G168" s="3">
        <v>7.2616168858476096</v>
      </c>
      <c r="H168" s="12">
        <v>18933.585881131199</v>
      </c>
      <c r="I168" s="12">
        <v>18937.216689574099</v>
      </c>
      <c r="J168" s="12">
        <v>18940.847498016999</v>
      </c>
      <c r="K168" s="40">
        <v>2375.4675791008499</v>
      </c>
      <c r="L168" s="40">
        <v>2374.23943845751</v>
      </c>
    </row>
    <row r="169" spans="1:12" x14ac:dyDescent="0.25">
      <c r="A169" s="37" t="s">
        <v>859</v>
      </c>
      <c r="B169" s="36">
        <v>441569.66590000002</v>
      </c>
      <c r="C169" s="36">
        <v>3035761.4106000001</v>
      </c>
      <c r="D169" s="1">
        <v>10</v>
      </c>
      <c r="E169" s="3">
        <v>43.435000000000002</v>
      </c>
      <c r="F169" s="3">
        <v>3.9830217706852902</v>
      </c>
      <c r="G169" s="3">
        <v>7.5808376060373703</v>
      </c>
      <c r="H169" s="12">
        <v>18961.050871289801</v>
      </c>
      <c r="I169" s="12">
        <v>18964.8412900929</v>
      </c>
      <c r="J169" s="12">
        <v>18968.6317088959</v>
      </c>
      <c r="K169" s="40">
        <v>2375.4612803937798</v>
      </c>
      <c r="L169" s="40">
        <v>2374.2331397504399</v>
      </c>
    </row>
    <row r="170" spans="1:12" x14ac:dyDescent="0.25">
      <c r="A170" s="37" t="s">
        <v>639</v>
      </c>
      <c r="B170" s="36">
        <v>441554.31209999998</v>
      </c>
      <c r="C170" s="36">
        <v>3035747.7881999998</v>
      </c>
      <c r="D170" s="1">
        <v>0</v>
      </c>
      <c r="E170" s="3">
        <v>0</v>
      </c>
      <c r="F170" s="3">
        <v>0</v>
      </c>
      <c r="G170" s="3">
        <v>0</v>
      </c>
      <c r="H170" s="12">
        <v>18985.174499075201</v>
      </c>
      <c r="I170" s="12">
        <v>18985.174499075201</v>
      </c>
      <c r="J170" s="12">
        <v>18985.174499075201</v>
      </c>
      <c r="K170" s="40">
        <v>2375.4068185374699</v>
      </c>
      <c r="L170" s="40">
        <v>2374.17867789413</v>
      </c>
    </row>
    <row r="171" spans="1:12" x14ac:dyDescent="0.25">
      <c r="A171" s="37" t="s">
        <v>860</v>
      </c>
      <c r="B171" s="36">
        <v>441536.11080000002</v>
      </c>
      <c r="C171" s="36">
        <v>3035731.6395</v>
      </c>
      <c r="D171" s="1">
        <v>10</v>
      </c>
      <c r="E171" s="3">
        <v>47.447000000000003</v>
      </c>
      <c r="F171" s="3">
        <v>4.3945858426931697</v>
      </c>
      <c r="G171" s="3">
        <v>8.2810637019374997</v>
      </c>
      <c r="H171" s="12">
        <v>19005.112357280999</v>
      </c>
      <c r="I171" s="12">
        <v>19009.252889131902</v>
      </c>
      <c r="J171" s="12">
        <v>19013.393420982899</v>
      </c>
      <c r="K171" s="40">
        <v>2375.4016141567899</v>
      </c>
      <c r="L171" s="40">
        <v>2374.4026141567902</v>
      </c>
    </row>
    <row r="172" spans="1:12" x14ac:dyDescent="0.25">
      <c r="A172" s="37" t="s">
        <v>861</v>
      </c>
      <c r="B172" s="36">
        <v>441534.86459999997</v>
      </c>
      <c r="C172" s="36">
        <v>3035658.2648999998</v>
      </c>
      <c r="D172" s="1">
        <v>10</v>
      </c>
      <c r="E172" s="3">
        <v>28.574000000000002</v>
      </c>
      <c r="F172" s="3">
        <v>2.5465518315529301</v>
      </c>
      <c r="G172" s="3">
        <v>4.9871038046485996</v>
      </c>
      <c r="H172" s="12">
        <v>19079.8374653254</v>
      </c>
      <c r="I172" s="12">
        <v>19082.331017227702</v>
      </c>
      <c r="J172" s="12">
        <v>19084.824569130102</v>
      </c>
      <c r="K172" s="40">
        <v>2375.38637574015</v>
      </c>
      <c r="L172" s="40">
        <v>2374.3873757401502</v>
      </c>
    </row>
    <row r="173" spans="1:12" x14ac:dyDescent="0.25">
      <c r="A173" s="37" t="s">
        <v>862</v>
      </c>
      <c r="B173" s="36">
        <v>441605.06459999998</v>
      </c>
      <c r="C173" s="36">
        <v>3035523.9914000002</v>
      </c>
      <c r="D173" s="1">
        <v>10</v>
      </c>
      <c r="E173" s="3">
        <v>36.005000000000003</v>
      </c>
      <c r="F173" s="3">
        <v>3.2496793663094898</v>
      </c>
      <c r="G173" s="3">
        <v>6.2840579718055798</v>
      </c>
      <c r="H173" s="12">
        <v>19230.545375925201</v>
      </c>
      <c r="I173" s="12">
        <v>19233.687404911099</v>
      </c>
      <c r="J173" s="12">
        <v>19236.829433897001</v>
      </c>
      <c r="K173" s="40">
        <v>2375.3555754085201</v>
      </c>
      <c r="L173" s="40">
        <v>2374.3565754085198</v>
      </c>
    </row>
    <row r="174" spans="1:12" x14ac:dyDescent="0.25">
      <c r="A174" s="37" t="s">
        <v>640</v>
      </c>
      <c r="B174" s="36">
        <v>441603.48269999999</v>
      </c>
      <c r="C174" s="36">
        <v>3035513.2832999998</v>
      </c>
      <c r="D174" s="1">
        <v>0</v>
      </c>
      <c r="E174" s="3">
        <v>0</v>
      </c>
      <c r="F174" s="3">
        <v>0</v>
      </c>
      <c r="G174" s="3">
        <v>0</v>
      </c>
      <c r="H174" s="12">
        <v>19244.4040703625</v>
      </c>
      <c r="I174" s="12">
        <v>19244.4040703625</v>
      </c>
      <c r="J174" s="12">
        <v>19244.4040703625</v>
      </c>
      <c r="K174" s="40">
        <v>2375.35528044278</v>
      </c>
      <c r="L174" s="40">
        <v>2374.3562804427802</v>
      </c>
    </row>
    <row r="175" spans="1:12" x14ac:dyDescent="0.25">
      <c r="A175" s="37" t="s">
        <v>641</v>
      </c>
      <c r="B175" s="36">
        <v>441568.00180000003</v>
      </c>
      <c r="C175" s="36">
        <v>3035273.1217</v>
      </c>
      <c r="D175" s="1">
        <v>0</v>
      </c>
      <c r="E175" s="3">
        <v>0</v>
      </c>
      <c r="F175" s="3">
        <v>0</v>
      </c>
      <c r="G175" s="3">
        <v>0</v>
      </c>
      <c r="H175" s="12">
        <v>19487.172454587599</v>
      </c>
      <c r="I175" s="12">
        <v>19487.172454587599</v>
      </c>
      <c r="J175" s="12">
        <v>19487.172454587599</v>
      </c>
      <c r="K175" s="40">
        <v>2375.15266349581</v>
      </c>
      <c r="L175" s="40">
        <v>2374.1536634958102</v>
      </c>
    </row>
    <row r="176" spans="1:12" x14ac:dyDescent="0.25">
      <c r="A176" s="41" t="s">
        <v>863</v>
      </c>
      <c r="B176" s="36">
        <v>441565.65279999998</v>
      </c>
      <c r="C176" s="36">
        <v>3035257.2218999998</v>
      </c>
      <c r="D176" s="1">
        <v>10</v>
      </c>
      <c r="E176" s="3">
        <v>18.96</v>
      </c>
      <c r="F176" s="3">
        <v>1.6698378909383</v>
      </c>
      <c r="G176" s="3">
        <v>3.3091442617812499</v>
      </c>
      <c r="H176" s="12">
        <v>19501.574998009</v>
      </c>
      <c r="I176" s="12">
        <v>19503.229570139902</v>
      </c>
      <c r="J176" s="12">
        <v>19504.884142270799</v>
      </c>
      <c r="K176" s="40">
        <v>2375.1492967456502</v>
      </c>
      <c r="L176" s="40">
        <v>2374.1502967456499</v>
      </c>
    </row>
    <row r="177" spans="1:12" x14ac:dyDescent="0.25">
      <c r="A177" s="37" t="s">
        <v>642</v>
      </c>
      <c r="B177" s="36">
        <v>441512.26360000001</v>
      </c>
      <c r="C177" s="36">
        <v>3035154.0643000002</v>
      </c>
      <c r="D177" s="1">
        <v>0</v>
      </c>
      <c r="E177" s="3">
        <v>0</v>
      </c>
      <c r="F177" s="3">
        <v>0</v>
      </c>
      <c r="G177" s="3">
        <v>0</v>
      </c>
      <c r="H177" s="12">
        <v>19619.3689302641</v>
      </c>
      <c r="I177" s="12">
        <v>19619.3689302641</v>
      </c>
      <c r="J177" s="12">
        <v>19619.3689302641</v>
      </c>
      <c r="K177" s="40">
        <v>2375.1491414185898</v>
      </c>
      <c r="L177" s="40">
        <v>2374.15014141859</v>
      </c>
    </row>
    <row r="178" spans="1:12" x14ac:dyDescent="0.25">
      <c r="A178" s="37" t="s">
        <v>643</v>
      </c>
      <c r="B178" s="36">
        <v>441336.3713</v>
      </c>
      <c r="C178" s="36">
        <v>3034814.2085000002</v>
      </c>
      <c r="D178" s="1">
        <v>0</v>
      </c>
      <c r="E178" s="3">
        <v>0</v>
      </c>
      <c r="F178" s="3">
        <v>0</v>
      </c>
      <c r="G178" s="3">
        <v>0</v>
      </c>
      <c r="H178" s="12">
        <v>20002.0438131515</v>
      </c>
      <c r="I178" s="12">
        <v>20002.0438131515</v>
      </c>
      <c r="J178" s="12">
        <v>20002.0438131515</v>
      </c>
      <c r="K178" s="40">
        <v>2374.8848113379299</v>
      </c>
      <c r="L178" s="40">
        <v>2373.8858113379301</v>
      </c>
    </row>
    <row r="179" spans="1:12" x14ac:dyDescent="0.25">
      <c r="A179" s="37" t="s">
        <v>644</v>
      </c>
      <c r="B179" s="36">
        <v>441333.15340000001</v>
      </c>
      <c r="C179" s="36">
        <v>3034807.9909999999</v>
      </c>
      <c r="D179" s="1">
        <v>0</v>
      </c>
      <c r="E179" s="3">
        <v>0</v>
      </c>
      <c r="F179" s="3">
        <v>0</v>
      </c>
      <c r="G179" s="3">
        <v>0</v>
      </c>
      <c r="H179" s="12">
        <v>20009.0446835734</v>
      </c>
      <c r="I179" s="12">
        <v>20009.0446835734</v>
      </c>
      <c r="J179" s="12">
        <v>20009.0446835734</v>
      </c>
      <c r="K179" s="40">
        <v>2374.8595094600901</v>
      </c>
      <c r="L179" s="40">
        <v>2374.1040677302099</v>
      </c>
    </row>
    <row r="180" spans="1:12" x14ac:dyDescent="0.25">
      <c r="A180" s="37" t="s">
        <v>864</v>
      </c>
      <c r="B180" s="36">
        <v>441305.21990000003</v>
      </c>
      <c r="C180" s="36">
        <v>3034754.0183999999</v>
      </c>
      <c r="D180" s="1">
        <v>10</v>
      </c>
      <c r="E180" s="3">
        <v>58.817</v>
      </c>
      <c r="F180" s="3">
        <v>5.63666512951814</v>
      </c>
      <c r="G180" s="3">
        <v>10.265503061455</v>
      </c>
      <c r="H180" s="12">
        <v>20064.180725912</v>
      </c>
      <c r="I180" s="12">
        <v>20069.313477442702</v>
      </c>
      <c r="J180" s="12">
        <v>20074.4462289734</v>
      </c>
      <c r="K180" s="40">
        <v>2374.82883014551</v>
      </c>
      <c r="L180" s="40">
        <v>2374.0733884156298</v>
      </c>
    </row>
    <row r="181" spans="1:12" x14ac:dyDescent="0.25">
      <c r="A181" s="37" t="s">
        <v>645</v>
      </c>
      <c r="B181" s="36">
        <v>441156.25400000002</v>
      </c>
      <c r="C181" s="36">
        <v>3034744.0732999998</v>
      </c>
      <c r="D181" s="1">
        <v>0</v>
      </c>
      <c r="E181" s="3">
        <v>0</v>
      </c>
      <c r="F181" s="3">
        <v>0</v>
      </c>
      <c r="G181" s="3">
        <v>0</v>
      </c>
      <c r="H181" s="12">
        <v>20218.107066759501</v>
      </c>
      <c r="I181" s="12">
        <v>20218.107066759501</v>
      </c>
      <c r="J181" s="12">
        <v>20218.107066759501</v>
      </c>
      <c r="K181" s="40">
        <v>2374.7538884332098</v>
      </c>
      <c r="L181" s="40">
        <v>2373.99844670332</v>
      </c>
    </row>
    <row r="182" spans="1:12" x14ac:dyDescent="0.25">
      <c r="A182" s="37" t="s">
        <v>646</v>
      </c>
      <c r="B182" s="36">
        <v>441149.26870000002</v>
      </c>
      <c r="C182" s="36">
        <v>3034743.6069999998</v>
      </c>
      <c r="D182" s="1">
        <v>0</v>
      </c>
      <c r="E182" s="3">
        <v>0</v>
      </c>
      <c r="F182" s="3">
        <v>0</v>
      </c>
      <c r="G182" s="3">
        <v>0</v>
      </c>
      <c r="H182" s="12">
        <v>20225.107913264001</v>
      </c>
      <c r="I182" s="12">
        <v>20225.107913264001</v>
      </c>
      <c r="J182" s="12">
        <v>20225.107913264001</v>
      </c>
      <c r="K182" s="40">
        <v>2374.7666719308199</v>
      </c>
      <c r="L182" s="40">
        <v>2373.7676719308201</v>
      </c>
    </row>
    <row r="183" spans="1:12" x14ac:dyDescent="0.25">
      <c r="A183" s="37" t="s">
        <v>865</v>
      </c>
      <c r="B183" s="36">
        <v>441101.16970000003</v>
      </c>
      <c r="C183" s="36">
        <v>3034740.3958999999</v>
      </c>
      <c r="D183" s="1">
        <v>4.2</v>
      </c>
      <c r="E183" s="3">
        <v>26.972000000000001</v>
      </c>
      <c r="F183" s="3">
        <v>1.0072454471727299</v>
      </c>
      <c r="G183" s="3">
        <v>1.9771508645612199</v>
      </c>
      <c r="H183" s="12">
        <v>20272.3067355284</v>
      </c>
      <c r="I183" s="12">
        <v>20273.295310960701</v>
      </c>
      <c r="J183" s="12">
        <v>20274.283886392899</v>
      </c>
      <c r="K183" s="40">
        <v>2374.7666719308199</v>
      </c>
      <c r="L183" s="40">
        <v>2373.7676719308201</v>
      </c>
    </row>
    <row r="184" spans="1:12" x14ac:dyDescent="0.25">
      <c r="A184" s="1" t="s">
        <v>866</v>
      </c>
      <c r="B184" s="36">
        <v>440984.22149999999</v>
      </c>
      <c r="C184" s="36">
        <v>3034790.4053000002</v>
      </c>
      <c r="D184" s="1">
        <v>4.2</v>
      </c>
      <c r="E184" s="3">
        <v>43.531999999999996</v>
      </c>
      <c r="F184" s="3">
        <v>1.6769897886909799</v>
      </c>
      <c r="G184" s="3">
        <v>3.1910622659083199</v>
      </c>
      <c r="H184" s="12">
        <v>20398.791716835902</v>
      </c>
      <c r="I184" s="12">
        <v>20400.3872479688</v>
      </c>
      <c r="J184" s="12">
        <v>20401.9827791018</v>
      </c>
      <c r="K184" s="40">
        <v>2374.7666719308199</v>
      </c>
      <c r="L184" s="40">
        <v>2373.7676719308201</v>
      </c>
    </row>
    <row r="185" spans="1:12" x14ac:dyDescent="0.25">
      <c r="A185" s="1" t="s">
        <v>647</v>
      </c>
      <c r="B185" s="36">
        <v>440931.9142</v>
      </c>
      <c r="C185" s="36">
        <v>3034770.9736000001</v>
      </c>
      <c r="D185" s="1">
        <v>0</v>
      </c>
      <c r="E185" s="3">
        <v>0</v>
      </c>
      <c r="F185" s="3">
        <v>0</v>
      </c>
      <c r="G185" s="3">
        <v>0</v>
      </c>
      <c r="H185" s="12">
        <v>20456.1058305154</v>
      </c>
      <c r="I185" s="12">
        <v>20456.1058305154</v>
      </c>
      <c r="J185" s="12">
        <v>20456.1058305154</v>
      </c>
      <c r="K185" s="40">
        <v>2374.5498754949599</v>
      </c>
      <c r="L185" s="40">
        <v>2373.5508754949601</v>
      </c>
    </row>
    <row r="186" spans="1:12" x14ac:dyDescent="0.25">
      <c r="A186" s="1" t="s">
        <v>867</v>
      </c>
      <c r="B186" s="36">
        <v>440925.67139999999</v>
      </c>
      <c r="C186" s="36">
        <v>3034768.6543999999</v>
      </c>
      <c r="D186" s="1">
        <v>10</v>
      </c>
      <c r="E186" s="3">
        <v>32.463999999999999</v>
      </c>
      <c r="F186" s="3">
        <v>2.9113260156638101</v>
      </c>
      <c r="G186" s="3">
        <v>5.6660368836743897</v>
      </c>
      <c r="H186" s="12">
        <v>20459.854177200501</v>
      </c>
      <c r="I186" s="12">
        <v>20462.6871956424</v>
      </c>
      <c r="J186" s="12">
        <v>20465.520214084201</v>
      </c>
      <c r="K186" s="40">
        <v>2374.5482932653199</v>
      </c>
      <c r="L186" s="40">
        <v>2373.5492932653201</v>
      </c>
    </row>
    <row r="187" spans="1:12" x14ac:dyDescent="0.25">
      <c r="A187" s="1" t="s">
        <v>648</v>
      </c>
      <c r="B187" s="36">
        <v>440915.00760000001</v>
      </c>
      <c r="C187" s="36">
        <v>3034754.5827000001</v>
      </c>
      <c r="D187" s="1">
        <v>0</v>
      </c>
      <c r="E187" s="3">
        <v>1E-3</v>
      </c>
      <c r="F187" s="3">
        <v>0</v>
      </c>
      <c r="G187" s="3">
        <v>0</v>
      </c>
      <c r="H187" s="12">
        <v>20480.264747473298</v>
      </c>
      <c r="I187" s="12">
        <v>20480.264747473298</v>
      </c>
      <c r="J187" s="12">
        <v>20480.264747473298</v>
      </c>
      <c r="K187" s="40">
        <v>2374.4945117983402</v>
      </c>
      <c r="L187" s="40">
        <v>2373.49551179834</v>
      </c>
    </row>
    <row r="188" spans="1:12" x14ac:dyDescent="0.25">
      <c r="A188" s="1" t="s">
        <v>649</v>
      </c>
      <c r="B188" s="36">
        <v>440907.25760000001</v>
      </c>
      <c r="C188" s="36">
        <v>3034744.3557000002</v>
      </c>
      <c r="D188" s="1">
        <v>0</v>
      </c>
      <c r="E188" s="3">
        <v>1E-3</v>
      </c>
      <c r="F188" s="3">
        <v>0</v>
      </c>
      <c r="G188" s="3">
        <v>0</v>
      </c>
      <c r="H188" s="12">
        <v>20493.0965060823</v>
      </c>
      <c r="I188" s="12">
        <v>20493.0965060823</v>
      </c>
      <c r="J188" s="12">
        <v>20493.0965060823</v>
      </c>
      <c r="K188" s="40">
        <v>2374.49140933938</v>
      </c>
      <c r="L188" s="40">
        <v>2374.16614674221</v>
      </c>
    </row>
    <row r="189" spans="1:12" x14ac:dyDescent="0.25">
      <c r="A189" s="1" t="s">
        <v>650</v>
      </c>
      <c r="B189" s="36">
        <v>440736.21899999998</v>
      </c>
      <c r="C189" s="36">
        <v>3034518.6553000002</v>
      </c>
      <c r="D189" s="1">
        <v>0</v>
      </c>
      <c r="E189" s="3">
        <v>0</v>
      </c>
      <c r="F189" s="3">
        <v>0</v>
      </c>
      <c r="G189" s="3">
        <v>0</v>
      </c>
      <c r="H189" s="12">
        <v>20776.283499516201</v>
      </c>
      <c r="I189" s="12">
        <v>20776.283499516201</v>
      </c>
      <c r="J189" s="12">
        <v>20776.283499516201</v>
      </c>
      <c r="K189" s="40">
        <v>2374.3498158426601</v>
      </c>
      <c r="L189" s="40">
        <v>2374.0245532454901</v>
      </c>
    </row>
    <row r="190" spans="1:12" x14ac:dyDescent="0.25">
      <c r="A190" s="1" t="s">
        <v>651</v>
      </c>
      <c r="B190" s="36">
        <v>440725.72480000003</v>
      </c>
      <c r="C190" s="36">
        <v>3034504.8073999998</v>
      </c>
      <c r="D190" s="1">
        <v>0</v>
      </c>
      <c r="E190" s="3">
        <v>0</v>
      </c>
      <c r="F190" s="3">
        <v>0</v>
      </c>
      <c r="G190" s="3">
        <v>0</v>
      </c>
      <c r="H190" s="12">
        <v>20793.658555431499</v>
      </c>
      <c r="I190" s="12">
        <v>20793.658555431499</v>
      </c>
      <c r="J190" s="12">
        <v>20793.658555431499</v>
      </c>
      <c r="K190" s="40">
        <v>2374.3553820501602</v>
      </c>
      <c r="L190" s="40">
        <v>2373.8003820501599</v>
      </c>
    </row>
    <row r="191" spans="1:12" x14ac:dyDescent="0.25">
      <c r="A191" s="1" t="s">
        <v>652</v>
      </c>
      <c r="B191" s="36">
        <v>440317.96350000001</v>
      </c>
      <c r="C191" s="36">
        <v>3033966.7305999999</v>
      </c>
      <c r="D191" s="1">
        <v>0</v>
      </c>
      <c r="E191" s="3">
        <v>0</v>
      </c>
      <c r="F191" s="3">
        <v>0</v>
      </c>
      <c r="G191" s="3">
        <v>0</v>
      </c>
      <c r="H191" s="12">
        <v>21468.785151319898</v>
      </c>
      <c r="I191" s="12">
        <v>21468.785151319898</v>
      </c>
      <c r="J191" s="12">
        <v>21468.785151319898</v>
      </c>
      <c r="K191" s="40">
        <v>2373.50949898725</v>
      </c>
      <c r="L191" s="40">
        <v>2372.9544989872502</v>
      </c>
    </row>
    <row r="192" spans="1:12" x14ac:dyDescent="0.25">
      <c r="A192" s="1" t="s">
        <v>868</v>
      </c>
      <c r="B192" s="36">
        <v>440307.69589999999</v>
      </c>
      <c r="C192" s="36">
        <v>3033953.1814999999</v>
      </c>
      <c r="D192" s="1">
        <v>0</v>
      </c>
      <c r="E192" s="3">
        <v>0</v>
      </c>
      <c r="F192" s="3">
        <v>0</v>
      </c>
      <c r="G192" s="3">
        <v>0</v>
      </c>
      <c r="H192" s="12">
        <v>21485.785201924798</v>
      </c>
      <c r="I192" s="12">
        <v>21485.785201924798</v>
      </c>
      <c r="J192" s="12">
        <v>21485.785201924798</v>
      </c>
      <c r="K192" s="40">
        <v>2373.4958304127599</v>
      </c>
      <c r="L192" s="40">
        <v>2373.1705678155899</v>
      </c>
    </row>
    <row r="193" spans="1:12" x14ac:dyDescent="0.25">
      <c r="A193" s="1" t="s">
        <v>869</v>
      </c>
      <c r="B193" s="36">
        <v>440223.21149999998</v>
      </c>
      <c r="C193" s="36">
        <v>3033841.6967000002</v>
      </c>
      <c r="D193" s="1">
        <v>0</v>
      </c>
      <c r="E193" s="3">
        <v>0</v>
      </c>
      <c r="F193" s="3">
        <v>0</v>
      </c>
      <c r="G193" s="3">
        <v>0</v>
      </c>
      <c r="H193" s="12">
        <v>21625.6654166599</v>
      </c>
      <c r="I193" s="12">
        <v>21625.6654166599</v>
      </c>
      <c r="J193" s="12">
        <v>21625.6654166599</v>
      </c>
      <c r="K193" s="40">
        <v>2373.4258903053901</v>
      </c>
      <c r="L193" s="40">
        <v>2373.1006277082201</v>
      </c>
    </row>
    <row r="194" spans="1:12" x14ac:dyDescent="0.25">
      <c r="A194" s="1" t="s">
        <v>870</v>
      </c>
      <c r="B194" s="36">
        <v>440168.85359999997</v>
      </c>
      <c r="C194" s="36">
        <v>3033769.9668999999</v>
      </c>
      <c r="D194" s="1">
        <v>0</v>
      </c>
      <c r="E194" s="3">
        <v>0</v>
      </c>
      <c r="F194" s="3">
        <v>0</v>
      </c>
      <c r="G194" s="3">
        <v>0</v>
      </c>
      <c r="H194" s="12">
        <v>21715.665113884399</v>
      </c>
      <c r="I194" s="12">
        <v>21715.665113884399</v>
      </c>
      <c r="J194" s="12">
        <v>21715.665113884399</v>
      </c>
      <c r="K194" s="40">
        <v>2373.4088903659499</v>
      </c>
      <c r="L194" s="40">
        <v>2373.0836277687799</v>
      </c>
    </row>
    <row r="195" spans="1:12" x14ac:dyDescent="0.25">
      <c r="A195" s="1" t="s">
        <v>871</v>
      </c>
      <c r="B195" s="36">
        <v>440158.63870000001</v>
      </c>
      <c r="C195" s="36">
        <v>3033756.4874</v>
      </c>
      <c r="D195" s="1">
        <v>10</v>
      </c>
      <c r="E195" s="3">
        <v>3.4140000000000001</v>
      </c>
      <c r="F195" s="3">
        <v>0.29801588240955301</v>
      </c>
      <c r="G195" s="3">
        <v>0.595855406630864</v>
      </c>
      <c r="H195" s="12">
        <v>21732.2798476973</v>
      </c>
      <c r="I195" s="12">
        <v>21732.577775400601</v>
      </c>
      <c r="J195" s="12">
        <v>21732.875703103899</v>
      </c>
      <c r="K195" s="40">
        <v>2373.4004024957799</v>
      </c>
      <c r="L195" s="40">
        <v>2373.0751398985999</v>
      </c>
    </row>
    <row r="196" spans="1:12" x14ac:dyDescent="0.25">
      <c r="A196" s="1" t="s">
        <v>872</v>
      </c>
      <c r="B196" s="36">
        <v>439975.3824</v>
      </c>
      <c r="C196" s="36">
        <v>3033542.4489000002</v>
      </c>
      <c r="D196" s="1">
        <v>0</v>
      </c>
      <c r="E196" s="3">
        <v>0</v>
      </c>
      <c r="F196" s="3">
        <v>0</v>
      </c>
      <c r="G196" s="3">
        <v>0</v>
      </c>
      <c r="H196" s="12">
        <v>22014.349493781101</v>
      </c>
      <c r="I196" s="12">
        <v>22014.349493781101</v>
      </c>
      <c r="J196" s="12">
        <v>22014.349493781101</v>
      </c>
      <c r="K196" s="40">
        <v>2373.25948509717</v>
      </c>
      <c r="L196" s="40">
        <v>2372.9342225</v>
      </c>
    </row>
  </sheetData>
  <phoneticPr fontId="3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3:AQ82"/>
  <sheetViews>
    <sheetView topLeftCell="W1" workbookViewId="0">
      <selection activeCell="Z5" sqref="Z5"/>
    </sheetView>
  </sheetViews>
  <sheetFormatPr defaultColWidth="8.88671875" defaultRowHeight="14.4" x14ac:dyDescent="0.25"/>
  <cols>
    <col min="1" max="1" width="7.5546875" style="1" customWidth="1"/>
    <col min="2" max="2" width="9.5546875" style="1" customWidth="1"/>
    <col min="3" max="3" width="19.33203125" style="1" customWidth="1"/>
    <col min="4" max="7" width="9.5546875" style="1" customWidth="1"/>
    <col min="8" max="8" width="4.5546875" style="1" customWidth="1"/>
    <col min="9" max="9" width="8.88671875" style="1" hidden="1" customWidth="1"/>
    <col min="10" max="11" width="15" style="12" hidden="1" customWidth="1"/>
    <col min="12" max="12" width="6.5546875" style="1" hidden="1" customWidth="1"/>
    <col min="13" max="14" width="8.88671875" style="1" hidden="1" customWidth="1"/>
    <col min="15" max="16" width="15" style="12" hidden="1" customWidth="1"/>
    <col min="17" max="19" width="8.88671875" style="1" hidden="1" customWidth="1"/>
    <col min="20" max="21" width="15" style="12" hidden="1" customWidth="1"/>
    <col min="22" max="22" width="8.88671875" style="1" hidden="1" customWidth="1"/>
    <col min="23" max="23" width="8.88671875" style="1" customWidth="1"/>
    <col min="24" max="24" width="20.44140625" style="1" customWidth="1"/>
    <col min="25" max="25" width="10.5546875" style="1" customWidth="1"/>
    <col min="26" max="26" width="14.109375" style="1" customWidth="1"/>
    <col min="27" max="27" width="15.33203125" style="1" customWidth="1"/>
    <col min="28" max="28" width="4.88671875" style="1" customWidth="1"/>
    <col min="29" max="29" width="8.88671875" style="1" customWidth="1"/>
    <col min="30" max="31" width="15" style="12" customWidth="1"/>
    <col min="32" max="32" width="8.5546875" style="1" customWidth="1"/>
    <col min="33" max="34" width="8.88671875" style="1"/>
    <col min="35" max="36" width="15" style="12" customWidth="1"/>
    <col min="37" max="39" width="8.88671875" style="1"/>
    <col min="40" max="41" width="15" style="12" customWidth="1"/>
    <col min="42" max="16384" width="8.88671875" style="1"/>
  </cols>
  <sheetData>
    <row r="3" spans="3:42" x14ac:dyDescent="0.25">
      <c r="I3" s="14" t="s">
        <v>2</v>
      </c>
      <c r="J3" s="403" t="s">
        <v>873</v>
      </c>
      <c r="K3" s="367"/>
      <c r="L3" s="367"/>
      <c r="M3" s="13"/>
      <c r="N3" s="14" t="s">
        <v>2</v>
      </c>
      <c r="O3" s="404" t="s">
        <v>874</v>
      </c>
      <c r="P3" s="367"/>
      <c r="Q3" s="367"/>
      <c r="R3" s="13"/>
      <c r="S3" s="14" t="s">
        <v>2</v>
      </c>
      <c r="T3" s="404" t="s">
        <v>875</v>
      </c>
      <c r="U3" s="367"/>
      <c r="V3" s="367"/>
      <c r="W3" s="17"/>
      <c r="AC3" s="29" t="s">
        <v>2</v>
      </c>
      <c r="AD3" s="401" t="s">
        <v>873</v>
      </c>
      <c r="AE3" s="402"/>
      <c r="AF3" s="402"/>
      <c r="AG3" s="29"/>
      <c r="AH3" s="29" t="s">
        <v>2</v>
      </c>
      <c r="AI3" s="401" t="s">
        <v>874</v>
      </c>
      <c r="AJ3" s="402"/>
      <c r="AK3" s="402"/>
      <c r="AL3" s="29"/>
      <c r="AM3" s="29" t="s">
        <v>2</v>
      </c>
      <c r="AN3" s="401" t="s">
        <v>875</v>
      </c>
      <c r="AO3" s="402"/>
      <c r="AP3" s="402"/>
    </row>
    <row r="4" spans="3:42" x14ac:dyDescent="0.25">
      <c r="C4" s="13" t="s">
        <v>1</v>
      </c>
      <c r="D4" s="14" t="s">
        <v>2</v>
      </c>
      <c r="E4" s="15"/>
      <c r="F4" s="15"/>
      <c r="G4" s="15"/>
      <c r="H4" s="15"/>
      <c r="I4" s="14">
        <v>1</v>
      </c>
      <c r="J4" s="26" t="s">
        <v>876</v>
      </c>
      <c r="K4" s="26" t="s">
        <v>877</v>
      </c>
      <c r="L4" s="14" t="s">
        <v>705</v>
      </c>
      <c r="M4" s="13"/>
      <c r="N4" s="14">
        <v>1</v>
      </c>
      <c r="O4" s="26" t="s">
        <v>876</v>
      </c>
      <c r="P4" s="26" t="s">
        <v>877</v>
      </c>
      <c r="Q4" s="14" t="s">
        <v>705</v>
      </c>
      <c r="R4" s="13"/>
      <c r="S4" s="14">
        <v>1</v>
      </c>
      <c r="T4" s="26" t="s">
        <v>876</v>
      </c>
      <c r="U4" s="26" t="s">
        <v>877</v>
      </c>
      <c r="V4" s="14" t="s">
        <v>705</v>
      </c>
      <c r="W4" s="15"/>
      <c r="X4" s="28" t="s">
        <v>878</v>
      </c>
      <c r="Y4" s="28" t="s">
        <v>879</v>
      </c>
      <c r="Z4" s="28" t="s">
        <v>880</v>
      </c>
      <c r="AA4" s="28" t="s">
        <v>881</v>
      </c>
      <c r="AC4" s="29" t="s">
        <v>882</v>
      </c>
      <c r="AD4" s="30" t="s">
        <v>876</v>
      </c>
      <c r="AE4" s="30" t="s">
        <v>877</v>
      </c>
      <c r="AF4" s="29" t="s">
        <v>705</v>
      </c>
      <c r="AG4" s="29"/>
      <c r="AH4" s="29" t="s">
        <v>882</v>
      </c>
      <c r="AI4" s="30" t="s">
        <v>876</v>
      </c>
      <c r="AJ4" s="30" t="s">
        <v>877</v>
      </c>
      <c r="AK4" s="29" t="s">
        <v>705</v>
      </c>
      <c r="AL4" s="29"/>
      <c r="AM4" s="29" t="s">
        <v>882</v>
      </c>
      <c r="AN4" s="30" t="s">
        <v>876</v>
      </c>
      <c r="AO4" s="30" t="s">
        <v>877</v>
      </c>
      <c r="AP4" s="29" t="s">
        <v>705</v>
      </c>
    </row>
    <row r="5" spans="3:42" x14ac:dyDescent="0.25">
      <c r="C5" s="16" t="s">
        <v>883</v>
      </c>
      <c r="D5" s="13">
        <v>1</v>
      </c>
      <c r="E5" s="17"/>
      <c r="F5" s="18">
        <v>2.5</v>
      </c>
      <c r="G5" s="19"/>
      <c r="H5" s="19"/>
      <c r="I5" s="13"/>
      <c r="J5" s="27">
        <v>100</v>
      </c>
      <c r="K5" s="27">
        <v>140</v>
      </c>
      <c r="L5" s="13">
        <f>K5-J5</f>
        <v>40</v>
      </c>
      <c r="M5" s="13"/>
      <c r="N5" s="13"/>
      <c r="O5" s="27">
        <v>80</v>
      </c>
      <c r="P5" s="27">
        <v>100</v>
      </c>
      <c r="Q5" s="13">
        <f>P5-O5</f>
        <v>20</v>
      </c>
      <c r="R5" s="13"/>
      <c r="S5" s="13"/>
      <c r="T5" s="27">
        <v>0</v>
      </c>
      <c r="U5" s="27">
        <v>80</v>
      </c>
      <c r="V5" s="13">
        <f>U5-T5</f>
        <v>80</v>
      </c>
      <c r="W5" s="17"/>
      <c r="X5" s="24">
        <f>(3.5927*2+1.5724)*0.4*AF5</f>
        <v>174.21015759999997</v>
      </c>
      <c r="Y5" s="24">
        <f>(3.5927*2+1.5724)*(AF5+AK5+AK6+AP5+AG78)</f>
        <v>2992.7154159999423</v>
      </c>
      <c r="Z5" s="24">
        <f>(3.5927*2+1.5724)*(AK5+AK6+AP5)</f>
        <v>963.35799999999995</v>
      </c>
      <c r="AA5" s="24">
        <f>0.85*((AF5+AK5+AK6+AP5)/5+1)</f>
        <v>28.004099999999998</v>
      </c>
      <c r="AC5" s="29"/>
      <c r="AD5" s="31">
        <v>100</v>
      </c>
      <c r="AE5" s="31">
        <v>149.72999999999999</v>
      </c>
      <c r="AF5" s="32">
        <f>AE5-AD5</f>
        <v>49.72999999999999</v>
      </c>
      <c r="AG5" s="29"/>
      <c r="AH5" s="29"/>
      <c r="AI5" s="30">
        <v>80</v>
      </c>
      <c r="AJ5" s="30">
        <v>100</v>
      </c>
      <c r="AK5" s="29">
        <f>AJ5-AI5</f>
        <v>20</v>
      </c>
      <c r="AL5" s="29"/>
      <c r="AM5" s="29"/>
      <c r="AN5" s="30">
        <v>0</v>
      </c>
      <c r="AO5" s="30">
        <v>80</v>
      </c>
      <c r="AP5" s="29">
        <f>AO5-AN5</f>
        <v>80</v>
      </c>
    </row>
    <row r="6" spans="3:42" x14ac:dyDescent="0.25">
      <c r="C6" s="16" t="s">
        <v>884</v>
      </c>
      <c r="D6" s="13">
        <v>2</v>
      </c>
      <c r="E6" s="17"/>
      <c r="F6" s="20">
        <v>2.4</v>
      </c>
      <c r="G6" s="21"/>
      <c r="H6" s="21"/>
      <c r="I6" s="13"/>
      <c r="J6" s="27"/>
      <c r="K6" s="27"/>
      <c r="L6" s="13"/>
      <c r="M6" s="13"/>
      <c r="N6" s="13"/>
      <c r="O6" s="27">
        <v>140</v>
      </c>
      <c r="P6" s="27">
        <v>150</v>
      </c>
      <c r="Q6" s="13">
        <f>P6-O6</f>
        <v>10</v>
      </c>
      <c r="R6" s="13"/>
      <c r="S6" s="13"/>
      <c r="T6" s="27"/>
      <c r="U6" s="27"/>
      <c r="V6" s="13"/>
      <c r="W6" s="17"/>
      <c r="X6" s="13"/>
      <c r="Y6" s="13"/>
      <c r="Z6" s="13"/>
      <c r="AA6" s="13"/>
      <c r="AC6" s="29" t="s">
        <v>2</v>
      </c>
      <c r="AD6" s="401" t="s">
        <v>873</v>
      </c>
      <c r="AE6" s="402"/>
      <c r="AF6" s="402"/>
      <c r="AG6" s="29"/>
      <c r="AH6" s="29"/>
      <c r="AI6" s="30">
        <v>140</v>
      </c>
      <c r="AJ6" s="30">
        <v>150</v>
      </c>
      <c r="AK6" s="29">
        <f>AJ6-AI6</f>
        <v>10</v>
      </c>
      <c r="AL6" s="29"/>
      <c r="AM6" s="29" t="s">
        <v>2</v>
      </c>
      <c r="AN6" s="401" t="s">
        <v>875</v>
      </c>
      <c r="AO6" s="402"/>
      <c r="AP6" s="402"/>
    </row>
    <row r="7" spans="3:42" x14ac:dyDescent="0.25">
      <c r="C7" s="16" t="s">
        <v>885</v>
      </c>
      <c r="D7" s="13">
        <v>3</v>
      </c>
      <c r="E7" s="17"/>
      <c r="F7" s="20">
        <v>2.4</v>
      </c>
      <c r="G7" s="21"/>
      <c r="H7" s="21"/>
      <c r="I7" s="13"/>
      <c r="J7" s="27"/>
      <c r="K7" s="27"/>
      <c r="L7" s="13"/>
      <c r="M7" s="13"/>
      <c r="N7" s="13"/>
      <c r="O7" s="27"/>
      <c r="P7" s="27"/>
      <c r="Q7" s="13"/>
      <c r="R7" s="13"/>
      <c r="S7" s="13"/>
      <c r="T7" s="27"/>
      <c r="U7" s="27"/>
      <c r="V7" s="13"/>
      <c r="W7" s="17"/>
      <c r="X7" s="13"/>
      <c r="Y7" s="13"/>
      <c r="Z7" s="13"/>
      <c r="AA7" s="13"/>
      <c r="AC7" s="29" t="s">
        <v>886</v>
      </c>
      <c r="AD7" s="30" t="s">
        <v>876</v>
      </c>
      <c r="AE7" s="30" t="s">
        <v>877</v>
      </c>
      <c r="AF7" s="29" t="s">
        <v>705</v>
      </c>
      <c r="AG7" s="29"/>
      <c r="AH7" s="29" t="s">
        <v>2</v>
      </c>
      <c r="AI7" s="401" t="s">
        <v>874</v>
      </c>
      <c r="AJ7" s="402"/>
      <c r="AK7" s="402"/>
      <c r="AL7" s="29"/>
      <c r="AM7" s="29" t="s">
        <v>886</v>
      </c>
      <c r="AN7" s="30" t="s">
        <v>876</v>
      </c>
      <c r="AO7" s="30" t="s">
        <v>877</v>
      </c>
      <c r="AP7" s="29" t="s">
        <v>705</v>
      </c>
    </row>
    <row r="8" spans="3:42" x14ac:dyDescent="0.25">
      <c r="C8" s="16" t="s">
        <v>887</v>
      </c>
      <c r="D8" s="13">
        <v>4</v>
      </c>
      <c r="E8" s="17"/>
      <c r="F8" s="22">
        <v>2.2999999999999998</v>
      </c>
      <c r="I8" s="13">
        <v>2</v>
      </c>
      <c r="J8" s="27">
        <v>240</v>
      </c>
      <c r="K8" s="27">
        <v>300</v>
      </c>
      <c r="L8" s="13">
        <f t="shared" ref="L8:L16" si="0">K8-J8</f>
        <v>60</v>
      </c>
      <c r="M8" s="13"/>
      <c r="N8" s="13"/>
      <c r="O8" s="27">
        <v>150</v>
      </c>
      <c r="P8" s="27">
        <v>160</v>
      </c>
      <c r="Q8" s="13">
        <f t="shared" ref="Q8:Q18" si="1">P8-O8</f>
        <v>10</v>
      </c>
      <c r="R8" s="13"/>
      <c r="S8" s="13"/>
      <c r="T8" s="27">
        <v>160</v>
      </c>
      <c r="U8" s="27">
        <v>180</v>
      </c>
      <c r="V8" s="13">
        <f>U8-T8</f>
        <v>20</v>
      </c>
      <c r="W8" s="17"/>
      <c r="X8" s="24">
        <f>(3.4365*2+1.5724)*0.4*(AF8+AF9+AF10+AF11+AF12+AF13+AF14+AF15+AF16)</f>
        <v>2355.3882784000002</v>
      </c>
      <c r="Y8" s="24">
        <f>(3.4365*2+1.5724)*(AF8+AF9+AF10+AF11+AF12+AF13+AF14+AF15+AF16+SUM(AK9:AK19)+AP8+AP9+AP10+AP11)</f>
        <v>15854.633874000001</v>
      </c>
      <c r="Z8" s="24">
        <f>(3.5927*2+1.5724)*(AK9+AK10+AK11+AK12+AK13+AK14+AK15+AK16+AK17+AK18+AK19+AP8+AP9+AP10+AP11)</f>
        <v>10334.817046</v>
      </c>
      <c r="AA8" s="24">
        <f>(0.67+0.15)*((AF8+AF9+AF10+AF11+AF12+AF13+AF14+AF15+AF16+AK9+AK10+AK12+AK11+AK13+AK14+AK15+AK16+AK17+AK18+AK19+AP8+AP9+AP10+AP11)/5+1)</f>
        <v>308.69884000000008</v>
      </c>
      <c r="AC8" s="29"/>
      <c r="AD8" s="30">
        <v>240</v>
      </c>
      <c r="AE8" s="30">
        <v>300</v>
      </c>
      <c r="AF8" s="29">
        <f t="shared" ref="AF8:AF16" si="2">AE8-AD8</f>
        <v>60</v>
      </c>
      <c r="AG8" s="29"/>
      <c r="AH8" s="29" t="s">
        <v>886</v>
      </c>
      <c r="AI8" s="30" t="s">
        <v>876</v>
      </c>
      <c r="AJ8" s="30" t="s">
        <v>877</v>
      </c>
      <c r="AK8" s="29" t="s">
        <v>705</v>
      </c>
      <c r="AL8" s="29"/>
      <c r="AM8" s="29"/>
      <c r="AN8" s="30">
        <v>160</v>
      </c>
      <c r="AO8" s="30">
        <v>180</v>
      </c>
      <c r="AP8" s="29">
        <f>AO8-AN8</f>
        <v>20</v>
      </c>
    </row>
    <row r="9" spans="3:42" x14ac:dyDescent="0.25">
      <c r="C9" s="16" t="s">
        <v>888</v>
      </c>
      <c r="D9" s="13">
        <v>5</v>
      </c>
      <c r="E9" s="17"/>
      <c r="F9" s="20">
        <v>2.2999999999999998</v>
      </c>
      <c r="I9" s="13"/>
      <c r="J9" s="27">
        <v>420</v>
      </c>
      <c r="K9" s="27">
        <v>480</v>
      </c>
      <c r="L9" s="13">
        <f t="shared" si="0"/>
        <v>60</v>
      </c>
      <c r="M9" s="13"/>
      <c r="N9" s="13"/>
      <c r="O9" s="27">
        <v>180</v>
      </c>
      <c r="P9" s="27">
        <v>240</v>
      </c>
      <c r="Q9" s="13">
        <f t="shared" si="1"/>
        <v>60</v>
      </c>
      <c r="R9" s="13"/>
      <c r="S9" s="13"/>
      <c r="T9" s="27">
        <v>1350</v>
      </c>
      <c r="U9" s="27">
        <v>1530</v>
      </c>
      <c r="V9" s="13">
        <f>U9-T9</f>
        <v>180</v>
      </c>
      <c r="W9" s="17"/>
      <c r="X9" s="13"/>
      <c r="Y9" s="13"/>
      <c r="Z9" s="13"/>
      <c r="AA9" s="13"/>
      <c r="AC9" s="29"/>
      <c r="AD9" s="30">
        <v>420</v>
      </c>
      <c r="AE9" s="30">
        <v>480</v>
      </c>
      <c r="AF9" s="29">
        <f t="shared" si="2"/>
        <v>60</v>
      </c>
      <c r="AG9" s="29"/>
      <c r="AH9" s="29"/>
      <c r="AI9" s="30">
        <v>149.72999999999999</v>
      </c>
      <c r="AJ9" s="30">
        <v>160</v>
      </c>
      <c r="AK9" s="29">
        <f t="shared" ref="AK9:AK19" si="3">AJ9-AI9</f>
        <v>10.27000000000001</v>
      </c>
      <c r="AL9" s="29"/>
      <c r="AM9" s="29"/>
      <c r="AN9" s="30">
        <v>1350</v>
      </c>
      <c r="AO9" s="30">
        <v>1530</v>
      </c>
      <c r="AP9" s="29">
        <f>AO9-AN9</f>
        <v>180</v>
      </c>
    </row>
    <row r="10" spans="3:42" x14ac:dyDescent="0.25">
      <c r="C10" s="16" t="s">
        <v>889</v>
      </c>
      <c r="D10" s="13">
        <v>6</v>
      </c>
      <c r="E10" s="17"/>
      <c r="F10" s="22">
        <v>2.2000000000000002</v>
      </c>
      <c r="I10" s="13"/>
      <c r="J10" s="27">
        <v>845</v>
      </c>
      <c r="K10" s="27">
        <v>1050</v>
      </c>
      <c r="L10" s="13">
        <f t="shared" si="0"/>
        <v>205</v>
      </c>
      <c r="M10" s="13"/>
      <c r="N10" s="13"/>
      <c r="O10" s="27">
        <v>300</v>
      </c>
      <c r="P10" s="27">
        <v>420</v>
      </c>
      <c r="Q10" s="13">
        <f t="shared" si="1"/>
        <v>120</v>
      </c>
      <c r="R10" s="13"/>
      <c r="S10" s="13"/>
      <c r="T10" s="27">
        <v>1570</v>
      </c>
      <c r="U10" s="27">
        <v>1710</v>
      </c>
      <c r="V10" s="13">
        <f>U10-T10</f>
        <v>140</v>
      </c>
      <c r="W10" s="17"/>
      <c r="X10" s="13"/>
      <c r="Y10" s="13"/>
      <c r="Z10" s="13"/>
      <c r="AA10" s="13"/>
      <c r="AC10" s="29"/>
      <c r="AD10" s="30">
        <v>844.87</v>
      </c>
      <c r="AE10" s="30">
        <v>1050</v>
      </c>
      <c r="AF10" s="29">
        <f t="shared" si="2"/>
        <v>205.13</v>
      </c>
      <c r="AG10" s="29"/>
      <c r="AH10" s="29"/>
      <c r="AI10" s="30">
        <v>180</v>
      </c>
      <c r="AJ10" s="30">
        <v>240</v>
      </c>
      <c r="AK10" s="29">
        <f t="shared" si="3"/>
        <v>60</v>
      </c>
      <c r="AL10" s="29"/>
      <c r="AM10" s="29"/>
      <c r="AN10" s="30">
        <v>1570</v>
      </c>
      <c r="AO10" s="30">
        <v>1710</v>
      </c>
      <c r="AP10" s="29">
        <f>AO10-AN10</f>
        <v>140</v>
      </c>
    </row>
    <row r="11" spans="3:42" x14ac:dyDescent="0.25">
      <c r="C11" s="16" t="s">
        <v>890</v>
      </c>
      <c r="D11" s="13">
        <v>7</v>
      </c>
      <c r="E11" s="17"/>
      <c r="F11" s="20">
        <v>2.2000000000000002</v>
      </c>
      <c r="I11" s="13"/>
      <c r="J11" s="27">
        <v>1170</v>
      </c>
      <c r="K11" s="27">
        <v>1210</v>
      </c>
      <c r="L11" s="13">
        <f t="shared" si="0"/>
        <v>40</v>
      </c>
      <c r="M11" s="13"/>
      <c r="N11" s="13"/>
      <c r="O11" s="27">
        <v>480</v>
      </c>
      <c r="P11" s="27">
        <v>500</v>
      </c>
      <c r="Q11" s="13">
        <f t="shared" si="1"/>
        <v>20</v>
      </c>
      <c r="R11" s="13"/>
      <c r="S11" s="13"/>
      <c r="T11" s="27">
        <v>1770</v>
      </c>
      <c r="U11" s="27">
        <v>1830</v>
      </c>
      <c r="V11" s="13">
        <f>U11-T11</f>
        <v>60</v>
      </c>
      <c r="W11" s="17"/>
      <c r="X11" s="13"/>
      <c r="Y11" s="13"/>
      <c r="Z11" s="13"/>
      <c r="AA11" s="13"/>
      <c r="AC11" s="29"/>
      <c r="AD11" s="30">
        <v>1170</v>
      </c>
      <c r="AE11" s="30">
        <v>1210</v>
      </c>
      <c r="AF11" s="29">
        <f t="shared" si="2"/>
        <v>40</v>
      </c>
      <c r="AG11" s="29"/>
      <c r="AH11" s="29"/>
      <c r="AI11" s="30">
        <v>300</v>
      </c>
      <c r="AJ11" s="30">
        <v>420</v>
      </c>
      <c r="AK11" s="29">
        <f t="shared" si="3"/>
        <v>120</v>
      </c>
      <c r="AL11" s="29"/>
      <c r="AM11" s="29"/>
      <c r="AN11" s="30">
        <v>1770</v>
      </c>
      <c r="AO11" s="30">
        <v>1830</v>
      </c>
      <c r="AP11" s="29">
        <f>AO11-AN11</f>
        <v>60</v>
      </c>
    </row>
    <row r="12" spans="3:42" x14ac:dyDescent="0.25">
      <c r="C12" s="16" t="s">
        <v>891</v>
      </c>
      <c r="D12" s="13">
        <v>8</v>
      </c>
      <c r="E12" s="17"/>
      <c r="F12" s="22">
        <v>2</v>
      </c>
      <c r="I12" s="13"/>
      <c r="J12" s="27">
        <v>1830</v>
      </c>
      <c r="K12" s="27">
        <v>1876</v>
      </c>
      <c r="L12" s="13">
        <f t="shared" si="0"/>
        <v>46</v>
      </c>
      <c r="M12" s="13"/>
      <c r="N12" s="13"/>
      <c r="O12" s="27">
        <v>500</v>
      </c>
      <c r="P12" s="27">
        <v>656</v>
      </c>
      <c r="Q12" s="13">
        <f t="shared" si="1"/>
        <v>156</v>
      </c>
      <c r="R12" s="13"/>
      <c r="S12" s="13"/>
      <c r="T12" s="27"/>
      <c r="U12" s="27"/>
      <c r="V12" s="13"/>
      <c r="W12" s="17"/>
      <c r="X12" s="13"/>
      <c r="Y12" s="13"/>
      <c r="Z12" s="13"/>
      <c r="AA12" s="13"/>
      <c r="AC12" s="29"/>
      <c r="AD12" s="30">
        <v>1830</v>
      </c>
      <c r="AE12" s="30">
        <v>1871.83</v>
      </c>
      <c r="AF12" s="29">
        <f t="shared" si="2"/>
        <v>41.829999999999927</v>
      </c>
      <c r="AG12" s="29"/>
      <c r="AH12" s="29"/>
      <c r="AI12" s="30">
        <v>480</v>
      </c>
      <c r="AJ12" s="30">
        <v>500</v>
      </c>
      <c r="AK12" s="29">
        <f t="shared" si="3"/>
        <v>20</v>
      </c>
      <c r="AL12" s="29"/>
      <c r="AM12" s="29" t="s">
        <v>2</v>
      </c>
      <c r="AN12" s="401" t="s">
        <v>875</v>
      </c>
      <c r="AO12" s="402"/>
      <c r="AP12" s="402"/>
    </row>
    <row r="13" spans="3:42" x14ac:dyDescent="0.25">
      <c r="C13" s="16" t="s">
        <v>892</v>
      </c>
      <c r="D13" s="13">
        <v>9</v>
      </c>
      <c r="E13" s="17"/>
      <c r="F13" s="20">
        <v>1.6</v>
      </c>
      <c r="I13" s="13"/>
      <c r="J13" s="27">
        <v>2247</v>
      </c>
      <c r="K13" s="27">
        <v>2363</v>
      </c>
      <c r="L13" s="13">
        <f t="shared" si="0"/>
        <v>116</v>
      </c>
      <c r="M13" s="13"/>
      <c r="N13" s="13"/>
      <c r="O13" s="27">
        <v>1050</v>
      </c>
      <c r="P13" s="27">
        <v>1170</v>
      </c>
      <c r="Q13" s="13">
        <f t="shared" si="1"/>
        <v>120</v>
      </c>
      <c r="R13" s="13"/>
      <c r="S13" s="13"/>
      <c r="T13" s="27"/>
      <c r="U13" s="27"/>
      <c r="V13" s="13"/>
      <c r="W13" s="17"/>
      <c r="X13" s="13"/>
      <c r="Y13" s="13"/>
      <c r="Z13" s="13"/>
      <c r="AA13" s="13"/>
      <c r="AC13" s="29"/>
      <c r="AD13" s="30">
        <v>2242.89</v>
      </c>
      <c r="AE13" s="30">
        <v>2358.27</v>
      </c>
      <c r="AF13" s="29">
        <f t="shared" si="2"/>
        <v>115.38000000000011</v>
      </c>
      <c r="AG13" s="29"/>
      <c r="AH13" s="29"/>
      <c r="AI13" s="30">
        <v>500</v>
      </c>
      <c r="AJ13" s="30">
        <v>656.36</v>
      </c>
      <c r="AK13" s="29">
        <f t="shared" si="3"/>
        <v>156.36000000000001</v>
      </c>
      <c r="AL13" s="29"/>
      <c r="AM13" s="29" t="s">
        <v>893</v>
      </c>
      <c r="AN13" s="30" t="s">
        <v>876</v>
      </c>
      <c r="AO13" s="30" t="s">
        <v>877</v>
      </c>
      <c r="AP13" s="29" t="s">
        <v>705</v>
      </c>
    </row>
    <row r="14" spans="3:42" x14ac:dyDescent="0.25">
      <c r="C14" s="16" t="s">
        <v>894</v>
      </c>
      <c r="D14" s="13">
        <v>10</v>
      </c>
      <c r="E14" s="17"/>
      <c r="F14" s="22">
        <v>1</v>
      </c>
      <c r="I14" s="13"/>
      <c r="J14" s="27">
        <v>2500</v>
      </c>
      <c r="K14" s="27">
        <v>2520</v>
      </c>
      <c r="L14" s="13">
        <f t="shared" si="0"/>
        <v>20</v>
      </c>
      <c r="M14" s="13"/>
      <c r="N14" s="13"/>
      <c r="O14" s="27">
        <v>1210</v>
      </c>
      <c r="P14" s="27">
        <v>1350</v>
      </c>
      <c r="Q14" s="13">
        <f t="shared" si="1"/>
        <v>140</v>
      </c>
      <c r="R14" s="13"/>
      <c r="S14" s="13"/>
      <c r="T14" s="27"/>
      <c r="U14" s="27"/>
      <c r="V14" s="13"/>
      <c r="W14" s="17"/>
      <c r="X14" s="13"/>
      <c r="Y14" s="13"/>
      <c r="Z14" s="13"/>
      <c r="AA14" s="13"/>
      <c r="AC14" s="29"/>
      <c r="AD14" s="30">
        <v>2495.1</v>
      </c>
      <c r="AE14" s="30">
        <v>2520</v>
      </c>
      <c r="AF14" s="29">
        <f t="shared" si="2"/>
        <v>24.900000000000091</v>
      </c>
      <c r="AG14" s="29"/>
      <c r="AH14" s="29"/>
      <c r="AI14" s="30">
        <v>1050</v>
      </c>
      <c r="AJ14" s="30">
        <v>1170</v>
      </c>
      <c r="AK14" s="29">
        <f t="shared" si="3"/>
        <v>120</v>
      </c>
      <c r="AL14" s="29"/>
      <c r="AM14" s="29"/>
      <c r="AN14" s="30">
        <v>5460</v>
      </c>
      <c r="AO14" s="30">
        <v>5510</v>
      </c>
      <c r="AP14" s="29">
        <f>AO14-AN14</f>
        <v>50</v>
      </c>
    </row>
    <row r="15" spans="3:42" x14ac:dyDescent="0.25">
      <c r="I15" s="13"/>
      <c r="J15" s="27">
        <v>2750</v>
      </c>
      <c r="K15" s="27">
        <v>2863</v>
      </c>
      <c r="L15" s="13">
        <f t="shared" si="0"/>
        <v>113</v>
      </c>
      <c r="M15" s="13"/>
      <c r="N15" s="13"/>
      <c r="O15" s="27">
        <v>1530</v>
      </c>
      <c r="P15" s="27">
        <v>1570</v>
      </c>
      <c r="Q15" s="13">
        <f t="shared" si="1"/>
        <v>40</v>
      </c>
      <c r="R15" s="13"/>
      <c r="S15" s="13"/>
      <c r="T15" s="27"/>
      <c r="U15" s="27"/>
      <c r="V15" s="13"/>
      <c r="W15" s="17"/>
      <c r="X15" s="13"/>
      <c r="Y15" s="13"/>
      <c r="Z15" s="13"/>
      <c r="AA15" s="13"/>
      <c r="AC15" s="29"/>
      <c r="AD15" s="30">
        <v>2750</v>
      </c>
      <c r="AE15" s="30">
        <f>2858.51-7</f>
        <v>2851.51</v>
      </c>
      <c r="AF15" s="29">
        <f t="shared" si="2"/>
        <v>101.51000000000022</v>
      </c>
      <c r="AG15" s="29"/>
      <c r="AH15" s="29"/>
      <c r="AI15" s="30">
        <v>1210</v>
      </c>
      <c r="AJ15" s="30">
        <v>1350</v>
      </c>
      <c r="AK15" s="29">
        <f t="shared" si="3"/>
        <v>140</v>
      </c>
      <c r="AL15" s="29"/>
      <c r="AM15" s="29" t="s">
        <v>2</v>
      </c>
      <c r="AN15" s="401" t="s">
        <v>875</v>
      </c>
      <c r="AO15" s="402"/>
      <c r="AP15" s="402"/>
    </row>
    <row r="16" spans="3:42" x14ac:dyDescent="0.25">
      <c r="I16" s="13"/>
      <c r="J16" s="27">
        <v>2947</v>
      </c>
      <c r="K16" s="27">
        <v>3006</v>
      </c>
      <c r="L16" s="13">
        <f t="shared" si="0"/>
        <v>59</v>
      </c>
      <c r="M16" s="13"/>
      <c r="N16" s="13"/>
      <c r="O16" s="27">
        <v>1710</v>
      </c>
      <c r="P16" s="27">
        <v>1770</v>
      </c>
      <c r="Q16" s="13">
        <f t="shared" si="1"/>
        <v>60</v>
      </c>
      <c r="R16" s="13"/>
      <c r="S16" s="13"/>
      <c r="T16" s="27"/>
      <c r="U16" s="27"/>
      <c r="V16" s="13"/>
      <c r="W16" s="17"/>
      <c r="X16" s="13"/>
      <c r="Y16" s="13"/>
      <c r="Z16" s="13"/>
      <c r="AA16" s="13"/>
      <c r="AC16" s="29"/>
      <c r="AD16" s="30">
        <f>2942.51+10</f>
        <v>2952.51</v>
      </c>
      <c r="AE16" s="30">
        <v>3001</v>
      </c>
      <c r="AF16" s="29">
        <f t="shared" si="2"/>
        <v>48.489999999999782</v>
      </c>
      <c r="AG16" s="29"/>
      <c r="AH16" s="29"/>
      <c r="AI16" s="30">
        <v>1530</v>
      </c>
      <c r="AJ16" s="30">
        <v>1570</v>
      </c>
      <c r="AK16" s="29">
        <f t="shared" si="3"/>
        <v>40</v>
      </c>
      <c r="AL16" s="29"/>
      <c r="AM16" s="29" t="s">
        <v>895</v>
      </c>
      <c r="AN16" s="30" t="s">
        <v>876</v>
      </c>
      <c r="AO16" s="30" t="s">
        <v>877</v>
      </c>
      <c r="AP16" s="29" t="s">
        <v>705</v>
      </c>
    </row>
    <row r="17" spans="1:42" x14ac:dyDescent="0.25">
      <c r="I17" s="13"/>
      <c r="J17" s="27"/>
      <c r="K17" s="27"/>
      <c r="L17" s="13"/>
      <c r="M17" s="13"/>
      <c r="N17" s="13"/>
      <c r="O17" s="27">
        <v>2520</v>
      </c>
      <c r="P17" s="27">
        <v>2558</v>
      </c>
      <c r="Q17" s="13">
        <f t="shared" si="1"/>
        <v>38</v>
      </c>
      <c r="R17" s="13"/>
      <c r="S17" s="13"/>
      <c r="T17" s="27"/>
      <c r="U17" s="27"/>
      <c r="V17" s="13"/>
      <c r="W17" s="17"/>
      <c r="X17" s="13"/>
      <c r="Y17" s="13"/>
      <c r="Z17" s="13"/>
      <c r="AA17" s="13"/>
      <c r="AC17" s="29" t="s">
        <v>2</v>
      </c>
      <c r="AD17" s="401" t="s">
        <v>873</v>
      </c>
      <c r="AE17" s="402"/>
      <c r="AF17" s="402"/>
      <c r="AG17" s="29"/>
      <c r="AH17" s="29"/>
      <c r="AI17" s="30">
        <v>1710</v>
      </c>
      <c r="AJ17" s="30">
        <v>1770</v>
      </c>
      <c r="AK17" s="29">
        <f t="shared" si="3"/>
        <v>60</v>
      </c>
      <c r="AL17" s="29"/>
      <c r="AM17" s="29"/>
      <c r="AN17" s="30">
        <v>10294.25</v>
      </c>
      <c r="AO17" s="30">
        <v>10414.25</v>
      </c>
      <c r="AP17" s="29">
        <f>AO17-AN17</f>
        <v>120</v>
      </c>
    </row>
    <row r="18" spans="1:42" x14ac:dyDescent="0.25">
      <c r="I18" s="13"/>
      <c r="J18" s="27"/>
      <c r="K18" s="27"/>
      <c r="L18" s="13"/>
      <c r="M18" s="13"/>
      <c r="N18" s="13"/>
      <c r="O18" s="27">
        <v>2734</v>
      </c>
      <c r="P18" s="27">
        <v>2750</v>
      </c>
      <c r="Q18" s="13">
        <f t="shared" si="1"/>
        <v>16</v>
      </c>
      <c r="R18" s="13"/>
      <c r="S18" s="13"/>
      <c r="T18" s="27"/>
      <c r="U18" s="27"/>
      <c r="V18" s="13"/>
      <c r="W18" s="17"/>
      <c r="X18" s="13"/>
      <c r="Y18" s="13"/>
      <c r="Z18" s="13"/>
      <c r="AA18" s="13"/>
      <c r="AC18" s="29" t="s">
        <v>896</v>
      </c>
      <c r="AD18" s="30" t="s">
        <v>876</v>
      </c>
      <c r="AE18" s="30" t="s">
        <v>877</v>
      </c>
      <c r="AF18" s="29" t="s">
        <v>705</v>
      </c>
      <c r="AG18" s="29"/>
      <c r="AH18" s="29"/>
      <c r="AI18" s="30">
        <v>2520</v>
      </c>
      <c r="AJ18" s="30">
        <v>2553.27</v>
      </c>
      <c r="AK18" s="29">
        <f t="shared" si="3"/>
        <v>33.269999999999982</v>
      </c>
      <c r="AL18" s="29"/>
      <c r="AM18" s="29"/>
      <c r="AN18" s="30">
        <v>10734.25</v>
      </c>
      <c r="AO18" s="30">
        <v>10774.25</v>
      </c>
      <c r="AP18" s="29">
        <f>AO18-AN18</f>
        <v>40</v>
      </c>
    </row>
    <row r="19" spans="1:42" x14ac:dyDescent="0.25">
      <c r="A19" s="14" t="s">
        <v>2</v>
      </c>
      <c r="B19" s="14" t="s">
        <v>897</v>
      </c>
      <c r="C19" s="14" t="s">
        <v>898</v>
      </c>
      <c r="D19" s="14" t="s">
        <v>3</v>
      </c>
      <c r="E19" s="14" t="s">
        <v>13</v>
      </c>
      <c r="F19" s="14" t="s">
        <v>899</v>
      </c>
      <c r="G19" s="14" t="s">
        <v>900</v>
      </c>
      <c r="I19" s="13"/>
      <c r="J19" s="27"/>
      <c r="K19" s="27"/>
      <c r="L19" s="13"/>
      <c r="M19" s="13"/>
      <c r="N19" s="13"/>
      <c r="O19" s="27"/>
      <c r="P19" s="27"/>
      <c r="Q19" s="13"/>
      <c r="R19" s="13"/>
      <c r="S19" s="13"/>
      <c r="T19" s="27"/>
      <c r="U19" s="27"/>
      <c r="V19" s="13"/>
      <c r="W19" s="17"/>
      <c r="X19" s="24">
        <f>(3.4365*2+1.5724)*0.4*(AF19+AF20+AF21+AF22+AF23+AF24)</f>
        <v>2924.1352959999995</v>
      </c>
      <c r="Y19" s="24">
        <f>(3.4365*2+1.5724)*(AF19+AF20+AF21+AF22+AF23+AF24+SUM(AK22:AK24))</f>
        <v>9826.8140779999976</v>
      </c>
      <c r="Z19" s="24">
        <f>(3.5927*2+1.5724)*(AK22+AK23+AK24)</f>
        <v>2609.5616659999982</v>
      </c>
      <c r="AA19" s="24">
        <f>(0.67+0.15)*((AF19+AF20+AF21+AF22+AF23+AF24+AK22+AK23+AK24)/5+1)</f>
        <v>191.64547999999996</v>
      </c>
      <c r="AC19" s="29"/>
      <c r="AD19" s="30">
        <v>3001</v>
      </c>
      <c r="AE19" s="30">
        <v>3110</v>
      </c>
      <c r="AF19" s="29">
        <f t="shared" ref="AF19:AF24" si="4">AE19-AD19</f>
        <v>109</v>
      </c>
      <c r="AG19" s="29"/>
      <c r="AH19" s="29"/>
      <c r="AI19" s="30">
        <v>2729.83</v>
      </c>
      <c r="AJ19" s="30">
        <v>2750</v>
      </c>
      <c r="AK19" s="29">
        <f t="shared" si="3"/>
        <v>20.170000000000073</v>
      </c>
      <c r="AL19" s="29"/>
      <c r="AM19" s="29"/>
      <c r="AN19" s="30"/>
      <c r="AO19" s="30"/>
      <c r="AP19" s="29"/>
    </row>
    <row r="20" spans="1:42" x14ac:dyDescent="0.25">
      <c r="A20" s="13"/>
      <c r="B20" s="13"/>
      <c r="C20" s="14" t="s">
        <v>901</v>
      </c>
      <c r="D20" s="14" t="s">
        <v>902</v>
      </c>
      <c r="E20" s="14" t="s">
        <v>903</v>
      </c>
      <c r="F20" s="14" t="s">
        <v>904</v>
      </c>
      <c r="G20" s="14" t="s">
        <v>905</v>
      </c>
      <c r="I20" s="13">
        <v>3</v>
      </c>
      <c r="J20" s="27">
        <v>3006</v>
      </c>
      <c r="K20" s="27">
        <v>3110</v>
      </c>
      <c r="L20" s="13">
        <f>K20-J20</f>
        <v>104</v>
      </c>
      <c r="M20" s="13"/>
      <c r="N20" s="13"/>
      <c r="O20" s="27">
        <v>3110</v>
      </c>
      <c r="P20" s="27">
        <v>3210</v>
      </c>
      <c r="Q20" s="13">
        <f>P20-O20</f>
        <v>100</v>
      </c>
      <c r="R20" s="13"/>
      <c r="S20" s="13"/>
      <c r="T20" s="27"/>
      <c r="U20" s="27"/>
      <c r="V20" s="13"/>
      <c r="W20" s="17"/>
      <c r="X20" s="13"/>
      <c r="Y20" s="13"/>
      <c r="Z20" s="13"/>
      <c r="AA20" s="13"/>
      <c r="AC20" s="29"/>
      <c r="AD20" s="30">
        <v>3210</v>
      </c>
      <c r="AE20" s="30">
        <f>3327.65-7</f>
        <v>3320.65</v>
      </c>
      <c r="AF20" s="29">
        <f t="shared" si="4"/>
        <v>110.65000000000009</v>
      </c>
      <c r="AG20" s="29"/>
      <c r="AH20" s="29" t="s">
        <v>2</v>
      </c>
      <c r="AI20" s="401" t="s">
        <v>874</v>
      </c>
      <c r="AJ20" s="402"/>
      <c r="AK20" s="402"/>
      <c r="AL20" s="29"/>
      <c r="AM20" s="29"/>
      <c r="AN20" s="30"/>
      <c r="AO20" s="30"/>
      <c r="AP20" s="29"/>
    </row>
    <row r="21" spans="1:42" x14ac:dyDescent="0.25">
      <c r="A21" s="14" t="s">
        <v>882</v>
      </c>
      <c r="B21" s="23">
        <v>1</v>
      </c>
      <c r="C21" s="24">
        <f>断面设计!D7</f>
        <v>1.5</v>
      </c>
      <c r="D21" s="25">
        <f>断面设计!C7</f>
        <v>1.5999458363997501</v>
      </c>
      <c r="E21" s="25">
        <f>断面设计!O7</f>
        <v>1.77885902028985</v>
      </c>
      <c r="F21" s="24">
        <f>断面设计!AD7</f>
        <v>2.5</v>
      </c>
      <c r="G21" s="13">
        <v>5000</v>
      </c>
      <c r="I21" s="13"/>
      <c r="J21" s="27">
        <v>3210</v>
      </c>
      <c r="K21" s="27">
        <v>3332</v>
      </c>
      <c r="L21" s="13">
        <f>K21-J21</f>
        <v>122</v>
      </c>
      <c r="M21" s="13"/>
      <c r="N21" s="13"/>
      <c r="O21" s="27">
        <v>3520</v>
      </c>
      <c r="P21" s="27">
        <v>3670</v>
      </c>
      <c r="Q21" s="13">
        <f>P21-O21</f>
        <v>150</v>
      </c>
      <c r="R21" s="13"/>
      <c r="S21" s="13"/>
      <c r="T21" s="27"/>
      <c r="U21" s="27"/>
      <c r="V21" s="13"/>
      <c r="W21" s="17"/>
      <c r="X21" s="13"/>
      <c r="Y21" s="13"/>
      <c r="Z21" s="13"/>
      <c r="AA21" s="13"/>
      <c r="AC21" s="29"/>
      <c r="AD21" s="30">
        <f>3447.65+7</f>
        <v>3454.65</v>
      </c>
      <c r="AE21" s="30">
        <v>3520</v>
      </c>
      <c r="AF21" s="29">
        <f t="shared" si="4"/>
        <v>65.349999999999909</v>
      </c>
      <c r="AG21" s="29"/>
      <c r="AH21" s="29" t="s">
        <v>896</v>
      </c>
      <c r="AI21" s="30" t="s">
        <v>876</v>
      </c>
      <c r="AJ21" s="30" t="s">
        <v>877</v>
      </c>
      <c r="AK21" s="29" t="s">
        <v>705</v>
      </c>
      <c r="AL21" s="29"/>
      <c r="AM21" s="29"/>
      <c r="AN21" s="30"/>
      <c r="AO21" s="30"/>
      <c r="AP21" s="29"/>
    </row>
    <row r="22" spans="1:42" x14ac:dyDescent="0.25">
      <c r="A22" s="14" t="s">
        <v>886</v>
      </c>
      <c r="B22" s="23">
        <v>1</v>
      </c>
      <c r="C22" s="24">
        <f>断面设计!D8</f>
        <v>1.5</v>
      </c>
      <c r="D22" s="25">
        <f>断面设计!C8</f>
        <v>1.58308906639964</v>
      </c>
      <c r="E22" s="25">
        <f>断面设计!O8</f>
        <v>1.7604800744479501</v>
      </c>
      <c r="F22" s="24">
        <f>断面设计!AD8</f>
        <v>2.4</v>
      </c>
      <c r="G22" s="13">
        <v>5000</v>
      </c>
      <c r="I22" s="13"/>
      <c r="J22" s="27">
        <v>3452</v>
      </c>
      <c r="K22" s="27">
        <v>3520</v>
      </c>
      <c r="L22" s="13">
        <f t="shared" ref="L22:L62" si="5">K22-J22</f>
        <v>68</v>
      </c>
      <c r="M22" s="13"/>
      <c r="N22" s="13"/>
      <c r="O22" s="27">
        <v>4066</v>
      </c>
      <c r="P22" s="27">
        <v>4110</v>
      </c>
      <c r="Q22" s="13">
        <f>P22-O22</f>
        <v>44</v>
      </c>
      <c r="R22" s="13"/>
      <c r="S22" s="13"/>
      <c r="T22" s="27"/>
      <c r="U22" s="27"/>
      <c r="V22" s="13"/>
      <c r="W22" s="17"/>
      <c r="X22" s="13"/>
      <c r="Y22" s="13"/>
      <c r="Z22" s="13"/>
      <c r="AA22" s="13"/>
      <c r="AC22" s="29"/>
      <c r="AD22" s="30">
        <v>3670</v>
      </c>
      <c r="AE22" s="30">
        <f>3706.63-7</f>
        <v>3699.63</v>
      </c>
      <c r="AF22" s="29">
        <f t="shared" si="4"/>
        <v>29.630000000000109</v>
      </c>
      <c r="AG22" s="29"/>
      <c r="AH22" s="29"/>
      <c r="AI22" s="30">
        <v>3110</v>
      </c>
      <c r="AJ22" s="30">
        <v>3210</v>
      </c>
      <c r="AK22" s="29">
        <f>AJ22-AI22</f>
        <v>100</v>
      </c>
      <c r="AL22" s="29"/>
      <c r="AM22" s="29"/>
      <c r="AN22" s="30"/>
      <c r="AO22" s="30"/>
      <c r="AP22" s="29"/>
    </row>
    <row r="23" spans="1:42" x14ac:dyDescent="0.25">
      <c r="A23" s="14" t="s">
        <v>896</v>
      </c>
      <c r="B23" s="23">
        <v>1</v>
      </c>
      <c r="C23" s="24">
        <f>断面设计!D9</f>
        <v>1.5</v>
      </c>
      <c r="D23" s="25">
        <f>断面设计!C9</f>
        <v>1.5491171243039099</v>
      </c>
      <c r="E23" s="25">
        <f>断面设计!O9</f>
        <v>1.7230932964226899</v>
      </c>
      <c r="F23" s="24">
        <f>断面设计!AD9</f>
        <v>2.4</v>
      </c>
      <c r="G23" s="13">
        <v>5000</v>
      </c>
      <c r="I23" s="13"/>
      <c r="J23" s="27">
        <v>3670</v>
      </c>
      <c r="K23" s="27">
        <v>3711</v>
      </c>
      <c r="L23" s="13">
        <f t="shared" si="5"/>
        <v>41</v>
      </c>
      <c r="M23" s="13"/>
      <c r="N23" s="13"/>
      <c r="O23" s="27"/>
      <c r="P23" s="27"/>
      <c r="Q23" s="13"/>
      <c r="R23" s="13"/>
      <c r="S23" s="13"/>
      <c r="T23" s="27"/>
      <c r="U23" s="27"/>
      <c r="V23" s="13"/>
      <c r="W23" s="17"/>
      <c r="X23" s="13"/>
      <c r="Y23" s="13"/>
      <c r="Z23" s="13"/>
      <c r="AA23" s="13"/>
      <c r="AC23" s="29"/>
      <c r="AD23" s="30">
        <f>3826.63+7</f>
        <v>3833.63</v>
      </c>
      <c r="AE23" s="30">
        <v>3927.6</v>
      </c>
      <c r="AF23" s="29">
        <f t="shared" si="4"/>
        <v>93.9699999999998</v>
      </c>
      <c r="AG23" s="29"/>
      <c r="AH23" s="29"/>
      <c r="AI23" s="30">
        <v>3520</v>
      </c>
      <c r="AJ23" s="30">
        <v>3670</v>
      </c>
      <c r="AK23" s="29">
        <f>AJ23-AI23</f>
        <v>150</v>
      </c>
      <c r="AL23" s="29"/>
      <c r="AM23" s="29"/>
      <c r="AN23" s="30"/>
      <c r="AO23" s="30"/>
      <c r="AP23" s="29"/>
    </row>
    <row r="24" spans="1:42" x14ac:dyDescent="0.25">
      <c r="A24" s="14" t="s">
        <v>893</v>
      </c>
      <c r="B24" s="23">
        <v>1</v>
      </c>
      <c r="C24" s="24">
        <f>断面设计!D10</f>
        <v>1.5</v>
      </c>
      <c r="D24" s="25">
        <f>断面设计!C10</f>
        <v>1.4961164896839501</v>
      </c>
      <c r="E24" s="25">
        <f>断面设计!O10</f>
        <v>1.66490169866282</v>
      </c>
      <c r="F24" s="24">
        <f>断面设计!AD10</f>
        <v>2.2999999999999998</v>
      </c>
      <c r="G24" s="13">
        <v>5000</v>
      </c>
      <c r="I24" s="13"/>
      <c r="J24" s="27">
        <v>3831</v>
      </c>
      <c r="K24" s="27">
        <v>3932</v>
      </c>
      <c r="L24" s="13">
        <f t="shared" si="5"/>
        <v>101</v>
      </c>
      <c r="M24" s="13"/>
      <c r="N24" s="13"/>
      <c r="O24" s="27"/>
      <c r="P24" s="27"/>
      <c r="Q24" s="13"/>
      <c r="R24" s="13"/>
      <c r="S24" s="13"/>
      <c r="T24" s="27"/>
      <c r="U24" s="27"/>
      <c r="V24" s="13"/>
      <c r="W24" s="17"/>
      <c r="X24" s="13"/>
      <c r="Y24" s="13"/>
      <c r="Z24" s="13"/>
      <c r="AA24" s="13"/>
      <c r="AC24" s="29"/>
      <c r="AD24" s="30">
        <v>4110</v>
      </c>
      <c r="AE24" s="30">
        <v>4567</v>
      </c>
      <c r="AF24" s="29">
        <f t="shared" si="4"/>
        <v>457</v>
      </c>
      <c r="AG24" s="29"/>
      <c r="AH24" s="29"/>
      <c r="AI24" s="30">
        <v>4062.03</v>
      </c>
      <c r="AJ24" s="30">
        <v>4110</v>
      </c>
      <c r="AK24" s="29">
        <f>AJ24-AI24</f>
        <v>47.9699999999998</v>
      </c>
      <c r="AL24" s="29"/>
      <c r="AM24" s="29"/>
      <c r="AN24" s="30"/>
      <c r="AO24" s="30"/>
      <c r="AP24" s="29"/>
    </row>
    <row r="25" spans="1:42" x14ac:dyDescent="0.25">
      <c r="A25" s="14" t="s">
        <v>895</v>
      </c>
      <c r="B25" s="23">
        <v>1</v>
      </c>
      <c r="C25" s="24">
        <f>断面设计!D11</f>
        <v>1.2</v>
      </c>
      <c r="D25" s="25">
        <f>断面设计!C11</f>
        <v>1.4906129304215501</v>
      </c>
      <c r="E25" s="25">
        <f>断面设计!O11</f>
        <v>1.65369775266875</v>
      </c>
      <c r="F25" s="24">
        <f>断面设计!AD11</f>
        <v>2.2999999999999998</v>
      </c>
      <c r="G25" s="13">
        <v>5000</v>
      </c>
      <c r="I25" s="13"/>
      <c r="J25" s="27">
        <v>4110</v>
      </c>
      <c r="K25" s="27">
        <v>4555</v>
      </c>
      <c r="L25" s="13">
        <f t="shared" si="5"/>
        <v>445</v>
      </c>
      <c r="M25" s="13"/>
      <c r="N25" s="13"/>
      <c r="O25" s="27"/>
      <c r="P25" s="27"/>
      <c r="Q25" s="13"/>
      <c r="R25" s="13"/>
      <c r="S25" s="13"/>
      <c r="T25" s="27"/>
      <c r="U25" s="27"/>
      <c r="V25" s="13"/>
      <c r="W25" s="17"/>
      <c r="X25" s="13"/>
      <c r="Y25" s="13"/>
      <c r="Z25" s="13"/>
      <c r="AA25" s="13"/>
      <c r="AC25" s="29" t="s">
        <v>2</v>
      </c>
      <c r="AD25" s="401" t="s">
        <v>873</v>
      </c>
      <c r="AE25" s="402"/>
      <c r="AF25" s="402"/>
      <c r="AG25" s="29"/>
      <c r="AH25" s="29" t="s">
        <v>2</v>
      </c>
      <c r="AI25" s="401" t="s">
        <v>874</v>
      </c>
      <c r="AJ25" s="402"/>
      <c r="AK25" s="402"/>
      <c r="AL25" s="29"/>
      <c r="AM25" s="29"/>
      <c r="AN25" s="30"/>
      <c r="AO25" s="30"/>
      <c r="AP25" s="29"/>
    </row>
    <row r="26" spans="1:42" x14ac:dyDescent="0.25">
      <c r="A26" s="14" t="s">
        <v>906</v>
      </c>
      <c r="B26" s="23">
        <v>1</v>
      </c>
      <c r="C26" s="24">
        <f>断面设计!D12</f>
        <v>1.2</v>
      </c>
      <c r="D26" s="25">
        <f>断面设计!C12</f>
        <v>1.40797130701961</v>
      </c>
      <c r="E26" s="25">
        <f>断面设计!O12</f>
        <v>1.56326875864555</v>
      </c>
      <c r="F26" s="24">
        <f>断面设计!AD12</f>
        <v>2.2000000000000002</v>
      </c>
      <c r="G26" s="13">
        <v>5000</v>
      </c>
      <c r="I26" s="13"/>
      <c r="J26" s="27"/>
      <c r="K26" s="27"/>
      <c r="L26" s="13"/>
      <c r="M26" s="13"/>
      <c r="N26" s="13"/>
      <c r="O26" s="27"/>
      <c r="P26" s="27"/>
      <c r="Q26" s="13"/>
      <c r="R26" s="13"/>
      <c r="S26" s="13"/>
      <c r="T26" s="27"/>
      <c r="U26" s="27"/>
      <c r="V26" s="13"/>
      <c r="W26" s="17"/>
      <c r="X26" s="24"/>
      <c r="Y26" s="24"/>
      <c r="Z26" s="24"/>
      <c r="AA26" s="24"/>
      <c r="AC26" s="29" t="s">
        <v>893</v>
      </c>
      <c r="AD26" s="30" t="s">
        <v>876</v>
      </c>
      <c r="AE26" s="30" t="s">
        <v>877</v>
      </c>
      <c r="AF26" s="29" t="s">
        <v>705</v>
      </c>
      <c r="AG26" s="29"/>
      <c r="AH26" s="29" t="s">
        <v>893</v>
      </c>
      <c r="AI26" s="30" t="s">
        <v>876</v>
      </c>
      <c r="AJ26" s="30" t="s">
        <v>877</v>
      </c>
      <c r="AK26" s="29" t="s">
        <v>705</v>
      </c>
      <c r="AL26" s="29"/>
      <c r="AM26" s="29"/>
      <c r="AN26" s="30"/>
      <c r="AO26" s="30"/>
      <c r="AP26" s="29"/>
    </row>
    <row r="27" spans="1:42" x14ac:dyDescent="0.25">
      <c r="A27" s="14" t="s">
        <v>907</v>
      </c>
      <c r="B27" s="23">
        <v>1</v>
      </c>
      <c r="C27" s="24">
        <f>断面设计!D13</f>
        <v>1</v>
      </c>
      <c r="D27" s="25">
        <f>断面设计!C13</f>
        <v>1.38033020658117</v>
      </c>
      <c r="E27" s="25">
        <f>断面设计!O13</f>
        <v>1.52906708214987</v>
      </c>
      <c r="F27" s="24">
        <f>断面设计!AD13</f>
        <v>2.2000000000000002</v>
      </c>
      <c r="G27" s="13">
        <v>5000</v>
      </c>
      <c r="I27" s="13">
        <v>4</v>
      </c>
      <c r="J27" s="27">
        <v>4555</v>
      </c>
      <c r="K27" s="27">
        <v>4751</v>
      </c>
      <c r="L27" s="13">
        <f t="shared" si="5"/>
        <v>196</v>
      </c>
      <c r="M27" s="13"/>
      <c r="N27" s="13"/>
      <c r="O27" s="27">
        <v>5700</v>
      </c>
      <c r="P27" s="27">
        <v>5730</v>
      </c>
      <c r="Q27" s="13">
        <f>P27-O27</f>
        <v>30</v>
      </c>
      <c r="R27" s="13"/>
      <c r="S27" s="13"/>
      <c r="T27" s="27">
        <v>5460</v>
      </c>
      <c r="U27" s="27">
        <v>5510</v>
      </c>
      <c r="V27" s="13">
        <f>U27-T27</f>
        <v>50</v>
      </c>
      <c r="W27" s="17"/>
      <c r="X27" s="24">
        <f>(3.2803*2+1.5724)*0.4*(AF27+AF28+AF29+AF30+AF31+AF32)</f>
        <v>3283.3571640000041</v>
      </c>
      <c r="Y27" s="24">
        <f>(3.2803*2+1.5724)*(AF27+AF28+AF29+AF30+AF31+AF32+AK27+AK28+AP14)</f>
        <v>9822.4680900000094</v>
      </c>
      <c r="Z27" s="24">
        <f>(3.5927*2+1.5724)*(AK27+AK28+AP14)</f>
        <v>1738.0729880000001</v>
      </c>
      <c r="AA27" s="24">
        <f>(0.64+0.15)*((AF27+AF28+AF29+AF30+AF31+AF32+AK27+AK28+AP14)/5+1)</f>
        <v>191.61134000000024</v>
      </c>
      <c r="AC27" s="29"/>
      <c r="AD27" s="30">
        <v>4567</v>
      </c>
      <c r="AE27" s="30">
        <v>4774.3900000000003</v>
      </c>
      <c r="AF27" s="29">
        <f t="shared" ref="AF27:AF32" si="6">AE27-AD27</f>
        <v>207.39000000000033</v>
      </c>
      <c r="AG27" s="29"/>
      <c r="AH27" s="29"/>
      <c r="AI27" s="30">
        <v>5700</v>
      </c>
      <c r="AJ27" s="30">
        <v>5794.46</v>
      </c>
      <c r="AK27" s="29">
        <f>AJ27-AI27</f>
        <v>94.460000000000036</v>
      </c>
      <c r="AL27" s="29"/>
      <c r="AM27" s="29"/>
      <c r="AN27" s="33"/>
      <c r="AO27" s="33"/>
      <c r="AP27" s="34"/>
    </row>
    <row r="28" spans="1:42" x14ac:dyDescent="0.25">
      <c r="A28" s="14" t="s">
        <v>908</v>
      </c>
      <c r="B28" s="23">
        <v>1</v>
      </c>
      <c r="C28" s="24">
        <f>断面设计!D14</f>
        <v>1</v>
      </c>
      <c r="D28" s="25">
        <f>断面设计!C14</f>
        <v>1.22814064333749</v>
      </c>
      <c r="E28" s="25">
        <f>断面设计!O14</f>
        <v>1.3625695974033201</v>
      </c>
      <c r="F28" s="24">
        <f>断面设计!AD14</f>
        <v>2</v>
      </c>
      <c r="G28" s="13">
        <v>5000</v>
      </c>
      <c r="I28" s="13"/>
      <c r="J28" s="27">
        <v>5251</v>
      </c>
      <c r="K28" s="27">
        <v>5460</v>
      </c>
      <c r="L28" s="13">
        <f t="shared" si="5"/>
        <v>209</v>
      </c>
      <c r="M28" s="13"/>
      <c r="N28" s="13"/>
      <c r="O28" s="27">
        <v>9206</v>
      </c>
      <c r="P28" s="27">
        <v>9260</v>
      </c>
      <c r="Q28" s="13">
        <f>P28-O28</f>
        <v>54</v>
      </c>
      <c r="R28" s="13"/>
      <c r="S28" s="13"/>
      <c r="T28" s="27"/>
      <c r="U28" s="27"/>
      <c r="V28" s="13"/>
      <c r="W28" s="17"/>
      <c r="X28" s="13"/>
      <c r="Y28" s="13"/>
      <c r="Z28" s="13"/>
      <c r="AA28" s="13"/>
      <c r="AC28" s="29"/>
      <c r="AD28" s="30">
        <v>5274.86</v>
      </c>
      <c r="AE28" s="30">
        <v>5460</v>
      </c>
      <c r="AF28" s="29">
        <f t="shared" si="6"/>
        <v>185.14000000000033</v>
      </c>
      <c r="AG28" s="29"/>
      <c r="AH28" s="29"/>
      <c r="AI28" s="30">
        <v>9206</v>
      </c>
      <c r="AJ28" s="30">
        <v>9260</v>
      </c>
      <c r="AK28" s="29">
        <f>AJ28-AI28</f>
        <v>54</v>
      </c>
      <c r="AL28" s="29"/>
      <c r="AM28" s="29"/>
      <c r="AN28" s="30"/>
      <c r="AO28" s="30"/>
      <c r="AP28" s="29"/>
    </row>
    <row r="29" spans="1:42" x14ac:dyDescent="0.25">
      <c r="A29" s="14" t="s">
        <v>909</v>
      </c>
      <c r="B29" s="23">
        <v>1</v>
      </c>
      <c r="C29" s="24">
        <f>断面设计!D15</f>
        <v>0.8</v>
      </c>
      <c r="D29" s="25">
        <f>断面设计!C15</f>
        <v>0.999</v>
      </c>
      <c r="E29" s="25">
        <f>断面设计!O15</f>
        <v>1.1079667038621901</v>
      </c>
      <c r="F29" s="24">
        <f>断面设计!AD15</f>
        <v>1.6</v>
      </c>
      <c r="G29" s="13">
        <v>5000</v>
      </c>
      <c r="I29" s="13"/>
      <c r="J29" s="27">
        <v>5510</v>
      </c>
      <c r="K29" s="27">
        <v>5700</v>
      </c>
      <c r="L29" s="13">
        <f t="shared" si="5"/>
        <v>190</v>
      </c>
      <c r="M29" s="13"/>
      <c r="N29" s="13"/>
      <c r="O29" s="27"/>
      <c r="P29" s="27"/>
      <c r="Q29" s="13"/>
      <c r="R29" s="13"/>
      <c r="S29" s="13"/>
      <c r="T29" s="27"/>
      <c r="U29" s="27"/>
      <c r="V29" s="13"/>
      <c r="W29" s="17"/>
      <c r="X29" s="13"/>
      <c r="Y29" s="13"/>
      <c r="Z29" s="13"/>
      <c r="AA29" s="13"/>
      <c r="AC29" s="29"/>
      <c r="AD29" s="30">
        <v>5510</v>
      </c>
      <c r="AE29" s="30">
        <v>5700</v>
      </c>
      <c r="AF29" s="29">
        <f t="shared" si="6"/>
        <v>190</v>
      </c>
      <c r="AG29" s="29"/>
      <c r="AH29" s="29" t="s">
        <v>2</v>
      </c>
      <c r="AI29" s="401" t="s">
        <v>874</v>
      </c>
      <c r="AJ29" s="402"/>
      <c r="AK29" s="402"/>
      <c r="AL29" s="29"/>
      <c r="AM29" s="29"/>
      <c r="AN29" s="30"/>
      <c r="AO29" s="30"/>
      <c r="AP29" s="29"/>
    </row>
    <row r="30" spans="1:42" x14ac:dyDescent="0.25">
      <c r="A30" s="14" t="s">
        <v>910</v>
      </c>
      <c r="B30" s="23">
        <v>1</v>
      </c>
      <c r="C30" s="24">
        <f>断面设计!D16</f>
        <v>0.8</v>
      </c>
      <c r="D30" s="25">
        <f>断面设计!C16</f>
        <v>0.55500000000000005</v>
      </c>
      <c r="E30" s="25">
        <f>断面设计!O16</f>
        <v>0.64571422729322603</v>
      </c>
      <c r="F30" s="24">
        <f>断面设计!AD16</f>
        <v>1</v>
      </c>
      <c r="G30" s="13">
        <v>5000</v>
      </c>
      <c r="I30" s="13"/>
      <c r="J30" s="27">
        <v>6357</v>
      </c>
      <c r="K30" s="27">
        <v>6611</v>
      </c>
      <c r="L30" s="13">
        <f t="shared" si="5"/>
        <v>254</v>
      </c>
      <c r="M30" s="13"/>
      <c r="N30" s="13"/>
      <c r="O30" s="27"/>
      <c r="P30" s="27"/>
      <c r="Q30" s="13"/>
      <c r="R30" s="13"/>
      <c r="S30" s="13"/>
      <c r="T30" s="27"/>
      <c r="U30" s="27"/>
      <c r="V30" s="13"/>
      <c r="W30" s="17"/>
      <c r="X30" s="13"/>
      <c r="Y30" s="13"/>
      <c r="Z30" s="13"/>
      <c r="AA30" s="13"/>
      <c r="AC30" s="29"/>
      <c r="AD30" s="30">
        <v>6421.36</v>
      </c>
      <c r="AE30" s="30">
        <f>6563.27-6</f>
        <v>6557.27</v>
      </c>
      <c r="AF30" s="29">
        <f t="shared" si="6"/>
        <v>135.91000000000076</v>
      </c>
      <c r="AG30" s="29"/>
      <c r="AH30" s="29" t="s">
        <v>895</v>
      </c>
      <c r="AI30" s="30" t="s">
        <v>876</v>
      </c>
      <c r="AJ30" s="30" t="s">
        <v>877</v>
      </c>
      <c r="AK30" s="29" t="s">
        <v>705</v>
      </c>
      <c r="AL30" s="29"/>
      <c r="AM30" s="29"/>
      <c r="AN30" s="30"/>
      <c r="AO30" s="30"/>
      <c r="AP30" s="29"/>
    </row>
    <row r="31" spans="1:42" x14ac:dyDescent="0.25">
      <c r="I31" s="13"/>
      <c r="J31" s="27">
        <v>9260</v>
      </c>
      <c r="K31" s="27">
        <v>9403</v>
      </c>
      <c r="L31" s="13">
        <f t="shared" si="5"/>
        <v>143</v>
      </c>
      <c r="M31" s="13"/>
      <c r="N31" s="13"/>
      <c r="O31" s="27"/>
      <c r="P31" s="27"/>
      <c r="Q31" s="13"/>
      <c r="R31" s="13"/>
      <c r="S31" s="13"/>
      <c r="T31" s="27"/>
      <c r="U31" s="27"/>
      <c r="V31" s="13"/>
      <c r="W31" s="17"/>
      <c r="X31" s="13"/>
      <c r="Y31" s="13"/>
      <c r="Z31" s="13"/>
      <c r="AA31" s="13"/>
      <c r="AC31" s="29"/>
      <c r="AD31" s="30">
        <f>6585.92-4.65</f>
        <v>6581.27</v>
      </c>
      <c r="AE31" s="30">
        <v>6675.66</v>
      </c>
      <c r="AF31" s="29">
        <f t="shared" ref="AF31" si="7">AE31-AD31</f>
        <v>94.389999999999418</v>
      </c>
      <c r="AG31" s="29"/>
      <c r="AH31" s="29"/>
      <c r="AI31" s="30">
        <v>10174.25</v>
      </c>
      <c r="AJ31" s="30">
        <v>10254.25</v>
      </c>
      <c r="AK31" s="29">
        <f>AJ31-AI31</f>
        <v>80</v>
      </c>
      <c r="AL31" s="29"/>
      <c r="AM31" s="29"/>
      <c r="AN31" s="30"/>
      <c r="AO31" s="30"/>
      <c r="AP31" s="29"/>
    </row>
    <row r="32" spans="1:42" x14ac:dyDescent="0.25">
      <c r="I32" s="13"/>
      <c r="J32" s="27"/>
      <c r="K32" s="27"/>
      <c r="L32" s="13"/>
      <c r="M32" s="13"/>
      <c r="N32" s="13"/>
      <c r="O32" s="27"/>
      <c r="P32" s="27"/>
      <c r="Q32" s="13"/>
      <c r="R32" s="13"/>
      <c r="S32" s="13"/>
      <c r="T32" s="27"/>
      <c r="U32" s="27"/>
      <c r="V32" s="13"/>
      <c r="W32" s="17"/>
      <c r="X32" s="13"/>
      <c r="Y32" s="13"/>
      <c r="Z32" s="13"/>
      <c r="AA32" s="13"/>
      <c r="AC32" s="29"/>
      <c r="AD32" s="30">
        <v>9270.56</v>
      </c>
      <c r="AE32" s="30">
        <v>9467</v>
      </c>
      <c r="AF32" s="29">
        <f t="shared" si="6"/>
        <v>196.44000000000051</v>
      </c>
      <c r="AG32" s="29"/>
      <c r="AH32" s="29"/>
      <c r="AI32" s="30">
        <v>10414.25</v>
      </c>
      <c r="AJ32" s="30">
        <v>10734.25</v>
      </c>
      <c r="AK32" s="29">
        <f>AJ32-AI32</f>
        <v>320</v>
      </c>
      <c r="AL32" s="29"/>
      <c r="AM32" s="29"/>
      <c r="AN32" s="30"/>
      <c r="AO32" s="30"/>
      <c r="AP32" s="29"/>
    </row>
    <row r="33" spans="9:42" x14ac:dyDescent="0.25">
      <c r="I33" s="13">
        <v>5</v>
      </c>
      <c r="J33" s="27">
        <v>9403</v>
      </c>
      <c r="K33" s="27">
        <v>9479</v>
      </c>
      <c r="L33" s="13">
        <f t="shared" si="5"/>
        <v>76</v>
      </c>
      <c r="M33" s="13"/>
      <c r="N33" s="13"/>
      <c r="O33" s="27">
        <v>10110</v>
      </c>
      <c r="P33" s="27">
        <v>10190</v>
      </c>
      <c r="Q33" s="13">
        <f>P33-O33</f>
        <v>80</v>
      </c>
      <c r="R33" s="13"/>
      <c r="S33" s="13"/>
      <c r="T33" s="27">
        <v>10230</v>
      </c>
      <c r="U33" s="27">
        <v>10350</v>
      </c>
      <c r="V33" s="13">
        <f>U33-T33</f>
        <v>120</v>
      </c>
      <c r="W33" s="17"/>
      <c r="X33" s="13"/>
      <c r="Y33" s="13"/>
      <c r="Z33" s="13"/>
      <c r="AA33" s="13"/>
      <c r="AC33" s="29" t="s">
        <v>2</v>
      </c>
      <c r="AD33" s="401" t="s">
        <v>873</v>
      </c>
      <c r="AE33" s="402"/>
      <c r="AF33" s="402"/>
      <c r="AG33" s="29"/>
      <c r="AH33" s="29" t="s">
        <v>2</v>
      </c>
      <c r="AI33" s="401" t="s">
        <v>874</v>
      </c>
      <c r="AJ33" s="402"/>
      <c r="AK33" s="402"/>
      <c r="AL33" s="29"/>
      <c r="AM33" s="29"/>
      <c r="AN33" s="33"/>
      <c r="AO33" s="33"/>
      <c r="AP33" s="34"/>
    </row>
    <row r="34" spans="9:42" x14ac:dyDescent="0.25">
      <c r="I34" s="13"/>
      <c r="J34" s="27">
        <v>10096</v>
      </c>
      <c r="K34" s="27">
        <v>10110</v>
      </c>
      <c r="L34" s="13">
        <f t="shared" si="5"/>
        <v>14</v>
      </c>
      <c r="M34" s="13"/>
      <c r="N34" s="13"/>
      <c r="O34" s="27">
        <v>10350</v>
      </c>
      <c r="P34" s="27">
        <v>10670</v>
      </c>
      <c r="Q34" s="13">
        <f>P34-O34</f>
        <v>320</v>
      </c>
      <c r="R34" s="13"/>
      <c r="S34" s="13"/>
      <c r="T34" s="27">
        <v>10670</v>
      </c>
      <c r="U34" s="27">
        <v>10710</v>
      </c>
      <c r="V34" s="13">
        <f>U34-T34</f>
        <v>40</v>
      </c>
      <c r="W34" s="17"/>
      <c r="X34" s="13"/>
      <c r="Y34" s="13"/>
      <c r="Z34" s="13"/>
      <c r="AA34" s="13"/>
      <c r="AC34" s="29" t="s">
        <v>895</v>
      </c>
      <c r="AD34" s="30" t="s">
        <v>876</v>
      </c>
      <c r="AE34" s="30" t="s">
        <v>877</v>
      </c>
      <c r="AF34" s="29" t="s">
        <v>705</v>
      </c>
      <c r="AG34" s="29"/>
      <c r="AH34" s="29" t="s">
        <v>906</v>
      </c>
      <c r="AI34" s="30" t="s">
        <v>876</v>
      </c>
      <c r="AJ34" s="30" t="s">
        <v>877</v>
      </c>
      <c r="AK34" s="29" t="s">
        <v>705</v>
      </c>
      <c r="AL34" s="29"/>
      <c r="AM34" s="29"/>
      <c r="AN34" s="33"/>
      <c r="AO34" s="33"/>
      <c r="AP34" s="34"/>
    </row>
    <row r="35" spans="9:42" x14ac:dyDescent="0.25">
      <c r="I35" s="13"/>
      <c r="J35" s="27">
        <v>10190</v>
      </c>
      <c r="K35" s="27">
        <v>10230</v>
      </c>
      <c r="L35" s="13">
        <f t="shared" si="5"/>
        <v>40</v>
      </c>
      <c r="M35" s="13"/>
      <c r="N35" s="13"/>
      <c r="O35" s="27"/>
      <c r="P35" s="27"/>
      <c r="Q35" s="13"/>
      <c r="R35" s="13"/>
      <c r="S35" s="13"/>
      <c r="T35" s="27"/>
      <c r="U35" s="27"/>
      <c r="V35" s="13"/>
      <c r="W35" s="17"/>
      <c r="X35" s="24">
        <f>(3.2803*2+1.2724)*0.4*(AF35+AF36+AF37+AF38)</f>
        <v>649.66902000000698</v>
      </c>
      <c r="Y35" s="24">
        <f>(3.2803*2+1.2724)*(AF35+AF36+AF37+AF38+AK31+AK32+AP17+AP18)</f>
        <v>6010.6525500000171</v>
      </c>
      <c r="Z35" s="24">
        <f>(3.5927*2+1.5724)*(AK31+AK32+AP17+AP18)</f>
        <v>4904.3679999999995</v>
      </c>
      <c r="AA35" s="24">
        <f>(0.64+0.12)*((AF35+AF36+AF37+AF38+AK31+AK32+AP17+AP18)/5+1)</f>
        <v>117.39720000000032</v>
      </c>
      <c r="AC35" s="29"/>
      <c r="AD35" s="30">
        <v>9467</v>
      </c>
      <c r="AE35" s="30">
        <f>9542.87-5</f>
        <v>9537.8700000000008</v>
      </c>
      <c r="AF35" s="29">
        <f t="shared" ref="AF35:AF38" si="8">AE35-AD35</f>
        <v>70.8700000000008</v>
      </c>
      <c r="AG35" s="29"/>
      <c r="AH35" s="29"/>
      <c r="AI35" s="30">
        <f>11499.53+6</f>
        <v>11505.53</v>
      </c>
      <c r="AJ35" s="30">
        <f>11510.53-4.5</f>
        <v>11506.03</v>
      </c>
      <c r="AK35" s="29">
        <f>AJ35-AI35</f>
        <v>0.5</v>
      </c>
      <c r="AL35" s="29"/>
      <c r="AM35" s="29"/>
      <c r="AN35" s="30"/>
      <c r="AO35" s="30"/>
      <c r="AP35" s="29"/>
    </row>
    <row r="36" spans="9:42" x14ac:dyDescent="0.25">
      <c r="I36" s="13"/>
      <c r="J36" s="27">
        <v>10710</v>
      </c>
      <c r="K36" s="27">
        <v>10798</v>
      </c>
      <c r="L36" s="13">
        <f t="shared" si="5"/>
        <v>88</v>
      </c>
      <c r="M36" s="13"/>
      <c r="N36" s="13"/>
      <c r="O36" s="27"/>
      <c r="P36" s="27"/>
      <c r="Q36" s="13"/>
      <c r="R36" s="13"/>
      <c r="S36" s="13"/>
      <c r="T36" s="27"/>
      <c r="U36" s="27"/>
      <c r="V36" s="13"/>
      <c r="W36" s="17"/>
      <c r="X36" s="13"/>
      <c r="Y36" s="13"/>
      <c r="Z36" s="13"/>
      <c r="AA36" s="13"/>
      <c r="AC36" s="29"/>
      <c r="AD36" s="30">
        <f>10160.64+5.5</f>
        <v>10166.14</v>
      </c>
      <c r="AE36" s="30">
        <v>10174.25</v>
      </c>
      <c r="AF36" s="29">
        <f t="shared" si="8"/>
        <v>8.1100000000005821</v>
      </c>
      <c r="AG36" s="29"/>
      <c r="AH36" s="29" t="s">
        <v>2</v>
      </c>
      <c r="AI36" s="401" t="s">
        <v>874</v>
      </c>
      <c r="AJ36" s="402"/>
      <c r="AK36" s="402"/>
      <c r="AL36" s="29"/>
      <c r="AM36" s="29"/>
      <c r="AN36" s="30"/>
      <c r="AO36" s="30"/>
      <c r="AP36" s="29"/>
    </row>
    <row r="37" spans="9:42" x14ac:dyDescent="0.25">
      <c r="I37" s="13"/>
      <c r="J37" s="27"/>
      <c r="K37" s="27"/>
      <c r="L37" s="13"/>
      <c r="M37" s="13"/>
      <c r="N37" s="13"/>
      <c r="O37" s="27"/>
      <c r="P37" s="27"/>
      <c r="Q37" s="13"/>
      <c r="R37" s="13"/>
      <c r="S37" s="13"/>
      <c r="T37" s="27"/>
      <c r="U37" s="27"/>
      <c r="V37" s="13"/>
      <c r="W37" s="17"/>
      <c r="X37" s="13"/>
      <c r="Y37" s="13"/>
      <c r="Z37" s="13"/>
      <c r="AA37" s="13"/>
      <c r="AC37" s="29"/>
      <c r="AD37" s="30">
        <v>10254.25</v>
      </c>
      <c r="AE37" s="30">
        <v>10294.25</v>
      </c>
      <c r="AF37" s="29">
        <f t="shared" si="8"/>
        <v>40</v>
      </c>
      <c r="AG37" s="29"/>
      <c r="AH37" s="29" t="s">
        <v>909</v>
      </c>
      <c r="AI37" s="30" t="s">
        <v>876</v>
      </c>
      <c r="AJ37" s="30" t="s">
        <v>877</v>
      </c>
      <c r="AK37" s="29" t="s">
        <v>705</v>
      </c>
      <c r="AL37" s="29"/>
      <c r="AM37" s="29"/>
      <c r="AN37" s="30"/>
      <c r="AO37" s="30"/>
      <c r="AP37" s="29"/>
    </row>
    <row r="38" spans="9:42" x14ac:dyDescent="0.25">
      <c r="I38" s="13">
        <v>6</v>
      </c>
      <c r="J38" s="27">
        <v>10798</v>
      </c>
      <c r="K38" s="27">
        <v>11029</v>
      </c>
      <c r="L38" s="13">
        <f t="shared" si="5"/>
        <v>231</v>
      </c>
      <c r="M38" s="13"/>
      <c r="N38" s="13"/>
      <c r="O38" s="27">
        <v>11415</v>
      </c>
      <c r="P38" s="27">
        <v>11420</v>
      </c>
      <c r="Q38" s="13">
        <f>P38-O38</f>
        <v>5</v>
      </c>
      <c r="R38" s="13"/>
      <c r="S38" s="13"/>
      <c r="T38" s="27"/>
      <c r="U38" s="27"/>
      <c r="V38" s="13"/>
      <c r="W38" s="17"/>
      <c r="X38" s="13"/>
      <c r="Y38" s="13"/>
      <c r="Z38" s="13"/>
      <c r="AA38" s="13"/>
      <c r="AC38" s="29"/>
      <c r="AD38" s="30">
        <v>10774.25</v>
      </c>
      <c r="AE38" s="30">
        <v>10862.62</v>
      </c>
      <c r="AF38" s="29">
        <f t="shared" si="8"/>
        <v>88.3700000000008</v>
      </c>
      <c r="AG38" s="29"/>
      <c r="AH38" s="29"/>
      <c r="AI38" s="30">
        <v>20456.11</v>
      </c>
      <c r="AJ38" s="30">
        <f>20480.27-9.32</f>
        <v>20470.95</v>
      </c>
      <c r="AK38" s="29">
        <f t="shared" ref="AK38" si="9">AJ38-AI38</f>
        <v>14.840000000000146</v>
      </c>
      <c r="AL38" s="29"/>
      <c r="AM38" s="29"/>
      <c r="AN38" s="30"/>
      <c r="AO38" s="30"/>
      <c r="AP38" s="29"/>
    </row>
    <row r="39" spans="9:42" x14ac:dyDescent="0.25">
      <c r="I39" s="13"/>
      <c r="J39" s="27">
        <v>11143</v>
      </c>
      <c r="K39" s="27">
        <v>11155</v>
      </c>
      <c r="L39" s="13">
        <f t="shared" si="5"/>
        <v>12</v>
      </c>
      <c r="M39" s="13"/>
      <c r="N39" s="13"/>
      <c r="O39" s="27"/>
      <c r="P39" s="27"/>
      <c r="Q39" s="13"/>
      <c r="R39" s="13"/>
      <c r="S39" s="13"/>
      <c r="T39" s="27"/>
      <c r="U39" s="27"/>
      <c r="V39" s="13"/>
      <c r="W39" s="17"/>
      <c r="X39" s="13"/>
      <c r="Y39" s="13"/>
      <c r="Z39" s="13"/>
      <c r="AA39" s="13"/>
      <c r="AC39" s="29" t="s">
        <v>2</v>
      </c>
      <c r="AD39" s="401" t="s">
        <v>873</v>
      </c>
      <c r="AE39" s="402"/>
      <c r="AF39" s="402"/>
      <c r="AG39" s="29"/>
      <c r="AH39" s="29"/>
      <c r="AI39" s="29"/>
      <c r="AJ39" s="29"/>
      <c r="AK39" s="29"/>
      <c r="AL39" s="29"/>
      <c r="AM39" s="29"/>
      <c r="AN39" s="30"/>
      <c r="AO39" s="30"/>
      <c r="AP39" s="29"/>
    </row>
    <row r="40" spans="9:42" x14ac:dyDescent="0.25">
      <c r="I40" s="13"/>
      <c r="J40" s="27">
        <v>11250</v>
      </c>
      <c r="K40" s="27">
        <v>11265</v>
      </c>
      <c r="L40" s="13">
        <f t="shared" si="5"/>
        <v>15</v>
      </c>
      <c r="M40" s="13"/>
      <c r="N40" s="13"/>
      <c r="O40" s="27"/>
      <c r="P40" s="27"/>
      <c r="Q40" s="13"/>
      <c r="R40" s="13"/>
      <c r="S40" s="13"/>
      <c r="T40" s="27"/>
      <c r="U40" s="27"/>
      <c r="V40" s="13"/>
      <c r="W40" s="17"/>
      <c r="X40" s="13"/>
      <c r="Y40" s="13"/>
      <c r="Z40" s="13"/>
      <c r="AA40" s="13"/>
      <c r="AC40" s="29" t="s">
        <v>906</v>
      </c>
      <c r="AD40" s="30" t="s">
        <v>876</v>
      </c>
      <c r="AE40" s="30" t="s">
        <v>877</v>
      </c>
      <c r="AF40" s="29" t="s">
        <v>705</v>
      </c>
      <c r="AG40" s="29"/>
      <c r="AH40" s="29"/>
      <c r="AI40" s="29"/>
      <c r="AJ40" s="29"/>
      <c r="AK40" s="29"/>
      <c r="AL40" s="29"/>
      <c r="AM40" s="29"/>
      <c r="AN40" s="30"/>
      <c r="AO40" s="30"/>
      <c r="AP40" s="29"/>
    </row>
    <row r="41" spans="9:42" x14ac:dyDescent="0.25">
      <c r="I41" s="13"/>
      <c r="J41" s="27">
        <v>11420</v>
      </c>
      <c r="K41" s="27">
        <v>11426</v>
      </c>
      <c r="L41" s="13">
        <f t="shared" si="5"/>
        <v>6</v>
      </c>
      <c r="M41" s="13"/>
      <c r="N41" s="13"/>
      <c r="O41" s="27"/>
      <c r="P41" s="27"/>
      <c r="Q41" s="13"/>
      <c r="R41" s="13"/>
      <c r="S41" s="13"/>
      <c r="T41" s="27"/>
      <c r="U41" s="27"/>
      <c r="V41" s="13"/>
      <c r="W41" s="17"/>
      <c r="X41" s="24">
        <f>(3.1241*2+1.2724)*0.4*(AF41+AF42+AF43+AF44+AF45+AF46)</f>
        <v>1195.0233399999947</v>
      </c>
      <c r="Y41" s="24">
        <f>(3.1241*2+1.2724)*(AF41+AF42+AF43+AF44+AF45+AF46+AK35)</f>
        <v>2991.3186499999865</v>
      </c>
      <c r="Z41" s="24">
        <f>(3.5927*2+1.5724)*(AK35)</f>
        <v>4.3788999999999998</v>
      </c>
      <c r="AA41" s="24">
        <f>(0.61+0.12)*((AF41+AF42+AF43+AF44+AF45+AF46+AK35)/5+1)</f>
        <v>58.801499999999734</v>
      </c>
      <c r="AC41" s="29"/>
      <c r="AD41" s="30">
        <v>10862.62</v>
      </c>
      <c r="AE41" s="30">
        <f>11114.11-6</f>
        <v>11108.11</v>
      </c>
      <c r="AF41" s="29">
        <f t="shared" ref="AF41:AF46" si="10">AE41-AD41</f>
        <v>245.48999999999978</v>
      </c>
      <c r="AG41" s="29"/>
      <c r="AH41" s="29"/>
      <c r="AI41" s="29"/>
      <c r="AJ41" s="29"/>
      <c r="AK41" s="29"/>
      <c r="AL41" s="29"/>
      <c r="AM41" s="29"/>
      <c r="AN41" s="30"/>
      <c r="AO41" s="30"/>
      <c r="AP41" s="29"/>
    </row>
    <row r="42" spans="9:42" x14ac:dyDescent="0.25">
      <c r="I42" s="13"/>
      <c r="J42" s="27">
        <v>11578</v>
      </c>
      <c r="K42" s="27">
        <v>11623</v>
      </c>
      <c r="L42" s="13">
        <f t="shared" si="5"/>
        <v>45</v>
      </c>
      <c r="M42" s="13"/>
      <c r="N42" s="13"/>
      <c r="O42" s="27"/>
      <c r="P42" s="27"/>
      <c r="Q42" s="13"/>
      <c r="R42" s="13"/>
      <c r="S42" s="13"/>
      <c r="T42" s="27"/>
      <c r="U42" s="27"/>
      <c r="V42" s="13"/>
      <c r="W42" s="17"/>
      <c r="X42" s="13"/>
      <c r="Y42" s="13"/>
      <c r="Z42" s="13"/>
      <c r="AA42" s="13"/>
      <c r="AC42" s="29"/>
      <c r="AD42" s="30">
        <f>11228.11+6</f>
        <v>11234.11</v>
      </c>
      <c r="AE42" s="30">
        <f>11239.43-4.5</f>
        <v>11234.93</v>
      </c>
      <c r="AF42" s="29">
        <f t="shared" si="10"/>
        <v>0.81999999999970896</v>
      </c>
      <c r="AG42" s="29"/>
      <c r="AH42" s="29"/>
      <c r="AI42" s="29"/>
      <c r="AJ42" s="29"/>
      <c r="AK42" s="29"/>
      <c r="AL42" s="29"/>
      <c r="AM42" s="29"/>
      <c r="AN42" s="30"/>
      <c r="AO42" s="30"/>
      <c r="AP42" s="29"/>
    </row>
    <row r="43" spans="9:42" x14ac:dyDescent="0.25">
      <c r="I43" s="13"/>
      <c r="J43" s="27">
        <v>12229</v>
      </c>
      <c r="K43" s="27">
        <v>12255</v>
      </c>
      <c r="L43" s="13">
        <f t="shared" si="5"/>
        <v>26</v>
      </c>
      <c r="M43" s="13"/>
      <c r="N43" s="13"/>
      <c r="O43" s="27"/>
      <c r="P43" s="27"/>
      <c r="Q43" s="13"/>
      <c r="R43" s="13"/>
      <c r="S43" s="13"/>
      <c r="T43" s="27"/>
      <c r="U43" s="27"/>
      <c r="V43" s="13"/>
      <c r="W43" s="17"/>
      <c r="X43" s="13"/>
      <c r="Y43" s="13"/>
      <c r="Z43" s="13"/>
      <c r="AA43" s="13"/>
      <c r="AC43" s="29"/>
      <c r="AD43" s="30">
        <f>11334.87+5</f>
        <v>11339.87</v>
      </c>
      <c r="AE43" s="30">
        <f>11349.53-6</f>
        <v>11343.53</v>
      </c>
      <c r="AF43" s="29">
        <f t="shared" si="10"/>
        <v>3.6599999999998545</v>
      </c>
      <c r="AG43" s="29"/>
      <c r="AH43" s="29"/>
      <c r="AI43" s="29"/>
      <c r="AJ43" s="29"/>
      <c r="AK43" s="29"/>
      <c r="AL43" s="29"/>
      <c r="AM43" s="29"/>
      <c r="AN43" s="30"/>
      <c r="AO43" s="30"/>
      <c r="AP43" s="29"/>
    </row>
    <row r="44" spans="9:42" x14ac:dyDescent="0.25">
      <c r="I44" s="13"/>
      <c r="J44" s="27">
        <v>13807</v>
      </c>
      <c r="K44" s="27">
        <v>13898</v>
      </c>
      <c r="L44" s="13">
        <f t="shared" si="5"/>
        <v>91</v>
      </c>
      <c r="M44" s="13"/>
      <c r="N44" s="13"/>
      <c r="O44" s="27"/>
      <c r="P44" s="27"/>
      <c r="Q44" s="13"/>
      <c r="R44" s="13"/>
      <c r="S44" s="13"/>
      <c r="T44" s="27"/>
      <c r="U44" s="27"/>
      <c r="V44" s="13"/>
      <c r="W44" s="17"/>
      <c r="X44" s="13"/>
      <c r="Y44" s="13"/>
      <c r="Z44" s="13"/>
      <c r="AA44" s="13"/>
      <c r="AC44" s="29"/>
      <c r="AD44" s="30">
        <f>11663.28+5</f>
        <v>11668.28</v>
      </c>
      <c r="AE44" s="30">
        <v>11707.66</v>
      </c>
      <c r="AF44" s="29">
        <f t="shared" si="10"/>
        <v>39.3799999999992</v>
      </c>
      <c r="AG44" s="29"/>
      <c r="AH44" s="29"/>
      <c r="AI44" s="29"/>
      <c r="AJ44" s="29"/>
      <c r="AK44" s="29"/>
      <c r="AL44" s="29"/>
      <c r="AM44" s="29"/>
      <c r="AN44" s="30"/>
      <c r="AO44" s="30"/>
      <c r="AP44" s="29"/>
    </row>
    <row r="45" spans="9:42" x14ac:dyDescent="0.25">
      <c r="I45" s="13"/>
      <c r="J45" s="27"/>
      <c r="K45" s="27"/>
      <c r="L45" s="13"/>
      <c r="M45" s="13"/>
      <c r="N45" s="13"/>
      <c r="O45" s="27"/>
      <c r="P45" s="27"/>
      <c r="Q45" s="13"/>
      <c r="R45" s="13"/>
      <c r="S45" s="13"/>
      <c r="T45" s="27"/>
      <c r="U45" s="27"/>
      <c r="V45" s="13"/>
      <c r="W45" s="17"/>
      <c r="X45" s="13"/>
      <c r="Y45" s="13"/>
      <c r="Z45" s="13"/>
      <c r="AA45" s="13"/>
      <c r="AC45" s="29"/>
      <c r="AD45" s="30">
        <v>12314.24</v>
      </c>
      <c r="AE45" s="30">
        <f>12340.16-4.5</f>
        <v>12335.66</v>
      </c>
      <c r="AF45" s="29">
        <f t="shared" si="10"/>
        <v>21.420000000000073</v>
      </c>
      <c r="AG45" s="29"/>
      <c r="AH45" s="29"/>
      <c r="AI45" s="29"/>
      <c r="AJ45" s="29"/>
      <c r="AK45" s="29"/>
      <c r="AL45" s="29"/>
      <c r="AM45" s="29"/>
      <c r="AN45" s="30"/>
      <c r="AO45" s="30"/>
      <c r="AP45" s="29"/>
    </row>
    <row r="46" spans="9:42" x14ac:dyDescent="0.25">
      <c r="I46" s="13">
        <v>7</v>
      </c>
      <c r="J46" s="27">
        <v>13898</v>
      </c>
      <c r="K46" s="27">
        <v>13978</v>
      </c>
      <c r="L46" s="13">
        <f t="shared" si="5"/>
        <v>80</v>
      </c>
      <c r="M46" s="13"/>
      <c r="N46" s="13"/>
      <c r="O46" s="27"/>
      <c r="P46" s="27"/>
      <c r="Q46" s="13"/>
      <c r="R46" s="13"/>
      <c r="S46" s="13"/>
      <c r="T46" s="27"/>
      <c r="U46" s="27"/>
      <c r="V46" s="13"/>
      <c r="W46" s="17"/>
      <c r="X46" s="13"/>
      <c r="Y46" s="13"/>
      <c r="Z46" s="13"/>
      <c r="AA46" s="13"/>
      <c r="AC46" s="29"/>
      <c r="AD46" s="30">
        <f>13891.52+5</f>
        <v>13896.52</v>
      </c>
      <c r="AE46" s="30">
        <v>13983</v>
      </c>
      <c r="AF46" s="29">
        <f t="shared" si="10"/>
        <v>86.479999999999563</v>
      </c>
      <c r="AG46" s="29"/>
      <c r="AH46" s="29"/>
      <c r="AI46" s="30"/>
      <c r="AJ46" s="30"/>
      <c r="AK46" s="29"/>
      <c r="AL46" s="29"/>
      <c r="AM46" s="29"/>
      <c r="AN46" s="30"/>
      <c r="AO46" s="30"/>
      <c r="AP46" s="29"/>
    </row>
    <row r="47" spans="9:42" x14ac:dyDescent="0.25">
      <c r="I47" s="13"/>
      <c r="J47" s="27">
        <v>15353</v>
      </c>
      <c r="K47" s="27">
        <v>15362</v>
      </c>
      <c r="L47" s="13">
        <f t="shared" si="5"/>
        <v>9</v>
      </c>
      <c r="M47" s="13"/>
      <c r="N47" s="13"/>
      <c r="O47" s="27"/>
      <c r="P47" s="27"/>
      <c r="Q47" s="13"/>
      <c r="R47" s="13"/>
      <c r="S47" s="13"/>
      <c r="T47" s="27"/>
      <c r="U47" s="27"/>
      <c r="V47" s="13"/>
      <c r="W47" s="17"/>
      <c r="X47" s="13"/>
      <c r="Y47" s="13"/>
      <c r="Z47" s="13"/>
      <c r="AA47" s="13"/>
      <c r="AC47" s="29" t="s">
        <v>2</v>
      </c>
      <c r="AD47" s="401" t="s">
        <v>873</v>
      </c>
      <c r="AE47" s="402"/>
      <c r="AF47" s="402"/>
      <c r="AG47" s="29"/>
      <c r="AH47" s="29"/>
      <c r="AI47" s="30"/>
      <c r="AJ47" s="30"/>
      <c r="AK47" s="29"/>
      <c r="AL47" s="29"/>
      <c r="AM47" s="29"/>
      <c r="AN47" s="30"/>
      <c r="AO47" s="30"/>
      <c r="AP47" s="29"/>
    </row>
    <row r="48" spans="9:42" x14ac:dyDescent="0.25">
      <c r="I48" s="13"/>
      <c r="J48" s="27">
        <v>15604</v>
      </c>
      <c r="K48" s="27">
        <v>15613</v>
      </c>
      <c r="L48" s="13">
        <f t="shared" si="5"/>
        <v>9</v>
      </c>
      <c r="M48" s="13"/>
      <c r="N48" s="13"/>
      <c r="O48" s="27"/>
      <c r="P48" s="27"/>
      <c r="Q48" s="13"/>
      <c r="R48" s="13"/>
      <c r="S48" s="13"/>
      <c r="T48" s="27"/>
      <c r="U48" s="27"/>
      <c r="V48" s="13"/>
      <c r="W48" s="17"/>
      <c r="X48" s="13"/>
      <c r="Y48" s="13"/>
      <c r="Z48" s="13"/>
      <c r="AA48" s="13"/>
      <c r="AC48" s="29" t="s">
        <v>907</v>
      </c>
      <c r="AD48" s="30" t="s">
        <v>876</v>
      </c>
      <c r="AE48" s="30" t="s">
        <v>877</v>
      </c>
      <c r="AF48" s="29" t="s">
        <v>705</v>
      </c>
      <c r="AG48" s="29"/>
      <c r="AH48" s="29"/>
      <c r="AI48" s="30"/>
      <c r="AJ48" s="30"/>
      <c r="AK48" s="29"/>
      <c r="AL48" s="29"/>
      <c r="AM48" s="29"/>
      <c r="AN48" s="30"/>
      <c r="AO48" s="30"/>
      <c r="AP48" s="29"/>
    </row>
    <row r="49" spans="9:42" x14ac:dyDescent="0.25">
      <c r="I49" s="13"/>
      <c r="J49" s="27">
        <v>15887</v>
      </c>
      <c r="K49" s="27">
        <v>15899</v>
      </c>
      <c r="L49" s="13">
        <f t="shared" si="5"/>
        <v>12</v>
      </c>
      <c r="M49" s="13"/>
      <c r="N49" s="13"/>
      <c r="O49" s="27"/>
      <c r="P49" s="27"/>
      <c r="Q49" s="13"/>
      <c r="R49" s="13"/>
      <c r="S49" s="13"/>
      <c r="T49" s="27"/>
      <c r="U49" s="27"/>
      <c r="V49" s="13"/>
      <c r="W49" s="17"/>
      <c r="X49" s="24">
        <f>(3.1257*2+1.0724)*0.4*(AF49+AF50+AF51+AF52+AF53+AF54)</f>
        <v>249.03849520000065</v>
      </c>
      <c r="Y49" s="24">
        <f>(3.1257*2+1.0724)*(AF49+AF50+AF51+AF52+AF53+AF54)</f>
        <v>622.59623800000168</v>
      </c>
      <c r="Z49" s="24"/>
      <c r="AA49" s="24">
        <f>0.71*((AF49+AF50+AF51+AF52+AF53+AF54)/5+1)</f>
        <v>12.781420000000031</v>
      </c>
      <c r="AC49" s="29"/>
      <c r="AD49" s="30">
        <v>13983</v>
      </c>
      <c r="AE49" s="30">
        <f>14013.86+0.34</f>
        <v>14014.2</v>
      </c>
      <c r="AF49" s="29">
        <f t="shared" ref="AF49:AF54" si="11">AE49-AD49</f>
        <v>31.200000000000728</v>
      </c>
      <c r="AG49" s="29"/>
      <c r="AH49" s="29"/>
      <c r="AI49" s="30"/>
      <c r="AJ49" s="30"/>
      <c r="AK49" s="29"/>
      <c r="AL49" s="29"/>
      <c r="AM49" s="29"/>
      <c r="AN49" s="30"/>
      <c r="AO49" s="30"/>
      <c r="AP49" s="29"/>
    </row>
    <row r="50" spans="9:42" x14ac:dyDescent="0.25">
      <c r="I50" s="13"/>
      <c r="J50" s="27">
        <v>16551</v>
      </c>
      <c r="K50" s="27">
        <v>16577</v>
      </c>
      <c r="L50" s="13">
        <f t="shared" si="5"/>
        <v>26</v>
      </c>
      <c r="M50" s="13"/>
      <c r="N50" s="13"/>
      <c r="O50" s="27"/>
      <c r="P50" s="27"/>
      <c r="Q50" s="13"/>
      <c r="R50" s="13"/>
      <c r="S50" s="13"/>
      <c r="T50" s="27"/>
      <c r="U50" s="27"/>
      <c r="V50" s="13"/>
      <c r="W50" s="17"/>
      <c r="X50" s="13"/>
      <c r="Y50" s="13"/>
      <c r="Z50" s="13"/>
      <c r="AA50" s="13"/>
      <c r="AC50" s="29"/>
      <c r="AD50" s="30">
        <f>14013.86+12.34+12</f>
        <v>14038.2</v>
      </c>
      <c r="AE50" s="30">
        <v>14062.83</v>
      </c>
      <c r="AF50" s="29">
        <f t="shared" ref="AF50" si="12">AE50-AD50</f>
        <v>24.6299999999992</v>
      </c>
      <c r="AG50" s="29"/>
      <c r="AH50" s="29"/>
      <c r="AI50" s="30"/>
      <c r="AJ50" s="30"/>
      <c r="AK50" s="29"/>
      <c r="AL50" s="29"/>
      <c r="AM50" s="29"/>
      <c r="AN50" s="30"/>
      <c r="AO50" s="30"/>
      <c r="AP50" s="29"/>
    </row>
    <row r="51" spans="9:42" x14ac:dyDescent="0.25">
      <c r="I51" s="13"/>
      <c r="J51" s="27"/>
      <c r="K51" s="27"/>
      <c r="L51" s="13"/>
      <c r="M51" s="13"/>
      <c r="N51" s="13"/>
      <c r="O51" s="27"/>
      <c r="P51" s="27"/>
      <c r="Q51" s="13"/>
      <c r="R51" s="13"/>
      <c r="S51" s="13"/>
      <c r="T51" s="27"/>
      <c r="U51" s="27"/>
      <c r="V51" s="13"/>
      <c r="W51" s="17"/>
      <c r="X51" s="13"/>
      <c r="Y51" s="13"/>
      <c r="Z51" s="13"/>
      <c r="AA51" s="13"/>
      <c r="AC51" s="29"/>
      <c r="AD51" s="30">
        <v>15437.51</v>
      </c>
      <c r="AE51" s="30">
        <f>15447.21-4.5</f>
        <v>15442.71</v>
      </c>
      <c r="AF51" s="29">
        <f t="shared" si="11"/>
        <v>5.1999999999989086</v>
      </c>
      <c r="AG51" s="29"/>
      <c r="AH51" s="29"/>
      <c r="AI51" s="30"/>
      <c r="AJ51" s="30"/>
      <c r="AK51" s="29"/>
      <c r="AL51" s="29"/>
      <c r="AM51" s="29"/>
      <c r="AN51" s="30"/>
      <c r="AO51" s="30"/>
      <c r="AP51" s="29"/>
    </row>
    <row r="52" spans="9:42" x14ac:dyDescent="0.25">
      <c r="I52" s="13">
        <v>8</v>
      </c>
      <c r="J52" s="27">
        <v>16577</v>
      </c>
      <c r="K52" s="27">
        <v>16594</v>
      </c>
      <c r="L52" s="13">
        <f t="shared" si="5"/>
        <v>17</v>
      </c>
      <c r="M52" s="13"/>
      <c r="N52" s="13"/>
      <c r="O52" s="27"/>
      <c r="P52" s="27"/>
      <c r="Q52" s="13"/>
      <c r="R52" s="13"/>
      <c r="S52" s="13"/>
      <c r="T52" s="27"/>
      <c r="U52" s="27"/>
      <c r="V52" s="13"/>
      <c r="W52" s="17"/>
      <c r="X52" s="13"/>
      <c r="Y52" s="13"/>
      <c r="Z52" s="13"/>
      <c r="AA52" s="13"/>
      <c r="AC52" s="29"/>
      <c r="AD52" s="30">
        <f>15689.25+5</f>
        <v>15694.25</v>
      </c>
      <c r="AE52" s="30">
        <v>15697.75</v>
      </c>
      <c r="AF52" s="29">
        <f t="shared" si="11"/>
        <v>3.5</v>
      </c>
      <c r="AG52" s="29"/>
      <c r="AH52" s="29"/>
      <c r="AI52" s="30"/>
      <c r="AJ52" s="30"/>
      <c r="AK52" s="29"/>
      <c r="AL52" s="29"/>
      <c r="AM52" s="29"/>
      <c r="AN52" s="30"/>
      <c r="AO52" s="30"/>
      <c r="AP52" s="29"/>
    </row>
    <row r="53" spans="9:42" x14ac:dyDescent="0.25">
      <c r="I53" s="13"/>
      <c r="J53" s="27">
        <v>18238</v>
      </c>
      <c r="K53" s="27">
        <v>18900</v>
      </c>
      <c r="L53" s="13">
        <f t="shared" si="5"/>
        <v>662</v>
      </c>
      <c r="M53" s="13"/>
      <c r="N53" s="13"/>
      <c r="O53" s="27"/>
      <c r="P53" s="27"/>
      <c r="Q53" s="13"/>
      <c r="R53" s="13"/>
      <c r="S53" s="13"/>
      <c r="T53" s="27"/>
      <c r="U53" s="27"/>
      <c r="V53" s="13"/>
      <c r="W53" s="17"/>
      <c r="X53" s="13"/>
      <c r="Y53" s="13"/>
      <c r="Z53" s="13"/>
      <c r="AA53" s="13"/>
      <c r="AC53" s="29"/>
      <c r="AD53" s="30">
        <v>15971.47</v>
      </c>
      <c r="AE53" s="30">
        <f>15983.61-4.5</f>
        <v>15979.11</v>
      </c>
      <c r="AF53" s="29">
        <f t="shared" si="11"/>
        <v>7.6400000000012369</v>
      </c>
      <c r="AG53" s="29"/>
      <c r="AH53" s="29"/>
      <c r="AI53" s="30"/>
      <c r="AJ53" s="30"/>
      <c r="AK53" s="29"/>
      <c r="AL53" s="29"/>
      <c r="AM53" s="29"/>
      <c r="AN53" s="30"/>
      <c r="AO53" s="30"/>
      <c r="AP53" s="29"/>
    </row>
    <row r="54" spans="9:42" x14ac:dyDescent="0.25">
      <c r="I54" s="13"/>
      <c r="J54" s="27"/>
      <c r="K54" s="27"/>
      <c r="L54" s="13"/>
      <c r="M54" s="13"/>
      <c r="N54" s="13"/>
      <c r="O54" s="27"/>
      <c r="P54" s="27"/>
      <c r="Q54" s="13"/>
      <c r="R54" s="13"/>
      <c r="S54" s="13"/>
      <c r="T54" s="27"/>
      <c r="U54" s="27"/>
      <c r="V54" s="13"/>
      <c r="W54" s="17"/>
      <c r="X54" s="13"/>
      <c r="Y54" s="13"/>
      <c r="Z54" s="13"/>
      <c r="AA54" s="13"/>
      <c r="AC54" s="29"/>
      <c r="AD54" s="30">
        <f>16635.95+5</f>
        <v>16640.95</v>
      </c>
      <c r="AE54" s="30">
        <f>16651.79+2</f>
        <v>16653.79</v>
      </c>
      <c r="AF54" s="29">
        <f t="shared" si="11"/>
        <v>12.840000000000146</v>
      </c>
      <c r="AG54" s="29"/>
      <c r="AH54" s="29"/>
      <c r="AI54" s="30"/>
      <c r="AJ54" s="30"/>
      <c r="AK54" s="29"/>
      <c r="AL54" s="29"/>
      <c r="AM54" s="29"/>
      <c r="AN54" s="30"/>
      <c r="AO54" s="30"/>
      <c r="AP54" s="29"/>
    </row>
    <row r="55" spans="9:42" x14ac:dyDescent="0.25">
      <c r="I55" s="13">
        <v>9</v>
      </c>
      <c r="J55" s="27">
        <v>18900</v>
      </c>
      <c r="K55" s="27">
        <v>19160</v>
      </c>
      <c r="L55" s="13">
        <f t="shared" si="5"/>
        <v>260</v>
      </c>
      <c r="M55" s="13"/>
      <c r="N55" s="13"/>
      <c r="O55" s="27">
        <v>20371</v>
      </c>
      <c r="P55" s="27">
        <v>20395</v>
      </c>
      <c r="Q55" s="13">
        <f t="shared" ref="Q55" si="13">P55-O55</f>
        <v>24</v>
      </c>
      <c r="R55" s="13"/>
      <c r="S55" s="13"/>
      <c r="T55" s="27"/>
      <c r="U55" s="27"/>
      <c r="V55" s="13"/>
      <c r="W55" s="17"/>
      <c r="X55" s="13"/>
      <c r="Y55" s="13"/>
      <c r="Z55" s="13"/>
      <c r="AA55" s="13"/>
      <c r="AC55" s="29" t="s">
        <v>2</v>
      </c>
      <c r="AD55" s="401" t="s">
        <v>873</v>
      </c>
      <c r="AE55" s="402"/>
      <c r="AF55" s="402"/>
      <c r="AG55" s="29"/>
      <c r="AH55" s="29"/>
      <c r="AI55" s="30"/>
      <c r="AJ55" s="30"/>
      <c r="AK55" s="29"/>
      <c r="AL55" s="29"/>
      <c r="AM55" s="29"/>
      <c r="AN55" s="30"/>
      <c r="AO55" s="30"/>
      <c r="AP55" s="29"/>
    </row>
    <row r="56" spans="9:42" x14ac:dyDescent="0.25">
      <c r="I56" s="13"/>
      <c r="J56" s="27">
        <v>19402</v>
      </c>
      <c r="K56" s="27">
        <v>19534</v>
      </c>
      <c r="L56" s="13">
        <f t="shared" si="5"/>
        <v>132</v>
      </c>
      <c r="M56" s="13"/>
      <c r="N56" s="13"/>
      <c r="O56" s="27"/>
      <c r="P56" s="27"/>
      <c r="Q56" s="13"/>
      <c r="R56" s="13"/>
      <c r="S56" s="13"/>
      <c r="T56" s="27"/>
      <c r="U56" s="27"/>
      <c r="V56" s="13"/>
      <c r="W56" s="17"/>
      <c r="X56" s="13"/>
      <c r="Y56" s="13"/>
      <c r="Z56" s="13"/>
      <c r="AA56" s="13"/>
      <c r="AC56" s="29" t="s">
        <v>908</v>
      </c>
      <c r="AD56" s="30" t="s">
        <v>876</v>
      </c>
      <c r="AE56" s="30" t="s">
        <v>877</v>
      </c>
      <c r="AF56" s="29" t="s">
        <v>705</v>
      </c>
      <c r="AG56" s="29"/>
      <c r="AH56" s="29"/>
      <c r="AI56" s="30"/>
      <c r="AJ56" s="30"/>
      <c r="AK56" s="29"/>
      <c r="AL56" s="29"/>
      <c r="AM56" s="29"/>
      <c r="AN56" s="30"/>
      <c r="AO56" s="30"/>
      <c r="AP56" s="29"/>
    </row>
    <row r="57" spans="9:42" x14ac:dyDescent="0.25">
      <c r="I57" s="13"/>
      <c r="J57" s="27">
        <v>19917</v>
      </c>
      <c r="K57" s="27">
        <v>19924</v>
      </c>
      <c r="L57" s="13">
        <f t="shared" si="5"/>
        <v>7</v>
      </c>
      <c r="M57" s="13"/>
      <c r="N57" s="13"/>
      <c r="O57" s="27"/>
      <c r="P57" s="27"/>
      <c r="Q57" s="13"/>
      <c r="R57" s="13"/>
      <c r="S57" s="13"/>
      <c r="T57" s="27"/>
      <c r="U57" s="27"/>
      <c r="V57" s="13"/>
      <c r="W57" s="17"/>
      <c r="X57" s="24">
        <f>(2.8117*2+1.0724)*0.4*(AF57+AF58)</f>
        <v>1759.2812752000018</v>
      </c>
      <c r="Y57" s="24">
        <f>(2.8117*2+1.0724)*(AF57+AF58)</f>
        <v>4398.203188000004</v>
      </c>
      <c r="Z57" s="24"/>
      <c r="AA57" s="24">
        <f>0.65*((AF57+AF58)/5+1)</f>
        <v>86.04180000000008</v>
      </c>
      <c r="AC57" s="29"/>
      <c r="AD57" s="30">
        <f>16679.03-7.24</f>
        <v>16671.789999999997</v>
      </c>
      <c r="AE57" s="30">
        <v>16679.03</v>
      </c>
      <c r="AF57" s="29">
        <f t="shared" ref="AF57:AF58" si="14">AE57-AD57</f>
        <v>7.2400000000016007</v>
      </c>
      <c r="AG57" s="29"/>
      <c r="AH57" s="29"/>
      <c r="AI57" s="33"/>
      <c r="AJ57" s="33"/>
      <c r="AK57" s="34"/>
      <c r="AL57" s="29"/>
      <c r="AM57" s="29"/>
      <c r="AN57" s="30"/>
      <c r="AO57" s="30"/>
      <c r="AP57" s="29"/>
    </row>
    <row r="58" spans="9:42" x14ac:dyDescent="0.25">
      <c r="I58" s="13"/>
      <c r="J58" s="27">
        <v>20133</v>
      </c>
      <c r="K58" s="27">
        <v>20140</v>
      </c>
      <c r="L58" s="13">
        <f t="shared" si="5"/>
        <v>7</v>
      </c>
      <c r="M58" s="13"/>
      <c r="N58" s="13"/>
      <c r="O58" s="27"/>
      <c r="P58" s="27"/>
      <c r="Q58" s="13"/>
      <c r="R58" s="13"/>
      <c r="S58" s="13"/>
      <c r="T58" s="27"/>
      <c r="U58" s="27"/>
      <c r="V58" s="13"/>
      <c r="W58" s="17"/>
      <c r="X58" s="13"/>
      <c r="Y58" s="13"/>
      <c r="Z58" s="13"/>
      <c r="AA58" s="13"/>
      <c r="AC58" s="29"/>
      <c r="AD58" s="30">
        <v>18323.189999999999</v>
      </c>
      <c r="AE58" s="30">
        <f>18985.17-12.36</f>
        <v>18972.809999999998</v>
      </c>
      <c r="AF58" s="29">
        <f t="shared" si="14"/>
        <v>649.61999999999898</v>
      </c>
      <c r="AG58" s="29"/>
      <c r="AH58" s="29"/>
      <c r="AI58" s="30"/>
      <c r="AJ58" s="30"/>
      <c r="AK58" s="29"/>
      <c r="AL58" s="29"/>
      <c r="AM58" s="29"/>
      <c r="AN58" s="30"/>
      <c r="AO58" s="30"/>
      <c r="AP58" s="29"/>
    </row>
    <row r="59" spans="9:42" x14ac:dyDescent="0.25">
      <c r="I59" s="13"/>
      <c r="J59" s="27"/>
      <c r="K59" s="27"/>
      <c r="L59" s="13"/>
      <c r="M59" s="13"/>
      <c r="N59" s="13"/>
      <c r="O59" s="27"/>
      <c r="P59" s="27"/>
      <c r="Q59" s="13"/>
      <c r="R59" s="13"/>
      <c r="S59" s="13"/>
      <c r="T59" s="27"/>
      <c r="U59" s="27"/>
      <c r="V59" s="13"/>
      <c r="W59" s="17"/>
      <c r="X59" s="13"/>
      <c r="Y59" s="13"/>
      <c r="Z59" s="13"/>
      <c r="AA59" s="13"/>
      <c r="AC59" s="29" t="s">
        <v>2</v>
      </c>
      <c r="AD59" s="401" t="s">
        <v>873</v>
      </c>
      <c r="AE59" s="402"/>
      <c r="AF59" s="402"/>
      <c r="AG59" s="29"/>
      <c r="AH59" s="29"/>
      <c r="AI59" s="30"/>
      <c r="AJ59" s="30"/>
      <c r="AK59" s="29"/>
      <c r="AL59" s="29"/>
      <c r="AM59" s="29"/>
      <c r="AN59" s="30"/>
      <c r="AO59" s="30"/>
      <c r="AP59" s="29"/>
    </row>
    <row r="60" spans="9:42" x14ac:dyDescent="0.25">
      <c r="I60" s="13">
        <v>10</v>
      </c>
      <c r="J60" s="27">
        <v>20395</v>
      </c>
      <c r="K60" s="27">
        <v>20408</v>
      </c>
      <c r="L60" s="13">
        <f t="shared" si="5"/>
        <v>13</v>
      </c>
      <c r="M60" s="13"/>
      <c r="N60" s="13"/>
      <c r="O60" s="27"/>
      <c r="P60" s="27"/>
      <c r="Q60" s="13"/>
      <c r="R60" s="13"/>
      <c r="S60" s="13"/>
      <c r="T60" s="27"/>
      <c r="U60" s="27"/>
      <c r="V60" s="13"/>
      <c r="W60" s="17"/>
      <c r="X60" s="13"/>
      <c r="Y60" s="13"/>
      <c r="Z60" s="13"/>
      <c r="AA60" s="13"/>
      <c r="AC60" s="29" t="s">
        <v>909</v>
      </c>
      <c r="AD60" s="30" t="s">
        <v>876</v>
      </c>
      <c r="AE60" s="30" t="s">
        <v>877</v>
      </c>
      <c r="AF60" s="29" t="s">
        <v>705</v>
      </c>
      <c r="AG60" s="29"/>
      <c r="AH60" s="29"/>
      <c r="AI60" s="30"/>
      <c r="AJ60" s="30"/>
      <c r="AK60" s="29"/>
      <c r="AL60" s="29"/>
      <c r="AM60" s="29"/>
      <c r="AN60" s="30"/>
      <c r="AO60" s="30"/>
      <c r="AP60" s="29"/>
    </row>
    <row r="61" spans="9:42" x14ac:dyDescent="0.25">
      <c r="I61" s="13"/>
      <c r="J61" s="27">
        <v>20691</v>
      </c>
      <c r="K61" s="27">
        <v>20709</v>
      </c>
      <c r="L61" s="13">
        <f t="shared" si="5"/>
        <v>18</v>
      </c>
      <c r="M61" s="13"/>
      <c r="N61" s="13"/>
      <c r="O61" s="27"/>
      <c r="P61" s="27"/>
      <c r="Q61" s="13"/>
      <c r="R61" s="13"/>
      <c r="S61" s="13"/>
      <c r="T61" s="27"/>
      <c r="U61" s="27"/>
      <c r="V61" s="13"/>
      <c r="W61" s="17"/>
      <c r="X61" s="24">
        <f>(2.1869*2+0.8724)*0.4*(AF61+AF62+AF63+AF64)</f>
        <v>824.28294400000607</v>
      </c>
      <c r="Y61" s="24">
        <f>(2.1869*2+0.8724)*(AF61+AF62+AF63+AF64+AK38)</f>
        <v>2138.5609680000161</v>
      </c>
      <c r="Z61" s="24">
        <f>(3.5927*2+1.5724)*(AK38)</f>
        <v>129.96575200000126</v>
      </c>
      <c r="AA61" s="24">
        <f>0.5*((AF61+AF62+AF63+AF64+AK38)/5+1)</f>
        <v>41.264000000000308</v>
      </c>
      <c r="AC61" s="29"/>
      <c r="AD61" s="30">
        <f>18985.17+5.64</f>
        <v>18990.809999999998</v>
      </c>
      <c r="AE61" s="30">
        <v>19244.400000000001</v>
      </c>
      <c r="AF61" s="29">
        <f t="shared" ref="AF61:AF64" si="15">AE61-AD61</f>
        <v>253.59000000000378</v>
      </c>
      <c r="AG61" s="29"/>
      <c r="AH61" s="29"/>
      <c r="AI61" s="30"/>
      <c r="AJ61" s="30"/>
      <c r="AK61" s="29"/>
      <c r="AL61" s="29"/>
      <c r="AM61" s="29"/>
      <c r="AN61" s="30"/>
      <c r="AO61" s="30"/>
      <c r="AP61" s="29"/>
    </row>
    <row r="62" spans="9:42" x14ac:dyDescent="0.25">
      <c r="I62" s="13"/>
      <c r="J62" s="27">
        <v>21384</v>
      </c>
      <c r="K62" s="27">
        <v>21401</v>
      </c>
      <c r="L62" s="13">
        <f t="shared" si="5"/>
        <v>17</v>
      </c>
      <c r="M62" s="13"/>
      <c r="N62" s="13"/>
      <c r="O62" s="27"/>
      <c r="P62" s="27"/>
      <c r="Q62" s="13"/>
      <c r="R62" s="13"/>
      <c r="S62" s="13"/>
      <c r="T62" s="27"/>
      <c r="U62" s="27"/>
      <c r="V62" s="13"/>
      <c r="W62" s="17"/>
      <c r="X62" s="13"/>
      <c r="Y62" s="13"/>
      <c r="Z62" s="13"/>
      <c r="AA62" s="13"/>
      <c r="AC62" s="29"/>
      <c r="AD62" s="30">
        <v>19487.169999999998</v>
      </c>
      <c r="AE62" s="30">
        <v>19619.37</v>
      </c>
      <c r="AF62" s="29">
        <f t="shared" si="15"/>
        <v>132.20000000000073</v>
      </c>
      <c r="AG62" s="29"/>
      <c r="AH62" s="29"/>
      <c r="AI62" s="30"/>
      <c r="AJ62" s="30"/>
      <c r="AK62" s="29"/>
      <c r="AL62" s="29"/>
      <c r="AM62" s="29"/>
      <c r="AN62" s="30"/>
      <c r="AO62" s="30"/>
      <c r="AP62" s="29"/>
    </row>
    <row r="63" spans="9:42" x14ac:dyDescent="0.25">
      <c r="I63" s="13"/>
      <c r="J63" s="27"/>
      <c r="K63" s="27"/>
      <c r="L63" s="13"/>
      <c r="M63" s="13"/>
      <c r="N63" s="13"/>
      <c r="O63" s="27"/>
      <c r="P63" s="27"/>
      <c r="Q63" s="13"/>
      <c r="R63" s="13"/>
      <c r="S63" s="13"/>
      <c r="T63" s="27"/>
      <c r="U63" s="27"/>
      <c r="V63" s="13"/>
      <c r="W63" s="17"/>
      <c r="X63" s="13"/>
      <c r="Y63" s="13"/>
      <c r="Z63" s="13"/>
      <c r="AA63" s="13"/>
      <c r="AC63" s="29"/>
      <c r="AD63" s="30">
        <v>20002.04</v>
      </c>
      <c r="AE63" s="30">
        <f>20009.05-3</f>
        <v>20006.05</v>
      </c>
      <c r="AF63" s="29">
        <f t="shared" si="15"/>
        <v>4.0099999999983993</v>
      </c>
      <c r="AG63" s="29"/>
      <c r="AH63" s="29"/>
      <c r="AI63" s="30"/>
      <c r="AJ63" s="30"/>
      <c r="AK63" s="29"/>
      <c r="AL63" s="29"/>
      <c r="AM63" s="29"/>
      <c r="AN63" s="30"/>
      <c r="AO63" s="30"/>
      <c r="AP63" s="29"/>
    </row>
    <row r="64" spans="9:42" x14ac:dyDescent="0.25">
      <c r="I64" s="13"/>
      <c r="J64" s="27"/>
      <c r="K64" s="27"/>
      <c r="L64" s="13"/>
      <c r="M64" s="13"/>
      <c r="N64" s="13"/>
      <c r="O64" s="27"/>
      <c r="P64" s="27"/>
      <c r="Q64" s="13"/>
      <c r="R64" s="13"/>
      <c r="S64" s="13"/>
      <c r="T64" s="27"/>
      <c r="U64" s="27"/>
      <c r="V64" s="13"/>
      <c r="W64" s="17"/>
      <c r="X64" s="13"/>
      <c r="Y64" s="13"/>
      <c r="Z64" s="13"/>
      <c r="AA64" s="13"/>
      <c r="AC64" s="29"/>
      <c r="AD64" s="30">
        <f>20218.11+4</f>
        <v>20222.11</v>
      </c>
      <c r="AE64" s="30">
        <v>20225.11</v>
      </c>
      <c r="AF64" s="29">
        <f t="shared" si="15"/>
        <v>3</v>
      </c>
      <c r="AG64" s="29"/>
      <c r="AH64" s="29"/>
      <c r="AI64" s="30"/>
      <c r="AJ64" s="30"/>
      <c r="AK64" s="29"/>
      <c r="AL64" s="29"/>
      <c r="AM64" s="29"/>
      <c r="AN64" s="30"/>
      <c r="AO64" s="30"/>
      <c r="AP64" s="29"/>
    </row>
    <row r="65" spans="10:43" x14ac:dyDescent="0.25">
      <c r="J65" s="1"/>
      <c r="K65" s="1"/>
      <c r="O65" s="1"/>
      <c r="P65" s="1"/>
      <c r="T65" s="1"/>
      <c r="U65" s="1"/>
      <c r="X65" s="13"/>
      <c r="Y65" s="13"/>
      <c r="Z65" s="13"/>
      <c r="AA65" s="13"/>
      <c r="AC65" s="29" t="s">
        <v>2</v>
      </c>
      <c r="AD65" s="401" t="s">
        <v>873</v>
      </c>
      <c r="AE65" s="402"/>
      <c r="AF65" s="402"/>
      <c r="AG65" s="34"/>
      <c r="AH65" s="34"/>
      <c r="AI65" s="30"/>
      <c r="AJ65" s="30"/>
      <c r="AK65" s="29"/>
      <c r="AL65" s="34"/>
      <c r="AM65" s="34"/>
      <c r="AN65" s="34"/>
      <c r="AO65" s="34"/>
      <c r="AP65" s="34"/>
    </row>
    <row r="66" spans="10:43" x14ac:dyDescent="0.25">
      <c r="J66" s="1"/>
      <c r="K66" s="1"/>
      <c r="L66" s="1">
        <f>SUM(L5:L64)</f>
        <v>4545</v>
      </c>
      <c r="O66" s="1"/>
      <c r="P66" s="1"/>
      <c r="Q66" s="1">
        <f>SUM(Q5:Q64)</f>
        <v>1617</v>
      </c>
      <c r="T66" s="1"/>
      <c r="U66" s="1"/>
      <c r="V66" s="1">
        <f>SUM(V5:V64)</f>
        <v>690</v>
      </c>
      <c r="X66" s="13"/>
      <c r="Y66" s="13"/>
      <c r="Z66" s="13"/>
      <c r="AA66" s="13"/>
      <c r="AC66" s="29" t="s">
        <v>910</v>
      </c>
      <c r="AD66" s="30" t="s">
        <v>876</v>
      </c>
      <c r="AE66" s="30" t="s">
        <v>877</v>
      </c>
      <c r="AF66" s="29" t="s">
        <v>705</v>
      </c>
      <c r="AG66" s="34"/>
      <c r="AH66" s="34"/>
      <c r="AI66" s="30"/>
      <c r="AJ66" s="30"/>
      <c r="AK66" s="29"/>
      <c r="AL66" s="34"/>
      <c r="AM66" s="34"/>
      <c r="AN66" s="34"/>
      <c r="AO66" s="34"/>
      <c r="AP66" s="29">
        <f>SUM(AP5:AP64)</f>
        <v>690</v>
      </c>
      <c r="AQ66" s="3">
        <f>AP66/AF75</f>
        <v>0.10085551789308428</v>
      </c>
    </row>
    <row r="67" spans="10:43" x14ac:dyDescent="0.25">
      <c r="J67" s="1"/>
      <c r="K67" s="1"/>
      <c r="O67" s="1"/>
      <c r="P67" s="1"/>
      <c r="T67" s="1"/>
      <c r="U67" s="1"/>
      <c r="X67" s="24">
        <f>(1.2496*2+0.8724)*0.4*(AF67+AF68+AF69+AF70)</f>
        <v>159.84081280000061</v>
      </c>
      <c r="Y67" s="24">
        <f>(1.2496*2+0.8724)*(AF67+AF68+AF69+AF70)</f>
        <v>399.60203200000149</v>
      </c>
      <c r="Z67" s="24"/>
      <c r="AA67" s="24">
        <f>(0.23+0.08)*((AF67+AF68+AF69+AF70)/5+1)</f>
        <v>7.6582400000000268</v>
      </c>
      <c r="AC67" s="29"/>
      <c r="AD67" s="30">
        <f>20480.27+6.69</f>
        <v>20486.96</v>
      </c>
      <c r="AE67" s="30">
        <f>20493.1-2</f>
        <v>20491.099999999999</v>
      </c>
      <c r="AF67" s="29">
        <f t="shared" ref="AF67:AF70" si="16">AE67-AD67</f>
        <v>4.1399999999994179</v>
      </c>
      <c r="AG67" s="34"/>
      <c r="AH67" s="34"/>
      <c r="AI67" s="34"/>
      <c r="AJ67" s="34"/>
      <c r="AK67" s="34"/>
      <c r="AL67" s="34"/>
      <c r="AM67" s="34"/>
      <c r="AN67" s="34"/>
      <c r="AO67" s="34"/>
      <c r="AP67" s="34"/>
    </row>
    <row r="68" spans="10:43" x14ac:dyDescent="0.25">
      <c r="J68" s="1"/>
      <c r="K68" s="1"/>
      <c r="O68" s="1"/>
      <c r="P68" s="1"/>
      <c r="T68" s="1"/>
      <c r="U68" s="1"/>
      <c r="X68" s="13"/>
      <c r="Y68" s="13"/>
      <c r="Z68" s="13"/>
      <c r="AA68" s="13"/>
      <c r="AC68" s="29"/>
      <c r="AD68" s="30">
        <f>20776.28+3</f>
        <v>20779.28</v>
      </c>
      <c r="AE68" s="30">
        <v>20793.66</v>
      </c>
      <c r="AF68" s="29">
        <f t="shared" si="16"/>
        <v>14.380000000001019</v>
      </c>
      <c r="AG68" s="34"/>
      <c r="AH68" s="34"/>
      <c r="AI68" s="34"/>
      <c r="AJ68" s="34"/>
      <c r="AK68" s="29">
        <f>SUM(AK5:AK66)</f>
        <v>1671.8400000000001</v>
      </c>
      <c r="AL68" s="35">
        <f>AK68/AF75</f>
        <v>0.24436853483242615</v>
      </c>
      <c r="AM68" s="34"/>
      <c r="AN68" s="34"/>
      <c r="AO68" s="34"/>
      <c r="AP68" s="34"/>
    </row>
    <row r="69" spans="10:43" x14ac:dyDescent="0.25">
      <c r="X69" s="13"/>
      <c r="Y69" s="13"/>
      <c r="Z69" s="13"/>
      <c r="AA69" s="13"/>
      <c r="AC69" s="29"/>
      <c r="AD69" s="30">
        <v>21468.79</v>
      </c>
      <c r="AE69" s="30">
        <f>21485.79-2</f>
        <v>21483.79</v>
      </c>
      <c r="AF69" s="29">
        <f t="shared" si="16"/>
        <v>15</v>
      </c>
      <c r="AG69" s="34"/>
      <c r="AH69" s="34"/>
      <c r="AI69" s="34"/>
      <c r="AJ69" s="34"/>
      <c r="AK69" s="34"/>
      <c r="AL69" s="34"/>
      <c r="AM69" s="34"/>
      <c r="AN69" s="33"/>
      <c r="AO69" s="33"/>
      <c r="AP69" s="34"/>
    </row>
    <row r="70" spans="10:43" x14ac:dyDescent="0.25">
      <c r="X70" s="13"/>
      <c r="Y70" s="13"/>
      <c r="Z70" s="13"/>
      <c r="AA70" s="13"/>
      <c r="AC70" s="29"/>
      <c r="AD70" s="30">
        <f>21625.67+3</f>
        <v>21628.67</v>
      </c>
      <c r="AE70" s="30">
        <f>21715.67-2</f>
        <v>21713.67</v>
      </c>
      <c r="AF70" s="29">
        <f t="shared" si="16"/>
        <v>85</v>
      </c>
      <c r="AG70" s="34"/>
      <c r="AH70" s="34"/>
      <c r="AI70" s="34"/>
      <c r="AJ70" s="34"/>
      <c r="AK70" s="34"/>
      <c r="AL70" s="34"/>
      <c r="AM70" s="34"/>
      <c r="AN70" s="33"/>
      <c r="AO70" s="33"/>
      <c r="AP70" s="34"/>
    </row>
    <row r="71" spans="10:43" x14ac:dyDescent="0.25">
      <c r="X71" s="13"/>
      <c r="Y71" s="13"/>
      <c r="Z71" s="13"/>
      <c r="AA71" s="13"/>
      <c r="AC71" s="29"/>
      <c r="AD71" s="30"/>
      <c r="AE71" s="30"/>
      <c r="AF71" s="29"/>
      <c r="AG71" s="34"/>
      <c r="AH71" s="34"/>
      <c r="AI71" s="33"/>
      <c r="AJ71" s="33"/>
      <c r="AK71" s="34"/>
      <c r="AL71" s="34"/>
      <c r="AM71" s="34"/>
      <c r="AN71" s="33"/>
      <c r="AO71" s="33"/>
      <c r="AP71" s="34"/>
    </row>
    <row r="72" spans="10:43" x14ac:dyDescent="0.25">
      <c r="X72" s="13"/>
      <c r="Y72" s="13"/>
      <c r="Z72" s="13"/>
      <c r="AA72" s="13"/>
      <c r="AD72" s="1"/>
      <c r="AE72" s="1"/>
    </row>
    <row r="73" spans="10:43" x14ac:dyDescent="0.25">
      <c r="X73" s="13"/>
      <c r="Y73" s="13"/>
      <c r="Z73" s="13"/>
      <c r="AA73" s="13"/>
      <c r="AD73" s="1"/>
      <c r="AE73" s="13"/>
      <c r="AF73" s="13">
        <f>SUM(AF5:AF71)</f>
        <v>4479.6300000000065</v>
      </c>
      <c r="AG73" s="3">
        <f>AF73/AF75</f>
        <v>0.65477594727448962</v>
      </c>
    </row>
    <row r="74" spans="10:43" x14ac:dyDescent="0.25">
      <c r="X74" s="13"/>
      <c r="Y74" s="13"/>
      <c r="Z74" s="13"/>
      <c r="AA74" s="13"/>
      <c r="AD74" s="1"/>
      <c r="AE74" s="13"/>
      <c r="AF74" s="13"/>
    </row>
    <row r="75" spans="10:43" x14ac:dyDescent="0.25">
      <c r="W75" s="14" t="s">
        <v>911</v>
      </c>
      <c r="X75" s="24">
        <f>SUM(X5:X67)</f>
        <v>13574.226783200014</v>
      </c>
      <c r="Y75" s="24">
        <f>SUM(Y5:Y67)</f>
        <v>55057.56508399998</v>
      </c>
      <c r="Z75" s="24">
        <f>SUM(Z5:Z67)</f>
        <v>20684.522351999996</v>
      </c>
      <c r="AA75" s="24">
        <f>SUM(AA5:AA67)</f>
        <v>1043.9039200000007</v>
      </c>
      <c r="AD75" s="1"/>
      <c r="AE75" s="14" t="s">
        <v>912</v>
      </c>
      <c r="AF75" s="13">
        <f>AF73+AK68+AP66</f>
        <v>6841.4700000000066</v>
      </c>
    </row>
    <row r="77" spans="10:43" x14ac:dyDescent="0.25">
      <c r="AF77" s="356">
        <v>7023.46</v>
      </c>
    </row>
    <row r="78" spans="10:43" x14ac:dyDescent="0.25">
      <c r="AG78" s="1">
        <f>AF77-AF75</f>
        <v>181.98999999999342</v>
      </c>
    </row>
    <row r="79" spans="10:43" x14ac:dyDescent="0.25">
      <c r="AI79" s="1"/>
    </row>
    <row r="80" spans="10:43" x14ac:dyDescent="0.25">
      <c r="AI80" s="1"/>
    </row>
    <row r="81" spans="35:35" x14ac:dyDescent="0.25">
      <c r="AI81" s="1"/>
    </row>
    <row r="82" spans="35:35" x14ac:dyDescent="0.25">
      <c r="AI82" s="1"/>
    </row>
  </sheetData>
  <mergeCells count="24">
    <mergeCell ref="J3:L3"/>
    <mergeCell ref="O3:Q3"/>
    <mergeCell ref="T3:V3"/>
    <mergeCell ref="AD3:AF3"/>
    <mergeCell ref="AI3:AK3"/>
    <mergeCell ref="AN3:AP3"/>
    <mergeCell ref="AD6:AF6"/>
    <mergeCell ref="AN6:AP6"/>
    <mergeCell ref="AI7:AK7"/>
    <mergeCell ref="AN12:AP12"/>
    <mergeCell ref="AN15:AP15"/>
    <mergeCell ref="AD17:AF17"/>
    <mergeCell ref="AI20:AK20"/>
    <mergeCell ref="AD25:AF25"/>
    <mergeCell ref="AI25:AK25"/>
    <mergeCell ref="AD47:AF47"/>
    <mergeCell ref="AD55:AF55"/>
    <mergeCell ref="AD59:AF59"/>
    <mergeCell ref="AD65:AF65"/>
    <mergeCell ref="AI29:AK29"/>
    <mergeCell ref="AD33:AF33"/>
    <mergeCell ref="AI33:AK33"/>
    <mergeCell ref="AI36:AK36"/>
    <mergeCell ref="AD39:AF39"/>
  </mergeCells>
  <phoneticPr fontId="3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2:J36"/>
  <sheetViews>
    <sheetView workbookViewId="0">
      <selection activeCell="K19" sqref="K19"/>
    </sheetView>
  </sheetViews>
  <sheetFormatPr defaultColWidth="8.88671875" defaultRowHeight="14.4" x14ac:dyDescent="0.25"/>
  <cols>
    <col min="1" max="1" width="3.5546875" style="1" customWidth="1"/>
    <col min="2" max="2" width="32.21875" style="1" customWidth="1"/>
    <col min="3" max="3" width="5.5546875" style="1" customWidth="1"/>
    <col min="4" max="4" width="11.6640625" style="1" customWidth="1"/>
    <col min="5" max="5" width="13.88671875" style="1" customWidth="1"/>
    <col min="6" max="6" width="18.33203125" style="1" customWidth="1"/>
    <col min="7" max="7" width="16.109375" style="1" customWidth="1"/>
    <col min="8" max="8" width="18.33203125" style="1" customWidth="1"/>
    <col min="9" max="9" width="22.6640625" style="1" customWidth="1"/>
    <col min="10" max="10" width="13.88671875" style="1" customWidth="1"/>
    <col min="11" max="16384" width="8.88671875" style="1"/>
  </cols>
  <sheetData>
    <row r="2" spans="1:10" x14ac:dyDescent="0.25">
      <c r="B2" s="2" t="s">
        <v>913</v>
      </c>
      <c r="C2" s="2" t="s">
        <v>914</v>
      </c>
      <c r="D2" s="2" t="s">
        <v>915</v>
      </c>
      <c r="E2" s="2" t="s">
        <v>916</v>
      </c>
      <c r="F2" s="2" t="s">
        <v>917</v>
      </c>
      <c r="G2" s="2" t="s">
        <v>918</v>
      </c>
      <c r="H2" s="2" t="s">
        <v>919</v>
      </c>
      <c r="I2" s="2" t="s">
        <v>920</v>
      </c>
      <c r="J2" s="2" t="s">
        <v>921</v>
      </c>
    </row>
    <row r="3" spans="1:10" x14ac:dyDescent="0.25">
      <c r="A3" s="1">
        <v>1</v>
      </c>
      <c r="B3" s="2" t="s">
        <v>922</v>
      </c>
      <c r="C3" s="2" t="s">
        <v>923</v>
      </c>
      <c r="D3" s="3">
        <v>162305</v>
      </c>
      <c r="E3" s="3">
        <f>235223.85+22.25*90</f>
        <v>237226.35</v>
      </c>
      <c r="F3" s="3">
        <v>8.34</v>
      </c>
      <c r="G3" s="3">
        <f>D3*F3/10000</f>
        <v>135.36237</v>
      </c>
      <c r="H3" s="3">
        <f>E3*F3/10000</f>
        <v>197.84677590000001</v>
      </c>
      <c r="I3" s="3">
        <f>H3-G3</f>
        <v>62.484405900000013</v>
      </c>
    </row>
    <row r="4" spans="1:10" x14ac:dyDescent="0.25">
      <c r="A4" s="4">
        <v>2</v>
      </c>
      <c r="B4" s="4" t="s">
        <v>924</v>
      </c>
      <c r="C4" s="4" t="s">
        <v>923</v>
      </c>
      <c r="D4" s="5">
        <v>7590</v>
      </c>
      <c r="E4" s="5">
        <f>渠道开挖类型分桩号!X75</f>
        <v>13574.226783200014</v>
      </c>
      <c r="F4" s="5">
        <v>123.55</v>
      </c>
      <c r="G4" s="5">
        <f>D4*F4/10000</f>
        <v>93.774450000000002</v>
      </c>
      <c r="H4" s="5">
        <f t="shared" ref="H4:H20" si="0">E4*F4/10000</f>
        <v>167.70957190643617</v>
      </c>
      <c r="I4" s="5">
        <f t="shared" ref="I4:I20" si="1">H4-G4</f>
        <v>73.935121906436166</v>
      </c>
    </row>
    <row r="5" spans="1:10" x14ac:dyDescent="0.25">
      <c r="A5" s="1">
        <v>3</v>
      </c>
      <c r="B5" s="2" t="s">
        <v>925</v>
      </c>
      <c r="C5" s="2" t="s">
        <v>923</v>
      </c>
      <c r="D5" s="3">
        <v>149648</v>
      </c>
      <c r="E5" s="3">
        <v>88197.55</v>
      </c>
      <c r="F5" s="3">
        <v>16.29</v>
      </c>
      <c r="G5" s="3">
        <f t="shared" ref="G5:G20" si="2">D5*F5/10000</f>
        <v>243.77659199999999</v>
      </c>
      <c r="H5" s="3">
        <f t="shared" si="0"/>
        <v>143.67380894999999</v>
      </c>
      <c r="I5" s="3">
        <f t="shared" si="1"/>
        <v>-100.10278305</v>
      </c>
    </row>
    <row r="6" spans="1:10" x14ac:dyDescent="0.25">
      <c r="A6" s="1">
        <v>4</v>
      </c>
      <c r="B6" s="2" t="s">
        <v>926</v>
      </c>
      <c r="C6" s="2" t="s">
        <v>927</v>
      </c>
      <c r="D6" s="3">
        <v>53470</v>
      </c>
      <c r="E6" s="3">
        <f>渠道开挖类型分桩号!Y75</f>
        <v>55057.56508399998</v>
      </c>
      <c r="F6" s="3">
        <v>12.35</v>
      </c>
      <c r="G6" s="3">
        <f t="shared" si="2"/>
        <v>66.035449999999997</v>
      </c>
      <c r="H6" s="3">
        <f t="shared" si="0"/>
        <v>67.996092878739972</v>
      </c>
      <c r="I6" s="3">
        <f t="shared" si="1"/>
        <v>1.960642878739975</v>
      </c>
    </row>
    <row r="7" spans="1:10" x14ac:dyDescent="0.25">
      <c r="A7" s="1">
        <v>5</v>
      </c>
      <c r="B7" s="2" t="s">
        <v>928</v>
      </c>
      <c r="C7" s="2" t="s">
        <v>923</v>
      </c>
      <c r="D7" s="3">
        <v>5282</v>
      </c>
      <c r="E7" s="3">
        <f>5240+0.3182*85</f>
        <v>5267.0469999999996</v>
      </c>
      <c r="F7" s="3">
        <v>693.28</v>
      </c>
      <c r="G7" s="3">
        <f t="shared" si="2"/>
        <v>366.190496</v>
      </c>
      <c r="H7" s="3">
        <f t="shared" si="0"/>
        <v>365.15383441599994</v>
      </c>
      <c r="I7" s="3">
        <f t="shared" si="1"/>
        <v>-1.0366615840000577</v>
      </c>
    </row>
    <row r="8" spans="1:10" x14ac:dyDescent="0.25">
      <c r="A8" s="1">
        <v>6</v>
      </c>
      <c r="B8" s="2" t="s">
        <v>929</v>
      </c>
      <c r="C8" s="2" t="s">
        <v>923</v>
      </c>
      <c r="D8" s="3">
        <v>1594</v>
      </c>
      <c r="E8" s="3">
        <f>0.5*0.2*2*渠道开挖类型分桩号!AF75</f>
        <v>1368.2940000000015</v>
      </c>
      <c r="F8" s="3">
        <v>530.30999999999995</v>
      </c>
      <c r="G8" s="3">
        <f t="shared" si="2"/>
        <v>84.531413999999984</v>
      </c>
      <c r="H8" s="3">
        <f t="shared" si="0"/>
        <v>72.561999114000074</v>
      </c>
      <c r="I8" s="3">
        <f t="shared" si="1"/>
        <v>-11.96941488599991</v>
      </c>
    </row>
    <row r="9" spans="1:10" x14ac:dyDescent="0.25">
      <c r="A9" s="1">
        <v>7</v>
      </c>
      <c r="B9" s="2" t="s">
        <v>930</v>
      </c>
      <c r="C9" s="2" t="s">
        <v>931</v>
      </c>
      <c r="D9" s="3">
        <v>65</v>
      </c>
      <c r="E9" s="3">
        <f>1.09*2*(渠道开挖类型分桩号!AF75/300+1)</f>
        <v>51.894682000000053</v>
      </c>
      <c r="F9" s="3">
        <v>533.88</v>
      </c>
      <c r="G9" s="3">
        <f t="shared" si="2"/>
        <v>3.4702199999999999</v>
      </c>
      <c r="H9" s="3">
        <f t="shared" si="0"/>
        <v>2.7705532826160026</v>
      </c>
      <c r="I9" s="3">
        <f t="shared" si="1"/>
        <v>-0.69966671738399722</v>
      </c>
    </row>
    <row r="10" spans="1:10" x14ac:dyDescent="0.25">
      <c r="A10" s="1">
        <v>8</v>
      </c>
      <c r="B10" s="2" t="s">
        <v>932</v>
      </c>
      <c r="C10" s="2" t="s">
        <v>931</v>
      </c>
      <c r="D10" s="3">
        <v>3588</v>
      </c>
      <c r="E10" s="3">
        <f>(0.7*0.3*2+0.4*0.3)*2*渠道开挖类型分桩号!AF75</f>
        <v>7388.7876000000078</v>
      </c>
      <c r="F10" s="3">
        <v>300.52999999999997</v>
      </c>
      <c r="G10" s="3">
        <f t="shared" si="2"/>
        <v>107.830164</v>
      </c>
      <c r="H10" s="3">
        <f t="shared" si="0"/>
        <v>222.05523374280023</v>
      </c>
      <c r="I10" s="3">
        <f t="shared" si="1"/>
        <v>114.22506974280023</v>
      </c>
    </row>
    <row r="11" spans="1:10" x14ac:dyDescent="0.25">
      <c r="A11" s="1">
        <v>9</v>
      </c>
      <c r="B11" s="2" t="s">
        <v>933</v>
      </c>
      <c r="C11" s="2" t="s">
        <v>927</v>
      </c>
      <c r="D11" s="3">
        <v>16610</v>
      </c>
      <c r="E11" s="3">
        <f>2.5*渠道开挖类型分桩号!AF75</f>
        <v>17103.675000000017</v>
      </c>
      <c r="F11" s="3">
        <v>31.97</v>
      </c>
      <c r="G11" s="3">
        <f t="shared" si="2"/>
        <v>53.102169999999994</v>
      </c>
      <c r="H11" s="3">
        <f t="shared" si="0"/>
        <v>54.680448975000054</v>
      </c>
      <c r="I11" s="3">
        <f t="shared" si="1"/>
        <v>1.5782789750000603</v>
      </c>
    </row>
    <row r="12" spans="1:10" x14ac:dyDescent="0.25">
      <c r="A12" s="1">
        <v>10</v>
      </c>
      <c r="B12" s="6" t="s">
        <v>934</v>
      </c>
      <c r="C12" s="2" t="s">
        <v>23</v>
      </c>
      <c r="D12" s="3">
        <v>2127</v>
      </c>
      <c r="E12" s="3">
        <f>55525.58/9*3</f>
        <v>18508.526666666668</v>
      </c>
      <c r="F12" s="3">
        <v>30.35</v>
      </c>
      <c r="G12" s="3">
        <f t="shared" si="2"/>
        <v>6.4554450000000001</v>
      </c>
      <c r="H12" s="3">
        <f t="shared" si="0"/>
        <v>56.17337843333334</v>
      </c>
      <c r="I12" s="3">
        <f t="shared" si="1"/>
        <v>49.717933433333343</v>
      </c>
    </row>
    <row r="13" spans="1:10" x14ac:dyDescent="0.25">
      <c r="A13" s="1">
        <v>11</v>
      </c>
      <c r="B13" s="2" t="s">
        <v>935</v>
      </c>
      <c r="C13" s="2" t="s">
        <v>23</v>
      </c>
      <c r="D13" s="3">
        <v>2127</v>
      </c>
      <c r="E13" s="7">
        <f>55525.58/9*3</f>
        <v>18508.526666666668</v>
      </c>
      <c r="F13" s="8" t="s">
        <v>936</v>
      </c>
      <c r="G13" s="8" t="s">
        <v>89</v>
      </c>
      <c r="H13" s="8" t="s">
        <v>89</v>
      </c>
      <c r="I13" s="8" t="s">
        <v>89</v>
      </c>
      <c r="J13" s="2" t="s">
        <v>937</v>
      </c>
    </row>
    <row r="14" spans="1:10" x14ac:dyDescent="0.25">
      <c r="A14" s="1">
        <v>12</v>
      </c>
      <c r="B14" s="2" t="s">
        <v>938</v>
      </c>
      <c r="C14" s="2" t="s">
        <v>931</v>
      </c>
      <c r="D14" s="3">
        <v>624.79999999999995</v>
      </c>
      <c r="E14" s="9">
        <f>11698.632*0.1</f>
        <v>1169.8632</v>
      </c>
      <c r="F14" s="3">
        <v>805.32</v>
      </c>
      <c r="G14" s="3">
        <f t="shared" si="2"/>
        <v>50.316393599999998</v>
      </c>
      <c r="H14" s="3">
        <f t="shared" si="0"/>
        <v>94.211423222400001</v>
      </c>
      <c r="I14" s="3">
        <f t="shared" si="1"/>
        <v>43.895029622400003</v>
      </c>
    </row>
    <row r="15" spans="1:10" x14ac:dyDescent="0.25">
      <c r="A15" s="1">
        <v>13</v>
      </c>
      <c r="B15" s="2" t="s">
        <v>939</v>
      </c>
      <c r="C15" s="2" t="s">
        <v>940</v>
      </c>
      <c r="D15" s="3">
        <v>693</v>
      </c>
      <c r="E15" s="10">
        <f>11698.632/9</f>
        <v>1299.848</v>
      </c>
      <c r="F15" s="3">
        <v>101.82</v>
      </c>
      <c r="G15" s="3">
        <f t="shared" si="2"/>
        <v>7.0561259999999999</v>
      </c>
      <c r="H15" s="3">
        <f t="shared" si="0"/>
        <v>13.235052335999999</v>
      </c>
      <c r="I15" s="3">
        <f t="shared" si="1"/>
        <v>6.1789263359999991</v>
      </c>
    </row>
    <row r="16" spans="1:10" x14ac:dyDescent="0.25">
      <c r="A16" s="1">
        <v>14</v>
      </c>
      <c r="B16" s="2" t="s">
        <v>941</v>
      </c>
      <c r="C16" s="2" t="s">
        <v>942</v>
      </c>
      <c r="D16" s="3">
        <v>13.84</v>
      </c>
      <c r="E16" s="11">
        <f>11698.632*10*1*0.26/1000</f>
        <v>30.416443199999996</v>
      </c>
      <c r="F16" s="3">
        <v>6289.16</v>
      </c>
      <c r="G16" s="3">
        <f t="shared" si="2"/>
        <v>8.7041974399999997</v>
      </c>
      <c r="H16" s="3">
        <f t="shared" si="0"/>
        <v>19.129387791571197</v>
      </c>
      <c r="I16" s="3">
        <f t="shared" si="1"/>
        <v>10.425190351571198</v>
      </c>
    </row>
    <row r="17" spans="1:9" x14ac:dyDescent="0.25">
      <c r="A17" s="1">
        <v>15</v>
      </c>
      <c r="B17" s="2" t="s">
        <v>943</v>
      </c>
      <c r="C17" s="2" t="s">
        <v>23</v>
      </c>
      <c r="D17" s="3">
        <v>3684</v>
      </c>
      <c r="E17" s="3">
        <v>4340.33</v>
      </c>
      <c r="F17" s="3">
        <v>380</v>
      </c>
      <c r="G17" s="3">
        <f t="shared" si="2"/>
        <v>139.99199999999999</v>
      </c>
      <c r="H17" s="3">
        <f t="shared" si="0"/>
        <v>164.93253999999999</v>
      </c>
      <c r="I17" s="3">
        <f t="shared" si="1"/>
        <v>24.940539999999999</v>
      </c>
    </row>
    <row r="18" spans="1:9" x14ac:dyDescent="0.25">
      <c r="A18" s="1">
        <v>16</v>
      </c>
      <c r="B18" s="2" t="s">
        <v>944</v>
      </c>
      <c r="C18" s="2" t="s">
        <v>927</v>
      </c>
      <c r="D18" s="3">
        <v>10563</v>
      </c>
      <c r="E18" s="3">
        <f>渠道开挖类型分桩号!Z75</f>
        <v>20684.522351999996</v>
      </c>
      <c r="F18" s="3">
        <v>30.82</v>
      </c>
      <c r="G18" s="3">
        <f t="shared" si="2"/>
        <v>32.555166</v>
      </c>
      <c r="H18" s="3">
        <f t="shared" si="0"/>
        <v>63.749697888863992</v>
      </c>
      <c r="I18" s="3">
        <f t="shared" si="1"/>
        <v>31.194531888863992</v>
      </c>
    </row>
    <row r="19" spans="1:9" x14ac:dyDescent="0.25">
      <c r="A19" s="1">
        <v>17</v>
      </c>
      <c r="B19" s="2" t="s">
        <v>945</v>
      </c>
      <c r="C19" s="2" t="s">
        <v>927</v>
      </c>
      <c r="D19" s="3">
        <v>2063.6</v>
      </c>
      <c r="E19" s="3">
        <f>渠道开挖类型分桩号!AA75</f>
        <v>1043.9039200000007</v>
      </c>
      <c r="F19" s="3">
        <v>63.41</v>
      </c>
      <c r="G19" s="3">
        <f t="shared" si="2"/>
        <v>13.085287599999999</v>
      </c>
      <c r="H19" s="3">
        <f t="shared" si="0"/>
        <v>6.6193947567200038</v>
      </c>
      <c r="I19" s="3">
        <f t="shared" si="1"/>
        <v>-6.4658928432799954</v>
      </c>
    </row>
    <row r="20" spans="1:9" x14ac:dyDescent="0.25">
      <c r="A20" s="1">
        <v>18</v>
      </c>
      <c r="B20" s="2" t="s">
        <v>946</v>
      </c>
      <c r="C20" s="2" t="s">
        <v>931</v>
      </c>
      <c r="D20" s="3">
        <v>12.38</v>
      </c>
      <c r="E20" s="3">
        <f>0.06*0.02*渠道开挖类型分桩号!AF75*2</f>
        <v>16.419528000000014</v>
      </c>
      <c r="F20" s="3">
        <v>59678.84</v>
      </c>
      <c r="G20" s="3">
        <f t="shared" si="2"/>
        <v>73.882403920000002</v>
      </c>
      <c r="H20" s="3">
        <f t="shared" si="0"/>
        <v>97.989838438752074</v>
      </c>
      <c r="I20" s="3">
        <f t="shared" si="1"/>
        <v>24.107434518752072</v>
      </c>
    </row>
    <row r="21" spans="1:9" x14ac:dyDescent="0.25">
      <c r="D21" s="3"/>
      <c r="E21" s="3"/>
      <c r="F21" s="3"/>
      <c r="G21" s="3"/>
      <c r="H21" s="3"/>
      <c r="I21" s="3"/>
    </row>
    <row r="22" spans="1:9" x14ac:dyDescent="0.25">
      <c r="D22" s="3"/>
      <c r="E22" s="3"/>
      <c r="F22" s="3"/>
      <c r="G22" s="3"/>
      <c r="H22" s="3">
        <v>2</v>
      </c>
      <c r="I22" s="3">
        <v>2</v>
      </c>
    </row>
    <row r="23" spans="1:9" x14ac:dyDescent="0.25">
      <c r="D23" s="3"/>
      <c r="E23" s="3"/>
      <c r="F23" s="3"/>
      <c r="G23" s="3"/>
      <c r="H23" s="3"/>
      <c r="I23" s="3"/>
    </row>
    <row r="24" spans="1:9" x14ac:dyDescent="0.25">
      <c r="D24" s="3"/>
      <c r="E24" s="3"/>
      <c r="F24" s="3"/>
      <c r="G24" s="3"/>
      <c r="H24" s="3"/>
      <c r="I24" s="3"/>
    </row>
    <row r="25" spans="1:9" x14ac:dyDescent="0.25">
      <c r="D25" s="3"/>
      <c r="E25" s="3"/>
      <c r="F25" s="3"/>
      <c r="G25" s="3"/>
      <c r="H25" s="3"/>
      <c r="I25" s="3"/>
    </row>
    <row r="26" spans="1:9" x14ac:dyDescent="0.25">
      <c r="D26" s="3"/>
      <c r="E26" s="3"/>
      <c r="F26" s="3"/>
      <c r="G26" s="3"/>
      <c r="H26" s="3"/>
      <c r="I26" s="3"/>
    </row>
    <row r="27" spans="1:9" x14ac:dyDescent="0.25">
      <c r="D27" s="3"/>
      <c r="E27" s="3"/>
      <c r="F27" s="3"/>
      <c r="G27" s="3"/>
      <c r="H27" s="3"/>
      <c r="I27" s="3"/>
    </row>
    <row r="28" spans="1:9" x14ac:dyDescent="0.25">
      <c r="D28" s="3"/>
      <c r="E28" s="3"/>
      <c r="F28" s="3"/>
      <c r="G28" s="3"/>
      <c r="H28" s="3"/>
      <c r="I28" s="3"/>
    </row>
    <row r="29" spans="1:9" x14ac:dyDescent="0.25">
      <c r="D29" s="3"/>
      <c r="E29" s="3"/>
      <c r="F29" s="3"/>
      <c r="G29" s="3"/>
      <c r="H29" s="3"/>
      <c r="I29" s="3"/>
    </row>
    <row r="30" spans="1:9" x14ac:dyDescent="0.25">
      <c r="D30" s="3"/>
      <c r="E30" s="3"/>
      <c r="F30" s="3"/>
      <c r="G30" s="3"/>
      <c r="H30" s="3"/>
      <c r="I30" s="3"/>
    </row>
    <row r="31" spans="1:9" x14ac:dyDescent="0.25">
      <c r="D31" s="3"/>
      <c r="E31" s="3"/>
      <c r="F31" s="3"/>
      <c r="G31" s="3"/>
      <c r="H31" s="3"/>
      <c r="I31" s="3"/>
    </row>
    <row r="32" spans="1:9" x14ac:dyDescent="0.25">
      <c r="D32" s="3"/>
      <c r="E32" s="3"/>
      <c r="F32" s="3"/>
      <c r="G32" s="3"/>
      <c r="H32" s="3"/>
      <c r="I32" s="3"/>
    </row>
    <row r="33" spans="4:9" x14ac:dyDescent="0.25">
      <c r="D33" s="3"/>
      <c r="E33" s="3"/>
      <c r="F33" s="3"/>
      <c r="G33" s="3"/>
      <c r="H33" s="3"/>
      <c r="I33" s="3"/>
    </row>
    <row r="34" spans="4:9" x14ac:dyDescent="0.25">
      <c r="D34" s="3"/>
      <c r="E34" s="3"/>
      <c r="F34" s="3"/>
      <c r="G34" s="3"/>
      <c r="H34" s="3"/>
      <c r="I34" s="3"/>
    </row>
    <row r="35" spans="4:9" x14ac:dyDescent="0.25">
      <c r="D35" s="3"/>
      <c r="E35" s="3"/>
      <c r="F35" s="3"/>
      <c r="G35" s="3"/>
      <c r="H35" s="3"/>
      <c r="I35" s="3"/>
    </row>
    <row r="36" spans="4:9" x14ac:dyDescent="0.25">
      <c r="D36" s="3"/>
      <c r="E36" s="3"/>
      <c r="F36" s="3"/>
      <c r="G36" s="3"/>
      <c r="H36" s="3"/>
      <c r="I36" s="3"/>
    </row>
  </sheetData>
  <phoneticPr fontId="3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F0"/>
  </sheetPr>
  <dimension ref="A1:M59"/>
  <sheetViews>
    <sheetView tabSelected="1" topLeftCell="A11" zoomScaleNormal="100" workbookViewId="0">
      <selection activeCell="N21" sqref="N21"/>
    </sheetView>
  </sheetViews>
  <sheetFormatPr defaultColWidth="8.88671875" defaultRowHeight="13.8" x14ac:dyDescent="0.25"/>
  <cols>
    <col min="1" max="1" width="6.6640625" style="198" customWidth="1"/>
    <col min="2" max="2" width="32.21875" style="198" customWidth="1"/>
    <col min="3" max="3" width="5.5546875" style="198" customWidth="1"/>
    <col min="4" max="4" width="11.6640625" style="198" customWidth="1"/>
    <col min="5" max="5" width="13.88671875" style="198" customWidth="1"/>
    <col min="6" max="6" width="18.33203125" style="198" customWidth="1"/>
    <col min="7" max="7" width="16.109375" style="198" customWidth="1"/>
    <col min="8" max="8" width="18.33203125" style="198" customWidth="1"/>
    <col min="9" max="9" width="22.6640625" style="198" customWidth="1"/>
    <col min="10" max="10" width="17.109375" style="198" customWidth="1"/>
    <col min="11" max="11" width="9.6640625" style="198" customWidth="1"/>
    <col min="12" max="12" width="12.33203125" style="198" bestFit="1" customWidth="1"/>
    <col min="13" max="13" width="9.6640625" style="198" customWidth="1"/>
    <col min="14" max="16384" width="8.88671875" style="198"/>
  </cols>
  <sheetData>
    <row r="1" spans="1:13" ht="28.8" x14ac:dyDescent="0.25">
      <c r="A1" s="405" t="s">
        <v>978</v>
      </c>
      <c r="B1" s="405" t="s">
        <v>979</v>
      </c>
      <c r="C1" s="405" t="s">
        <v>980</v>
      </c>
      <c r="D1" s="360" t="s">
        <v>981</v>
      </c>
      <c r="E1" s="405" t="s">
        <v>982</v>
      </c>
      <c r="F1" s="405" t="s">
        <v>983</v>
      </c>
      <c r="G1" s="405" t="s">
        <v>984</v>
      </c>
      <c r="H1" s="405" t="s">
        <v>985</v>
      </c>
      <c r="I1" s="360" t="s">
        <v>986</v>
      </c>
      <c r="J1" s="405" t="s">
        <v>987</v>
      </c>
      <c r="K1" s="405" t="s">
        <v>988</v>
      </c>
      <c r="L1" s="360" t="s">
        <v>989</v>
      </c>
      <c r="M1" s="360" t="s">
        <v>990</v>
      </c>
    </row>
    <row r="2" spans="1:13" ht="14.4" x14ac:dyDescent="0.25">
      <c r="A2" s="405"/>
      <c r="B2" s="405"/>
      <c r="C2" s="405"/>
      <c r="D2" s="360" t="s">
        <v>991</v>
      </c>
      <c r="E2" s="405"/>
      <c r="F2" s="405"/>
      <c r="G2" s="405"/>
      <c r="H2" s="405"/>
      <c r="I2" s="360" t="s">
        <v>991</v>
      </c>
      <c r="J2" s="405"/>
      <c r="K2" s="405"/>
      <c r="L2" s="360" t="s">
        <v>992</v>
      </c>
      <c r="M2" s="360" t="s">
        <v>992</v>
      </c>
    </row>
    <row r="3" spans="1:13" ht="14.4" x14ac:dyDescent="0.25">
      <c r="A3" s="360" t="s">
        <v>947</v>
      </c>
      <c r="B3" s="361" t="s">
        <v>998</v>
      </c>
      <c r="C3" s="360"/>
      <c r="D3" s="360"/>
      <c r="E3" s="360"/>
      <c r="F3" s="360"/>
      <c r="G3" s="360"/>
      <c r="H3" s="360"/>
      <c r="I3" s="360"/>
      <c r="J3" s="360"/>
      <c r="K3" s="360"/>
      <c r="L3" s="360"/>
      <c r="M3" s="360"/>
    </row>
    <row r="4" spans="1:13" ht="14.4" x14ac:dyDescent="0.25">
      <c r="A4" s="360"/>
      <c r="B4" s="206" t="s">
        <v>948</v>
      </c>
      <c r="C4" s="206" t="s">
        <v>923</v>
      </c>
      <c r="D4" s="353">
        <v>162305</v>
      </c>
      <c r="E4" s="353">
        <v>8.34</v>
      </c>
      <c r="F4" s="362">
        <f>D4*E4/10000</f>
        <v>135.36237</v>
      </c>
      <c r="G4" s="363">
        <f>E4*0.9474</f>
        <v>7.9013160000000005</v>
      </c>
      <c r="H4" s="362">
        <f>D4*G4/10000</f>
        <v>128.24230933799998</v>
      </c>
      <c r="I4" s="353">
        <f>E30</f>
        <v>239773.6</v>
      </c>
      <c r="J4" s="362">
        <f>G4*I4/10000</f>
        <v>189.45269820576002</v>
      </c>
      <c r="K4" s="362">
        <f>D4-I4</f>
        <v>-77468.600000000006</v>
      </c>
      <c r="L4" s="362">
        <f>F4-J4</f>
        <v>-54.090328205760017</v>
      </c>
      <c r="M4" s="362">
        <f>H4-J4</f>
        <v>-61.210388867760031</v>
      </c>
    </row>
    <row r="5" spans="1:13" ht="14.4" x14ac:dyDescent="0.25">
      <c r="A5" s="360"/>
      <c r="B5" s="206" t="s">
        <v>949</v>
      </c>
      <c r="C5" s="206" t="s">
        <v>923</v>
      </c>
      <c r="D5" s="353">
        <v>7590</v>
      </c>
      <c r="E5" s="353">
        <v>123.55</v>
      </c>
      <c r="F5" s="362">
        <f t="shared" ref="F5:F20" si="0">D5*E5/10000</f>
        <v>93.774450000000002</v>
      </c>
      <c r="G5" s="363">
        <f t="shared" ref="G5:G20" si="1">E5*0.9474</f>
        <v>117.05127</v>
      </c>
      <c r="H5" s="362">
        <f t="shared" ref="H5:H20" si="2">D5*G5/10000</f>
        <v>88.841913930000004</v>
      </c>
      <c r="I5" s="353">
        <v>0</v>
      </c>
      <c r="J5" s="362">
        <f t="shared" ref="J5:J25" si="3">G5*I5/10000</f>
        <v>0</v>
      </c>
      <c r="K5" s="362">
        <f t="shared" ref="K5:K25" si="4">D5-I5</f>
        <v>7590</v>
      </c>
      <c r="L5" s="362">
        <f t="shared" ref="L5:L25" si="5">F5-J5</f>
        <v>93.774450000000002</v>
      </c>
      <c r="M5" s="362">
        <f t="shared" ref="M5:M25" si="6">H5-J5</f>
        <v>88.841913930000004</v>
      </c>
    </row>
    <row r="6" spans="1:13" ht="14.4" x14ac:dyDescent="0.25">
      <c r="A6" s="360"/>
      <c r="B6" s="206" t="s">
        <v>950</v>
      </c>
      <c r="C6" s="206" t="s">
        <v>923</v>
      </c>
      <c r="D6" s="353">
        <v>149648</v>
      </c>
      <c r="E6" s="353">
        <v>16.29</v>
      </c>
      <c r="F6" s="362">
        <f t="shared" si="0"/>
        <v>243.77659199999999</v>
      </c>
      <c r="G6" s="363">
        <f t="shared" si="1"/>
        <v>15.433145999999999</v>
      </c>
      <c r="H6" s="362">
        <f t="shared" si="2"/>
        <v>230.9539432608</v>
      </c>
      <c r="I6" s="353">
        <f t="shared" ref="I6:I20" si="7">E32</f>
        <v>88197.55</v>
      </c>
      <c r="J6" s="362">
        <f t="shared" si="3"/>
        <v>136.11656659923</v>
      </c>
      <c r="K6" s="362">
        <f t="shared" si="4"/>
        <v>61450.45</v>
      </c>
      <c r="L6" s="362">
        <f t="shared" si="5"/>
        <v>107.66002540077</v>
      </c>
      <c r="M6" s="362">
        <f t="shared" si="6"/>
        <v>94.837376661570005</v>
      </c>
    </row>
    <row r="7" spans="1:13" ht="14.4" x14ac:dyDescent="0.25">
      <c r="A7" s="360"/>
      <c r="B7" s="206" t="s">
        <v>951</v>
      </c>
      <c r="C7" s="206" t="s">
        <v>76</v>
      </c>
      <c r="D7" s="353">
        <v>53470</v>
      </c>
      <c r="E7" s="353">
        <v>12.35</v>
      </c>
      <c r="F7" s="362">
        <f t="shared" si="0"/>
        <v>66.035449999999997</v>
      </c>
      <c r="G7" s="363">
        <f t="shared" si="1"/>
        <v>11.700390000000001</v>
      </c>
      <c r="H7" s="362">
        <f t="shared" si="2"/>
        <v>62.561985330000006</v>
      </c>
      <c r="I7" s="353">
        <f t="shared" si="7"/>
        <v>55057.56508399998</v>
      </c>
      <c r="J7" s="362">
        <f t="shared" si="3"/>
        <v>64.41949839331825</v>
      </c>
      <c r="K7" s="362">
        <f t="shared" si="4"/>
        <v>-1587.5650839999798</v>
      </c>
      <c r="L7" s="362">
        <f t="shared" si="5"/>
        <v>1.6159516066817474</v>
      </c>
      <c r="M7" s="362">
        <f t="shared" si="6"/>
        <v>-1.857513063318244</v>
      </c>
    </row>
    <row r="8" spans="1:13" ht="14.4" x14ac:dyDescent="0.25">
      <c r="A8" s="360"/>
      <c r="B8" s="206" t="s">
        <v>976</v>
      </c>
      <c r="C8" s="206" t="s">
        <v>923</v>
      </c>
      <c r="D8" s="353">
        <v>5282</v>
      </c>
      <c r="E8" s="353">
        <v>693.28</v>
      </c>
      <c r="F8" s="362">
        <f t="shared" si="0"/>
        <v>366.190496</v>
      </c>
      <c r="G8" s="363">
        <f t="shared" si="1"/>
        <v>656.81347199999993</v>
      </c>
      <c r="H8" s="362">
        <f t="shared" si="2"/>
        <v>346.92887591039994</v>
      </c>
      <c r="I8" s="353">
        <f t="shared" si="7"/>
        <v>5394.6914999999999</v>
      </c>
      <c r="J8" s="362">
        <f t="shared" si="3"/>
        <v>354.33060544838878</v>
      </c>
      <c r="K8" s="362">
        <f t="shared" si="4"/>
        <v>-112.69149999999991</v>
      </c>
      <c r="L8" s="362">
        <f t="shared" si="5"/>
        <v>11.859890551611215</v>
      </c>
      <c r="M8" s="362">
        <f t="shared" si="6"/>
        <v>-7.4017295379888424</v>
      </c>
    </row>
    <row r="9" spans="1:13" ht="14.4" x14ac:dyDescent="0.25">
      <c r="A9" s="360"/>
      <c r="B9" s="206" t="s">
        <v>977</v>
      </c>
      <c r="C9" s="206" t="s">
        <v>923</v>
      </c>
      <c r="D9" s="353">
        <v>1594</v>
      </c>
      <c r="E9" s="353">
        <v>530.30999999999995</v>
      </c>
      <c r="F9" s="362">
        <f t="shared" si="0"/>
        <v>84.531413999999984</v>
      </c>
      <c r="G9" s="363">
        <f t="shared" si="1"/>
        <v>502.41569399999997</v>
      </c>
      <c r="H9" s="362">
        <f t="shared" si="2"/>
        <v>80.085061623599998</v>
      </c>
      <c r="I9" s="353">
        <f t="shared" si="7"/>
        <v>1404.692</v>
      </c>
      <c r="J9" s="362">
        <f t="shared" si="3"/>
        <v>70.573930603624802</v>
      </c>
      <c r="K9" s="362">
        <f t="shared" si="4"/>
        <v>189.30799999999999</v>
      </c>
      <c r="L9" s="362">
        <f t="shared" si="5"/>
        <v>13.957483396375181</v>
      </c>
      <c r="M9" s="362">
        <f t="shared" si="6"/>
        <v>9.5111310199751955</v>
      </c>
    </row>
    <row r="10" spans="1:13" ht="14.4" x14ac:dyDescent="0.25">
      <c r="A10" s="360"/>
      <c r="B10" s="206" t="s">
        <v>952</v>
      </c>
      <c r="C10" s="206" t="s">
        <v>923</v>
      </c>
      <c r="D10" s="353">
        <v>65</v>
      </c>
      <c r="E10" s="353">
        <v>533.88</v>
      </c>
      <c r="F10" s="362">
        <f t="shared" si="0"/>
        <v>3.4702199999999999</v>
      </c>
      <c r="G10" s="363">
        <f t="shared" si="1"/>
        <v>505.797912</v>
      </c>
      <c r="H10" s="362">
        <f t="shared" si="2"/>
        <v>3.2876864280000002</v>
      </c>
      <c r="I10" s="353">
        <f t="shared" si="7"/>
        <v>78.735714000000002</v>
      </c>
      <c r="J10" s="362">
        <f t="shared" si="3"/>
        <v>3.9824359741029172</v>
      </c>
      <c r="K10" s="362">
        <f t="shared" si="4"/>
        <v>-13.735714000000002</v>
      </c>
      <c r="L10" s="362">
        <f t="shared" si="5"/>
        <v>-0.5122159741029173</v>
      </c>
      <c r="M10" s="362">
        <f t="shared" si="6"/>
        <v>-0.69474954610291695</v>
      </c>
    </row>
    <row r="11" spans="1:13" ht="14.4" x14ac:dyDescent="0.25">
      <c r="A11" s="360"/>
      <c r="B11" s="206" t="s">
        <v>953</v>
      </c>
      <c r="C11" s="206" t="s">
        <v>923</v>
      </c>
      <c r="D11" s="353">
        <v>3588</v>
      </c>
      <c r="E11" s="353">
        <v>300.52999999999997</v>
      </c>
      <c r="F11" s="362">
        <f t="shared" si="0"/>
        <v>107.830164</v>
      </c>
      <c r="G11" s="363">
        <f t="shared" si="1"/>
        <v>284.72212199999996</v>
      </c>
      <c r="H11" s="362">
        <f t="shared" si="2"/>
        <v>102.15829737359999</v>
      </c>
      <c r="I11" s="353">
        <f t="shared" si="7"/>
        <v>7585.3368000000009</v>
      </c>
      <c r="J11" s="362">
        <f t="shared" si="3"/>
        <v>215.97131897806892</v>
      </c>
      <c r="K11" s="362">
        <f t="shared" si="4"/>
        <v>-3997.3368000000009</v>
      </c>
      <c r="L11" s="362">
        <f t="shared" si="5"/>
        <v>-108.14115497806893</v>
      </c>
      <c r="M11" s="362">
        <f t="shared" si="6"/>
        <v>-113.81302160446893</v>
      </c>
    </row>
    <row r="12" spans="1:13" ht="14.4" x14ac:dyDescent="0.25">
      <c r="A12" s="360"/>
      <c r="B12" s="206" t="s">
        <v>954</v>
      </c>
      <c r="C12" s="206" t="s">
        <v>76</v>
      </c>
      <c r="D12" s="353">
        <v>16610</v>
      </c>
      <c r="E12" s="353">
        <v>31.97</v>
      </c>
      <c r="F12" s="362">
        <f t="shared" si="0"/>
        <v>53.102169999999994</v>
      </c>
      <c r="G12" s="363">
        <f t="shared" si="1"/>
        <v>30.288377999999998</v>
      </c>
      <c r="H12" s="362">
        <f t="shared" si="2"/>
        <v>50.308995857999996</v>
      </c>
      <c r="I12" s="353">
        <f t="shared" si="7"/>
        <v>17103.675000000017</v>
      </c>
      <c r="J12" s="362">
        <f t="shared" si="3"/>
        <v>51.804257358915052</v>
      </c>
      <c r="K12" s="362">
        <f t="shared" si="4"/>
        <v>-493.67500000001746</v>
      </c>
      <c r="L12" s="362">
        <f t="shared" si="5"/>
        <v>1.2979126410849418</v>
      </c>
      <c r="M12" s="362">
        <f t="shared" si="6"/>
        <v>-1.4952615009150563</v>
      </c>
    </row>
    <row r="13" spans="1:13" ht="14.4" x14ac:dyDescent="0.25">
      <c r="A13" s="360"/>
      <c r="B13" s="142" t="s">
        <v>955</v>
      </c>
      <c r="C13" s="206" t="s">
        <v>23</v>
      </c>
      <c r="D13" s="353">
        <v>2127</v>
      </c>
      <c r="E13" s="353">
        <v>30.35</v>
      </c>
      <c r="F13" s="362">
        <f t="shared" si="0"/>
        <v>6.4554450000000001</v>
      </c>
      <c r="G13" s="363">
        <f t="shared" si="1"/>
        <v>28.753590000000003</v>
      </c>
      <c r="H13" s="362">
        <f t="shared" si="2"/>
        <v>6.1158885930000002</v>
      </c>
      <c r="I13" s="353">
        <f t="shared" si="7"/>
        <v>18508.526666666668</v>
      </c>
      <c r="J13" s="362">
        <f t="shared" si="3"/>
        <v>53.218658727740006</v>
      </c>
      <c r="K13" s="362">
        <f t="shared" si="4"/>
        <v>-16381.526666666668</v>
      </c>
      <c r="L13" s="362">
        <f t="shared" si="5"/>
        <v>-46.763213727740009</v>
      </c>
      <c r="M13" s="362">
        <f t="shared" si="6"/>
        <v>-47.102770134740005</v>
      </c>
    </row>
    <row r="14" spans="1:13" ht="14.4" x14ac:dyDescent="0.25">
      <c r="A14" s="360"/>
      <c r="B14" s="206" t="s">
        <v>956</v>
      </c>
      <c r="C14" s="206" t="s">
        <v>923</v>
      </c>
      <c r="D14" s="353">
        <v>624.79999999999995</v>
      </c>
      <c r="E14" s="353">
        <v>805.32</v>
      </c>
      <c r="F14" s="362">
        <f t="shared" si="0"/>
        <v>50.316393599999998</v>
      </c>
      <c r="G14" s="363">
        <f t="shared" si="1"/>
        <v>762.96016800000007</v>
      </c>
      <c r="H14" s="362">
        <f t="shared" si="2"/>
        <v>47.669751296640001</v>
      </c>
      <c r="I14" s="353">
        <f t="shared" si="7"/>
        <v>1754.7950000000001</v>
      </c>
      <c r="J14" s="362">
        <f t="shared" si="3"/>
        <v>133.883868800556</v>
      </c>
      <c r="K14" s="362">
        <f t="shared" si="4"/>
        <v>-1129.9950000000001</v>
      </c>
      <c r="L14" s="362">
        <f t="shared" si="5"/>
        <v>-83.567475200556004</v>
      </c>
      <c r="M14" s="362">
        <f t="shared" si="6"/>
        <v>-86.214117503916</v>
      </c>
    </row>
    <row r="15" spans="1:13" ht="14.4" x14ac:dyDescent="0.25">
      <c r="A15" s="360"/>
      <c r="B15" s="206" t="s">
        <v>957</v>
      </c>
      <c r="C15" s="206" t="s">
        <v>958</v>
      </c>
      <c r="D15" s="353">
        <v>693</v>
      </c>
      <c r="E15" s="353">
        <v>101.82</v>
      </c>
      <c r="F15" s="362">
        <f t="shared" si="0"/>
        <v>7.0561259999999999</v>
      </c>
      <c r="G15" s="363">
        <f t="shared" si="1"/>
        <v>96.46426799999999</v>
      </c>
      <c r="H15" s="362">
        <f t="shared" si="2"/>
        <v>6.6849737723999993</v>
      </c>
      <c r="I15" s="353">
        <f t="shared" si="7"/>
        <v>1949.7722222222224</v>
      </c>
      <c r="J15" s="362">
        <f t="shared" si="3"/>
        <v>18.808335018339999</v>
      </c>
      <c r="K15" s="362">
        <f t="shared" si="4"/>
        <v>-1256.7722222222224</v>
      </c>
      <c r="L15" s="362">
        <f t="shared" si="5"/>
        <v>-11.75220901834</v>
      </c>
      <c r="M15" s="362">
        <f t="shared" si="6"/>
        <v>-12.12336124594</v>
      </c>
    </row>
    <row r="16" spans="1:13" ht="14.4" x14ac:dyDescent="0.25">
      <c r="A16" s="360"/>
      <c r="B16" s="206" t="s">
        <v>959</v>
      </c>
      <c r="C16" s="206" t="s">
        <v>942</v>
      </c>
      <c r="D16" s="353">
        <v>13.84</v>
      </c>
      <c r="E16" s="353">
        <v>6289.16</v>
      </c>
      <c r="F16" s="362">
        <f t="shared" si="0"/>
        <v>8.7041974399999997</v>
      </c>
      <c r="G16" s="363">
        <f t="shared" si="1"/>
        <v>5958.3501839999999</v>
      </c>
      <c r="H16" s="362">
        <f t="shared" si="2"/>
        <v>8.246356654656001</v>
      </c>
      <c r="I16" s="353">
        <f t="shared" si="7"/>
        <v>45.624669999999995</v>
      </c>
      <c r="J16" s="362">
        <f t="shared" si="3"/>
        <v>27.184776088943927</v>
      </c>
      <c r="K16" s="362">
        <f t="shared" si="4"/>
        <v>-31.784669999999995</v>
      </c>
      <c r="L16" s="362">
        <f t="shared" si="5"/>
        <v>-18.480578648943926</v>
      </c>
      <c r="M16" s="362">
        <f t="shared" si="6"/>
        <v>-18.938419434287926</v>
      </c>
    </row>
    <row r="17" spans="1:13" ht="14.4" x14ac:dyDescent="0.25">
      <c r="A17" s="360"/>
      <c r="B17" s="206" t="s">
        <v>960</v>
      </c>
      <c r="C17" s="206" t="s">
        <v>23</v>
      </c>
      <c r="D17" s="353">
        <v>3684</v>
      </c>
      <c r="E17" s="353">
        <v>380</v>
      </c>
      <c r="F17" s="362">
        <f t="shared" si="0"/>
        <v>139.99199999999999</v>
      </c>
      <c r="G17" s="363">
        <f t="shared" si="1"/>
        <v>360.012</v>
      </c>
      <c r="H17" s="362">
        <f t="shared" si="2"/>
        <v>132.62842080000001</v>
      </c>
      <c r="I17" s="353">
        <f t="shared" si="7"/>
        <v>4340.33</v>
      </c>
      <c r="J17" s="362">
        <f t="shared" si="3"/>
        <v>156.257088396</v>
      </c>
      <c r="K17" s="362">
        <f t="shared" si="4"/>
        <v>-656.32999999999993</v>
      </c>
      <c r="L17" s="362">
        <f t="shared" si="5"/>
        <v>-16.26508839600001</v>
      </c>
      <c r="M17" s="362">
        <f t="shared" si="6"/>
        <v>-23.628667595999985</v>
      </c>
    </row>
    <row r="18" spans="1:13" ht="14.4" x14ac:dyDescent="0.25">
      <c r="A18" s="360"/>
      <c r="B18" s="206" t="s">
        <v>961</v>
      </c>
      <c r="C18" s="206" t="s">
        <v>76</v>
      </c>
      <c r="D18" s="353">
        <v>10563</v>
      </c>
      <c r="E18" s="353">
        <v>30.82</v>
      </c>
      <c r="F18" s="362">
        <f t="shared" si="0"/>
        <v>32.555166</v>
      </c>
      <c r="G18" s="363">
        <f t="shared" si="1"/>
        <v>29.198868000000001</v>
      </c>
      <c r="H18" s="362">
        <f t="shared" si="2"/>
        <v>30.842764268400003</v>
      </c>
      <c r="I18" s="353">
        <f t="shared" si="7"/>
        <v>20684.522351999996</v>
      </c>
      <c r="J18" s="362">
        <f t="shared" si="3"/>
        <v>60.396463779909745</v>
      </c>
      <c r="K18" s="362">
        <f t="shared" si="4"/>
        <v>-10121.522351999996</v>
      </c>
      <c r="L18" s="362">
        <f t="shared" si="5"/>
        <v>-27.841297779909745</v>
      </c>
      <c r="M18" s="362">
        <f t="shared" si="6"/>
        <v>-29.553699511509741</v>
      </c>
    </row>
    <row r="19" spans="1:13" ht="14.4" x14ac:dyDescent="0.25">
      <c r="A19" s="360"/>
      <c r="B19" s="206" t="s">
        <v>962</v>
      </c>
      <c r="C19" s="206" t="s">
        <v>76</v>
      </c>
      <c r="D19" s="353">
        <v>2063.6</v>
      </c>
      <c r="E19" s="353">
        <v>63.41</v>
      </c>
      <c r="F19" s="362">
        <f t="shared" si="0"/>
        <v>13.085287599999999</v>
      </c>
      <c r="G19" s="363">
        <f t="shared" si="1"/>
        <v>60.074633999999996</v>
      </c>
      <c r="H19" s="362">
        <f t="shared" si="2"/>
        <v>12.397001472239998</v>
      </c>
      <c r="I19" s="353">
        <f t="shared" si="7"/>
        <v>1043.9039200000007</v>
      </c>
      <c r="J19" s="362">
        <f t="shared" si="3"/>
        <v>6.2712145925165315</v>
      </c>
      <c r="K19" s="362">
        <f t="shared" si="4"/>
        <v>1019.6960799999993</v>
      </c>
      <c r="L19" s="362">
        <f t="shared" si="5"/>
        <v>6.8140730074834677</v>
      </c>
      <c r="M19" s="362">
        <f t="shared" si="6"/>
        <v>6.1257868797234662</v>
      </c>
    </row>
    <row r="20" spans="1:13" ht="14.4" x14ac:dyDescent="0.25">
      <c r="A20" s="360"/>
      <c r="B20" s="206" t="s">
        <v>963</v>
      </c>
      <c r="C20" s="206" t="s">
        <v>923</v>
      </c>
      <c r="D20" s="353">
        <v>12.38</v>
      </c>
      <c r="E20" s="353">
        <v>59678.84</v>
      </c>
      <c r="F20" s="362">
        <f t="shared" si="0"/>
        <v>73.882403920000002</v>
      </c>
      <c r="G20" s="363">
        <f t="shared" si="1"/>
        <v>56539.733015999998</v>
      </c>
      <c r="H20" s="362">
        <f t="shared" si="2"/>
        <v>69.996189473808002</v>
      </c>
      <c r="I20" s="353">
        <f t="shared" si="7"/>
        <v>16.856303999999998</v>
      </c>
      <c r="J20" s="362">
        <f t="shared" si="3"/>
        <v>95.305092779653279</v>
      </c>
      <c r="K20" s="362">
        <f t="shared" si="4"/>
        <v>-4.4763039999999972</v>
      </c>
      <c r="L20" s="362">
        <f t="shared" si="5"/>
        <v>-21.422688859653277</v>
      </c>
      <c r="M20" s="362">
        <f t="shared" si="6"/>
        <v>-25.308903305845277</v>
      </c>
    </row>
    <row r="21" spans="1:13" ht="14.4" x14ac:dyDescent="0.25">
      <c r="A21" s="360"/>
      <c r="B21" s="361" t="s">
        <v>993</v>
      </c>
      <c r="C21" s="360"/>
      <c r="D21" s="360"/>
      <c r="E21" s="360"/>
      <c r="F21" s="360"/>
      <c r="G21" s="364"/>
      <c r="H21" s="360"/>
      <c r="I21" s="362"/>
      <c r="J21" s="360"/>
      <c r="K21" s="362"/>
      <c r="L21" s="362"/>
      <c r="M21" s="362"/>
    </row>
    <row r="22" spans="1:13" ht="14.4" x14ac:dyDescent="0.25">
      <c r="A22" s="360"/>
      <c r="B22" s="206" t="s">
        <v>964</v>
      </c>
      <c r="C22" s="206" t="s">
        <v>23</v>
      </c>
      <c r="D22" s="360"/>
      <c r="E22" s="360"/>
      <c r="F22" s="360"/>
      <c r="G22" s="360">
        <v>30.09</v>
      </c>
      <c r="H22" s="360"/>
      <c r="I22" s="362">
        <v>18508.526666666668</v>
      </c>
      <c r="J22" s="362">
        <f t="shared" si="3"/>
        <v>55.692156740000009</v>
      </c>
      <c r="K22" s="362">
        <f t="shared" si="4"/>
        <v>-18508.526666666668</v>
      </c>
      <c r="L22" s="362">
        <f t="shared" si="5"/>
        <v>-55.692156740000009</v>
      </c>
      <c r="M22" s="362">
        <f t="shared" si="6"/>
        <v>-55.692156740000009</v>
      </c>
    </row>
    <row r="23" spans="1:13" ht="14.4" x14ac:dyDescent="0.25">
      <c r="A23" s="360"/>
      <c r="B23" s="360" t="s">
        <v>994</v>
      </c>
      <c r="C23" s="360" t="s">
        <v>923</v>
      </c>
      <c r="D23" s="360"/>
      <c r="E23" s="360"/>
      <c r="F23" s="360"/>
      <c r="G23" s="363">
        <v>284.72212200000001</v>
      </c>
      <c r="H23" s="360"/>
      <c r="I23" s="362">
        <f>E32*0.026</f>
        <v>2293.1363000000001</v>
      </c>
      <c r="J23" s="362">
        <f t="shared" si="3"/>
        <v>65.290663337122865</v>
      </c>
      <c r="K23" s="362">
        <f t="shared" si="4"/>
        <v>-2293.1363000000001</v>
      </c>
      <c r="L23" s="362">
        <f t="shared" si="5"/>
        <v>-65.290663337122865</v>
      </c>
      <c r="M23" s="362">
        <f t="shared" si="6"/>
        <v>-65.290663337122865</v>
      </c>
    </row>
    <row r="24" spans="1:13" ht="14.4" x14ac:dyDescent="0.25">
      <c r="A24" s="360"/>
      <c r="B24" s="360" t="s">
        <v>995</v>
      </c>
      <c r="C24" s="360" t="s">
        <v>923</v>
      </c>
      <c r="D24" s="360"/>
      <c r="E24" s="360"/>
      <c r="F24" s="360"/>
      <c r="G24" s="363">
        <v>762.96</v>
      </c>
      <c r="H24" s="360"/>
      <c r="I24" s="362">
        <v>3182.6431199999988</v>
      </c>
      <c r="J24" s="362">
        <f t="shared" si="3"/>
        <v>242.82293948351992</v>
      </c>
      <c r="K24" s="362">
        <f t="shared" si="4"/>
        <v>-3182.6431199999988</v>
      </c>
      <c r="L24" s="362">
        <f t="shared" si="5"/>
        <v>-242.82293948351992</v>
      </c>
      <c r="M24" s="362">
        <f t="shared" si="6"/>
        <v>-242.82293948351992</v>
      </c>
    </row>
    <row r="25" spans="1:13" ht="14.4" x14ac:dyDescent="0.25">
      <c r="A25" s="360"/>
      <c r="B25" s="360" t="s">
        <v>996</v>
      </c>
      <c r="C25" s="360" t="s">
        <v>942</v>
      </c>
      <c r="D25" s="360"/>
      <c r="E25" s="360"/>
      <c r="F25" s="360"/>
      <c r="G25" s="363">
        <v>5958.35</v>
      </c>
      <c r="H25" s="360"/>
      <c r="I25" s="360">
        <v>111.39</v>
      </c>
      <c r="J25" s="362">
        <f t="shared" si="3"/>
        <v>66.370060649999999</v>
      </c>
      <c r="K25" s="362">
        <f t="shared" si="4"/>
        <v>-111.39</v>
      </c>
      <c r="L25" s="362">
        <f t="shared" si="5"/>
        <v>-66.370060649999999</v>
      </c>
      <c r="M25" s="362">
        <f t="shared" si="6"/>
        <v>-66.370060649999999</v>
      </c>
    </row>
    <row r="26" spans="1:13" ht="15" customHeight="1" x14ac:dyDescent="0.25">
      <c r="A26" s="406" t="s">
        <v>997</v>
      </c>
      <c r="B26" s="406"/>
      <c r="C26" s="360" t="s">
        <v>89</v>
      </c>
      <c r="D26" s="360" t="s">
        <v>89</v>
      </c>
      <c r="E26" s="360" t="s">
        <v>89</v>
      </c>
      <c r="F26" s="362">
        <f>SUM(F4:F25)</f>
        <v>1486.1203455599998</v>
      </c>
      <c r="G26" s="360"/>
      <c r="H26" s="362">
        <f>SUM(H4:H25)</f>
        <v>1407.9504153835439</v>
      </c>
      <c r="I26" s="360"/>
      <c r="J26" s="362">
        <f>SUM(J4:J25)</f>
        <v>2068.1526299557108</v>
      </c>
      <c r="K26" s="360"/>
      <c r="L26" s="362">
        <f>SUM(L4:L25)</f>
        <v>-582.03228439571114</v>
      </c>
      <c r="M26" s="362">
        <f>SUM(M4:M25)</f>
        <v>-660.20221457216701</v>
      </c>
    </row>
    <row r="27" spans="1:13" x14ac:dyDescent="0.25">
      <c r="I27" s="355"/>
      <c r="J27" s="355"/>
    </row>
    <row r="29" spans="1:13" ht="14.4" x14ac:dyDescent="0.25">
      <c r="A29" s="206"/>
      <c r="B29" s="206" t="s">
        <v>965</v>
      </c>
      <c r="C29" s="206" t="s">
        <v>966</v>
      </c>
      <c r="D29" s="206" t="s">
        <v>967</v>
      </c>
      <c r="E29" s="206" t="s">
        <v>968</v>
      </c>
      <c r="F29" s="206" t="s">
        <v>969</v>
      </c>
      <c r="G29" s="206" t="s">
        <v>970</v>
      </c>
      <c r="H29" s="206" t="s">
        <v>971</v>
      </c>
      <c r="I29" s="206" t="s">
        <v>972</v>
      </c>
      <c r="J29" s="206" t="s">
        <v>973</v>
      </c>
    </row>
    <row r="30" spans="1:13" ht="14.4" x14ac:dyDescent="0.25">
      <c r="A30" s="206">
        <v>1</v>
      </c>
      <c r="B30" s="142" t="s">
        <v>948</v>
      </c>
      <c r="C30" s="142" t="s">
        <v>923</v>
      </c>
      <c r="D30" s="353">
        <v>162305</v>
      </c>
      <c r="E30" s="353">
        <f>235223.85+25*181.99</f>
        <v>239773.6</v>
      </c>
      <c r="F30" s="353">
        <v>8.34</v>
      </c>
      <c r="G30" s="353">
        <f>D30*F30/10000</f>
        <v>135.36237</v>
      </c>
      <c r="H30" s="353">
        <f>E30*F30/10000</f>
        <v>199.9711824</v>
      </c>
      <c r="I30" s="353">
        <f>H30-G30</f>
        <v>64.608812400000005</v>
      </c>
      <c r="J30" s="206"/>
    </row>
    <row r="31" spans="1:13" ht="14.4" x14ac:dyDescent="0.25">
      <c r="A31" s="206">
        <v>2</v>
      </c>
      <c r="B31" s="206" t="s">
        <v>949</v>
      </c>
      <c r="C31" s="206" t="s">
        <v>923</v>
      </c>
      <c r="D31" s="353">
        <v>7590</v>
      </c>
      <c r="E31" s="353">
        <f>渠道开挖类型分桩号!X75</f>
        <v>13574.226783200014</v>
      </c>
      <c r="F31" s="353">
        <v>123.55</v>
      </c>
      <c r="G31" s="353">
        <f>D31*F31/10000</f>
        <v>93.774450000000002</v>
      </c>
      <c r="H31" s="353">
        <f t="shared" ref="H31:H46" si="8">E31*F31/10000</f>
        <v>167.70957190643617</v>
      </c>
      <c r="I31" s="353">
        <f t="shared" ref="I31:I46" si="9">H31-G31</f>
        <v>73.935121906436166</v>
      </c>
      <c r="J31" s="206"/>
    </row>
    <row r="32" spans="1:13" ht="14.4" x14ac:dyDescent="0.25">
      <c r="A32" s="206">
        <v>3</v>
      </c>
      <c r="B32" s="206" t="s">
        <v>950</v>
      </c>
      <c r="C32" s="206" t="s">
        <v>923</v>
      </c>
      <c r="D32" s="353">
        <v>149648</v>
      </c>
      <c r="E32" s="353">
        <v>88197.55</v>
      </c>
      <c r="F32" s="353">
        <v>16.29</v>
      </c>
      <c r="G32" s="353">
        <f t="shared" ref="G32:G46" si="10">D32*F32/10000</f>
        <v>243.77659199999999</v>
      </c>
      <c r="H32" s="353">
        <f t="shared" si="8"/>
        <v>143.67380894999999</v>
      </c>
      <c r="I32" s="353">
        <f t="shared" si="9"/>
        <v>-100.10278305</v>
      </c>
      <c r="J32" s="206"/>
    </row>
    <row r="33" spans="1:10" ht="14.4" x14ac:dyDescent="0.25">
      <c r="A33" s="206">
        <v>4</v>
      </c>
      <c r="B33" s="206" t="s">
        <v>951</v>
      </c>
      <c r="C33" s="206" t="s">
        <v>76</v>
      </c>
      <c r="D33" s="353">
        <v>53470</v>
      </c>
      <c r="E33" s="353">
        <f>渠道开挖类型分桩号!Y75</f>
        <v>55057.56508399998</v>
      </c>
      <c r="F33" s="353">
        <v>12.35</v>
      </c>
      <c r="G33" s="353">
        <f t="shared" si="10"/>
        <v>66.035449999999997</v>
      </c>
      <c r="H33" s="353">
        <f t="shared" si="8"/>
        <v>67.996092878739972</v>
      </c>
      <c r="I33" s="353">
        <f t="shared" si="9"/>
        <v>1.960642878739975</v>
      </c>
      <c r="J33" s="206"/>
    </row>
    <row r="34" spans="1:10" ht="14.4" x14ac:dyDescent="0.25">
      <c r="A34" s="206">
        <v>5</v>
      </c>
      <c r="B34" s="206" t="s">
        <v>976</v>
      </c>
      <c r="C34" s="206" t="s">
        <v>923</v>
      </c>
      <c r="D34" s="353">
        <v>5282</v>
      </c>
      <c r="E34" s="353">
        <f>5240+0.85*181.99</f>
        <v>5394.6914999999999</v>
      </c>
      <c r="F34" s="353">
        <v>693.28</v>
      </c>
      <c r="G34" s="353">
        <f t="shared" si="10"/>
        <v>366.190496</v>
      </c>
      <c r="H34" s="353">
        <f t="shared" si="8"/>
        <v>374.00317231199995</v>
      </c>
      <c r="I34" s="353">
        <f t="shared" si="9"/>
        <v>7.8126763119999509</v>
      </c>
      <c r="J34" s="206"/>
    </row>
    <row r="35" spans="1:10" ht="14.4" x14ac:dyDescent="0.25">
      <c r="A35" s="206">
        <v>6</v>
      </c>
      <c r="B35" s="206" t="s">
        <v>977</v>
      </c>
      <c r="C35" s="206" t="s">
        <v>923</v>
      </c>
      <c r="D35" s="353">
        <v>1594</v>
      </c>
      <c r="E35" s="353">
        <f>0.5*0.2*2*渠道开挖类型分桩号!AF77</f>
        <v>1404.692</v>
      </c>
      <c r="F35" s="353">
        <v>530.30999999999995</v>
      </c>
      <c r="G35" s="353">
        <f t="shared" si="10"/>
        <v>84.531413999999984</v>
      </c>
      <c r="H35" s="353">
        <f t="shared" si="8"/>
        <v>74.492221451999995</v>
      </c>
      <c r="I35" s="353">
        <f t="shared" si="9"/>
        <v>-10.039192547999988</v>
      </c>
      <c r="J35" s="206"/>
    </row>
    <row r="36" spans="1:10" ht="14.4" x14ac:dyDescent="0.25">
      <c r="A36" s="206">
        <v>7</v>
      </c>
      <c r="B36" s="206" t="s">
        <v>952</v>
      </c>
      <c r="C36" s="206" t="s">
        <v>923</v>
      </c>
      <c r="D36" s="353">
        <v>65</v>
      </c>
      <c r="E36" s="353">
        <f>1.09*2*(渠道开挖类型分桩号!AF77/200+1)</f>
        <v>78.735714000000002</v>
      </c>
      <c r="F36" s="353">
        <v>533.88</v>
      </c>
      <c r="G36" s="353">
        <f t="shared" si="10"/>
        <v>3.4702199999999999</v>
      </c>
      <c r="H36" s="353">
        <f t="shared" si="8"/>
        <v>4.2035422990320006</v>
      </c>
      <c r="I36" s="353">
        <f t="shared" si="9"/>
        <v>0.73332229903200075</v>
      </c>
      <c r="J36" s="206"/>
    </row>
    <row r="37" spans="1:10" ht="14.4" x14ac:dyDescent="0.25">
      <c r="A37" s="206">
        <v>8</v>
      </c>
      <c r="B37" s="206" t="s">
        <v>953</v>
      </c>
      <c r="C37" s="206" t="s">
        <v>923</v>
      </c>
      <c r="D37" s="353">
        <v>3588</v>
      </c>
      <c r="E37" s="353">
        <f>(0.7*0.3*2+0.4*0.3)*2*渠道开挖类型分桩号!AF77</f>
        <v>7585.3368000000009</v>
      </c>
      <c r="F37" s="353">
        <v>300.52999999999997</v>
      </c>
      <c r="G37" s="353">
        <f t="shared" si="10"/>
        <v>107.830164</v>
      </c>
      <c r="H37" s="353">
        <f t="shared" si="8"/>
        <v>227.96212685040004</v>
      </c>
      <c r="I37" s="353">
        <f t="shared" si="9"/>
        <v>120.13196285040004</v>
      </c>
      <c r="J37" s="206"/>
    </row>
    <row r="38" spans="1:10" ht="14.4" x14ac:dyDescent="0.25">
      <c r="A38" s="206">
        <v>9</v>
      </c>
      <c r="B38" s="206" t="s">
        <v>954</v>
      </c>
      <c r="C38" s="206" t="s">
        <v>76</v>
      </c>
      <c r="D38" s="353">
        <v>16610</v>
      </c>
      <c r="E38" s="353">
        <f>2.5*渠道开挖类型分桩号!AF75</f>
        <v>17103.675000000017</v>
      </c>
      <c r="F38" s="353">
        <v>31.97</v>
      </c>
      <c r="G38" s="353">
        <f t="shared" si="10"/>
        <v>53.102169999999994</v>
      </c>
      <c r="H38" s="353">
        <f t="shared" si="8"/>
        <v>54.680448975000054</v>
      </c>
      <c r="I38" s="353">
        <f t="shared" si="9"/>
        <v>1.5782789750000603</v>
      </c>
      <c r="J38" s="206"/>
    </row>
    <row r="39" spans="1:10" ht="14.4" x14ac:dyDescent="0.25">
      <c r="A39" s="206">
        <v>10</v>
      </c>
      <c r="B39" s="142" t="s">
        <v>955</v>
      </c>
      <c r="C39" s="206" t="s">
        <v>23</v>
      </c>
      <c r="D39" s="353">
        <v>2127</v>
      </c>
      <c r="E39" s="353">
        <f>55525.58/9*3</f>
        <v>18508.526666666668</v>
      </c>
      <c r="F39" s="353">
        <v>30.35</v>
      </c>
      <c r="G39" s="353">
        <f t="shared" si="10"/>
        <v>6.4554450000000001</v>
      </c>
      <c r="H39" s="353">
        <f t="shared" si="8"/>
        <v>56.17337843333334</v>
      </c>
      <c r="I39" s="353">
        <f t="shared" si="9"/>
        <v>49.717933433333343</v>
      </c>
      <c r="J39" s="206"/>
    </row>
    <row r="40" spans="1:10" ht="14.4" x14ac:dyDescent="0.25">
      <c r="A40" s="206">
        <v>11</v>
      </c>
      <c r="B40" s="206" t="s">
        <v>956</v>
      </c>
      <c r="C40" s="206" t="s">
        <v>923</v>
      </c>
      <c r="D40" s="353">
        <v>624.79999999999995</v>
      </c>
      <c r="E40" s="357">
        <f>17547.95*0.1</f>
        <v>1754.7950000000001</v>
      </c>
      <c r="F40" s="353">
        <v>805.32</v>
      </c>
      <c r="G40" s="353">
        <f t="shared" si="10"/>
        <v>50.316393599999998</v>
      </c>
      <c r="H40" s="353">
        <f t="shared" si="8"/>
        <v>141.31715094</v>
      </c>
      <c r="I40" s="353">
        <f t="shared" si="9"/>
        <v>91.000757340000007</v>
      </c>
      <c r="J40" s="206"/>
    </row>
    <row r="41" spans="1:10" ht="14.4" x14ac:dyDescent="0.25">
      <c r="A41" s="206">
        <v>12</v>
      </c>
      <c r="B41" s="206" t="s">
        <v>957</v>
      </c>
      <c r="C41" s="206" t="s">
        <v>958</v>
      </c>
      <c r="D41" s="353">
        <v>693</v>
      </c>
      <c r="E41" s="358">
        <f>17547.95/9</f>
        <v>1949.7722222222224</v>
      </c>
      <c r="F41" s="353">
        <v>101.82</v>
      </c>
      <c r="G41" s="353">
        <f t="shared" si="10"/>
        <v>7.0561259999999999</v>
      </c>
      <c r="H41" s="353">
        <f t="shared" si="8"/>
        <v>19.852580766666666</v>
      </c>
      <c r="I41" s="353">
        <f t="shared" si="9"/>
        <v>12.796454766666667</v>
      </c>
      <c r="J41" s="206"/>
    </row>
    <row r="42" spans="1:10" ht="14.4" x14ac:dyDescent="0.25">
      <c r="A42" s="206">
        <v>13</v>
      </c>
      <c r="B42" s="206" t="s">
        <v>959</v>
      </c>
      <c r="C42" s="206" t="s">
        <v>942</v>
      </c>
      <c r="D42" s="353">
        <v>13.84</v>
      </c>
      <c r="E42" s="354">
        <f>17547.95*10*1*0.26/1000</f>
        <v>45.624669999999995</v>
      </c>
      <c r="F42" s="353">
        <v>6289.16</v>
      </c>
      <c r="G42" s="353">
        <f t="shared" si="10"/>
        <v>8.7041974399999997</v>
      </c>
      <c r="H42" s="353">
        <f t="shared" si="8"/>
        <v>28.694084957719994</v>
      </c>
      <c r="I42" s="353">
        <f t="shared" si="9"/>
        <v>19.989887517719993</v>
      </c>
      <c r="J42" s="206"/>
    </row>
    <row r="43" spans="1:10" ht="14.4" x14ac:dyDescent="0.25">
      <c r="A43" s="206">
        <v>14</v>
      </c>
      <c r="B43" s="206" t="s">
        <v>960</v>
      </c>
      <c r="C43" s="206" t="s">
        <v>23</v>
      </c>
      <c r="D43" s="353">
        <v>3684</v>
      </c>
      <c r="E43" s="353">
        <v>4340.33</v>
      </c>
      <c r="F43" s="353">
        <v>380</v>
      </c>
      <c r="G43" s="353">
        <f t="shared" si="10"/>
        <v>139.99199999999999</v>
      </c>
      <c r="H43" s="353">
        <f t="shared" si="8"/>
        <v>164.93253999999999</v>
      </c>
      <c r="I43" s="353">
        <f t="shared" si="9"/>
        <v>24.940539999999999</v>
      </c>
      <c r="J43" s="206"/>
    </row>
    <row r="44" spans="1:10" ht="14.4" x14ac:dyDescent="0.25">
      <c r="A44" s="206">
        <v>15</v>
      </c>
      <c r="B44" s="206" t="s">
        <v>961</v>
      </c>
      <c r="C44" s="206" t="s">
        <v>76</v>
      </c>
      <c r="D44" s="353">
        <v>10563</v>
      </c>
      <c r="E44" s="353">
        <f>渠道开挖类型分桩号!Z75</f>
        <v>20684.522351999996</v>
      </c>
      <c r="F44" s="353">
        <v>30.82</v>
      </c>
      <c r="G44" s="353">
        <f t="shared" si="10"/>
        <v>32.555166</v>
      </c>
      <c r="H44" s="353">
        <f t="shared" si="8"/>
        <v>63.749697888863992</v>
      </c>
      <c r="I44" s="353">
        <f t="shared" si="9"/>
        <v>31.194531888863992</v>
      </c>
      <c r="J44" s="206"/>
    </row>
    <row r="45" spans="1:10" ht="14.4" x14ac:dyDescent="0.25">
      <c r="A45" s="206">
        <v>16</v>
      </c>
      <c r="B45" s="206" t="s">
        <v>962</v>
      </c>
      <c r="C45" s="206" t="s">
        <v>76</v>
      </c>
      <c r="D45" s="353">
        <v>2063.6</v>
      </c>
      <c r="E45" s="353">
        <f>渠道开挖类型分桩号!AA75</f>
        <v>1043.9039200000007</v>
      </c>
      <c r="F45" s="353">
        <v>63.41</v>
      </c>
      <c r="G45" s="353">
        <f t="shared" si="10"/>
        <v>13.085287599999999</v>
      </c>
      <c r="H45" s="353">
        <f t="shared" si="8"/>
        <v>6.6193947567200038</v>
      </c>
      <c r="I45" s="353">
        <f t="shared" si="9"/>
        <v>-6.4658928432799954</v>
      </c>
      <c r="J45" s="206"/>
    </row>
    <row r="46" spans="1:10" ht="14.4" x14ac:dyDescent="0.25">
      <c r="A46" s="206">
        <v>17</v>
      </c>
      <c r="B46" s="206" t="s">
        <v>963</v>
      </c>
      <c r="C46" s="206" t="s">
        <v>923</v>
      </c>
      <c r="D46" s="353">
        <v>12.38</v>
      </c>
      <c r="E46" s="353">
        <f>0.06*0.02*渠道开挖类型分桩号!AF77*2</f>
        <v>16.856303999999998</v>
      </c>
      <c r="F46" s="353">
        <v>59678.84</v>
      </c>
      <c r="G46" s="353">
        <f t="shared" si="10"/>
        <v>73.882403920000002</v>
      </c>
      <c r="H46" s="353">
        <f t="shared" si="8"/>
        <v>100.59646694073598</v>
      </c>
      <c r="I46" s="353">
        <f t="shared" si="9"/>
        <v>26.714063020735978</v>
      </c>
      <c r="J46" s="206"/>
    </row>
    <row r="47" spans="1:10" ht="14.4" x14ac:dyDescent="0.25">
      <c r="A47" s="206">
        <v>18</v>
      </c>
      <c r="B47" s="206" t="s">
        <v>964</v>
      </c>
      <c r="C47" s="206" t="s">
        <v>23</v>
      </c>
      <c r="D47" s="353">
        <v>2127</v>
      </c>
      <c r="E47" s="353">
        <f>55525.58/9*3</f>
        <v>18508.526666666668</v>
      </c>
      <c r="F47" s="353" t="s">
        <v>974</v>
      </c>
      <c r="G47" s="353" t="s">
        <v>89</v>
      </c>
      <c r="H47" s="353" t="s">
        <v>89</v>
      </c>
      <c r="I47" s="353" t="s">
        <v>89</v>
      </c>
      <c r="J47" s="206" t="s">
        <v>975</v>
      </c>
    </row>
    <row r="48" spans="1:10" x14ac:dyDescent="0.25">
      <c r="D48" s="355"/>
      <c r="E48" s="355"/>
      <c r="F48" s="355"/>
      <c r="G48" s="355"/>
      <c r="H48" s="355"/>
      <c r="I48" s="355"/>
    </row>
    <row r="49" spans="4:9" x14ac:dyDescent="0.25">
      <c r="D49" s="355"/>
      <c r="E49" s="355"/>
      <c r="F49" s="355"/>
      <c r="G49" s="355"/>
      <c r="H49" s="355"/>
      <c r="I49" s="355"/>
    </row>
    <row r="50" spans="4:9" x14ac:dyDescent="0.25">
      <c r="D50" s="355"/>
      <c r="E50" s="355"/>
      <c r="F50" s="355"/>
      <c r="G50" s="355"/>
      <c r="H50" s="355"/>
      <c r="I50" s="355"/>
    </row>
    <row r="51" spans="4:9" x14ac:dyDescent="0.25">
      <c r="D51" s="355"/>
      <c r="E51" s="355"/>
      <c r="F51" s="355"/>
      <c r="G51" s="355"/>
      <c r="H51" s="355"/>
      <c r="I51" s="355"/>
    </row>
    <row r="52" spans="4:9" x14ac:dyDescent="0.25">
      <c r="D52" s="355"/>
      <c r="E52" s="355"/>
      <c r="F52" s="355"/>
      <c r="G52" s="355"/>
      <c r="H52" s="355"/>
      <c r="I52" s="355"/>
    </row>
    <row r="53" spans="4:9" x14ac:dyDescent="0.25">
      <c r="D53" s="355"/>
      <c r="E53" s="355"/>
      <c r="F53" s="355"/>
      <c r="G53" s="355"/>
      <c r="H53" s="355"/>
      <c r="I53" s="355"/>
    </row>
    <row r="54" spans="4:9" x14ac:dyDescent="0.25">
      <c r="D54" s="355"/>
      <c r="E54" s="355"/>
      <c r="F54" s="355"/>
      <c r="G54" s="355"/>
      <c r="H54" s="355"/>
      <c r="I54" s="355"/>
    </row>
    <row r="55" spans="4:9" x14ac:dyDescent="0.25">
      <c r="D55" s="355"/>
      <c r="E55" s="355"/>
      <c r="F55" s="355"/>
      <c r="G55" s="355"/>
      <c r="H55" s="355"/>
      <c r="I55" s="355"/>
    </row>
    <row r="56" spans="4:9" x14ac:dyDescent="0.25">
      <c r="D56" s="355"/>
      <c r="E56" s="355"/>
      <c r="F56" s="355"/>
      <c r="G56" s="355"/>
      <c r="H56" s="355"/>
      <c r="I56" s="355"/>
    </row>
    <row r="57" spans="4:9" x14ac:dyDescent="0.25">
      <c r="D57" s="355"/>
      <c r="E57" s="355"/>
      <c r="F57" s="355"/>
      <c r="G57" s="355"/>
      <c r="H57" s="355"/>
      <c r="I57" s="355"/>
    </row>
    <row r="58" spans="4:9" x14ac:dyDescent="0.25">
      <c r="D58" s="355"/>
      <c r="E58" s="355"/>
      <c r="F58" s="355"/>
      <c r="G58" s="355"/>
      <c r="H58" s="355"/>
      <c r="I58" s="355"/>
    </row>
    <row r="59" spans="4:9" x14ac:dyDescent="0.25">
      <c r="D59" s="355"/>
      <c r="E59" s="355"/>
      <c r="F59" s="355"/>
      <c r="G59" s="355"/>
      <c r="H59" s="355"/>
      <c r="I59" s="355"/>
    </row>
  </sheetData>
  <mergeCells count="10">
    <mergeCell ref="K1:K2"/>
    <mergeCell ref="A1:A2"/>
    <mergeCell ref="E1:E2"/>
    <mergeCell ref="J1:J2"/>
    <mergeCell ref="A26:B26"/>
    <mergeCell ref="B1:B2"/>
    <mergeCell ref="C1:C2"/>
    <mergeCell ref="F1:F2"/>
    <mergeCell ref="G1:G2"/>
    <mergeCell ref="H1:H2"/>
  </mergeCells>
  <phoneticPr fontId="3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2</vt:i4>
      </vt:variant>
    </vt:vector>
  </HeadingPairs>
  <TitlesOfParts>
    <vt:vector size="13" baseType="lpstr">
      <vt:lpstr>断面设计</vt:lpstr>
      <vt:lpstr>倒虹管统计</vt:lpstr>
      <vt:lpstr>倒虹管水头损失计算</vt:lpstr>
      <vt:lpstr>中心线</vt:lpstr>
      <vt:lpstr>线路</vt:lpstr>
      <vt:lpstr>水面线计算</vt:lpstr>
      <vt:lpstr>建筑物统计</vt:lpstr>
      <vt:lpstr>坐标表</vt:lpstr>
      <vt:lpstr>渠道开挖类型分桩号</vt:lpstr>
      <vt:lpstr>初设与施工图阶段投资比较0827</vt:lpstr>
      <vt:lpstr>初设与施工图阶段投资比较 1210</vt:lpstr>
      <vt:lpstr>中心线!_123_1</vt:lpstr>
      <vt:lpstr>中心线!桩号坐标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雷明慧</dc:creator>
  <cp:lastModifiedBy>TQ</cp:lastModifiedBy>
  <cp:lastPrinted>2021-05-08T08:01:00Z</cp:lastPrinted>
  <dcterms:created xsi:type="dcterms:W3CDTF">2021-01-28T07:14:00Z</dcterms:created>
  <dcterms:modified xsi:type="dcterms:W3CDTF">2021-12-11T02:59:13Z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2052-11.1.0.10700</vt:lpwstr>
  </property>
  <property fmtid="{D5CDD505-2E9C-101B-9397-08002B2CF9AE}" pid="3" name="ICV">
    <vt:lpwstr>681B85FD8938416FAD4FE4D21CD77E03</vt:lpwstr>
  </property>
</Properties>
</file>