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fgvbr-my.sharepoint.com/personal/lucas_macoris_fgv_br/Documents/Personal/Financial Management - 2024S1/Lecture 17 - Valuation Practical Case/Exercises/"/>
    </mc:Choice>
  </mc:AlternateContent>
  <xr:revisionPtr revIDLastSave="823" documentId="13_ncr:1_{195608BC-E8E1-46C9-B059-AC81C454181C}" xr6:coauthVersionLast="47" xr6:coauthVersionMax="47" xr10:uidLastSave="{3BE04C2E-9711-4378-A0BA-F289D46C4DF2}"/>
  <bookViews>
    <workbookView xWindow="-120" yWindow="-120" windowWidth="29040" windowHeight="15840" xr2:uid="{B4E7DDFA-6931-42DF-9029-6511E49820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0" i="1" l="1"/>
  <c r="D229" i="1"/>
  <c r="I228" i="1"/>
  <c r="H228" i="1"/>
  <c r="G228" i="1"/>
  <c r="F228" i="1"/>
  <c r="E228" i="1"/>
  <c r="D228" i="1"/>
  <c r="I227" i="1"/>
  <c r="I226" i="1"/>
  <c r="H226" i="1"/>
  <c r="G226" i="1"/>
  <c r="F226" i="1"/>
  <c r="E226" i="1"/>
  <c r="D225" i="1"/>
  <c r="I205" i="1"/>
  <c r="H205" i="1"/>
  <c r="G205" i="1"/>
  <c r="D205" i="1"/>
  <c r="D154" i="1"/>
  <c r="G154" i="1" s="1"/>
  <c r="D153" i="1"/>
  <c r="G153" i="1" s="1"/>
  <c r="D152" i="1"/>
  <c r="G152" i="1" s="1"/>
  <c r="C148" i="1"/>
  <c r="C159" i="1" s="1"/>
  <c r="D187" i="1" s="1"/>
  <c r="D189" i="1" s="1"/>
  <c r="I137" i="1"/>
  <c r="H137" i="1"/>
  <c r="I135" i="1"/>
  <c r="H135" i="1"/>
  <c r="G135" i="1"/>
  <c r="F135" i="1"/>
  <c r="E135" i="1"/>
  <c r="D121" i="1"/>
  <c r="D114" i="1"/>
  <c r="D118" i="1" s="1"/>
  <c r="D99" i="1"/>
  <c r="D102" i="1" s="1"/>
  <c r="D104" i="1" s="1"/>
  <c r="D106" i="1" s="1"/>
  <c r="D108" i="1" s="1"/>
  <c r="G89" i="1"/>
  <c r="D89" i="1"/>
  <c r="I81" i="1"/>
  <c r="I105" i="1" s="1"/>
  <c r="I131" i="1" s="1"/>
  <c r="H81" i="1"/>
  <c r="H105" i="1" s="1"/>
  <c r="H131" i="1" s="1"/>
  <c r="E81" i="1"/>
  <c r="E105" i="1" s="1"/>
  <c r="E131" i="1" s="1"/>
  <c r="E80" i="1"/>
  <c r="F81" i="1" s="1"/>
  <c r="F202" i="1" s="1"/>
  <c r="D62" i="1"/>
  <c r="E59" i="1" s="1"/>
  <c r="E61" i="1" s="1"/>
  <c r="L27" i="1"/>
  <c r="I29" i="1"/>
  <c r="I25" i="1"/>
  <c r="D29" i="1"/>
  <c r="D32" i="1" s="1"/>
  <c r="D34" i="1" s="1"/>
  <c r="D36" i="1" s="1"/>
  <c r="D38" i="1" s="1"/>
  <c r="E50" i="1"/>
  <c r="F50" i="1" s="1"/>
  <c r="G50" i="1" s="1"/>
  <c r="H50" i="1" s="1"/>
  <c r="I50" i="1" s="1"/>
  <c r="I98" i="1" s="1"/>
  <c r="E49" i="1"/>
  <c r="F49" i="1" s="1"/>
  <c r="G49" i="1" s="1"/>
  <c r="H49" i="1" s="1"/>
  <c r="I49" i="1" s="1"/>
  <c r="E47" i="1"/>
  <c r="F47" i="1" s="1"/>
  <c r="G47" i="1" s="1"/>
  <c r="H47" i="1" s="1"/>
  <c r="I47" i="1" s="1"/>
  <c r="E45" i="1"/>
  <c r="F45" i="1" s="1"/>
  <c r="G45" i="1" s="1"/>
  <c r="H45" i="1" s="1"/>
  <c r="I45" i="1" s="1"/>
  <c r="C20" i="1"/>
  <c r="D14" i="1"/>
  <c r="C14" i="1"/>
  <c r="D13" i="1"/>
  <c r="C13" i="1"/>
  <c r="E13" i="1" s="1"/>
  <c r="D12" i="1"/>
  <c r="F12" i="1" s="1"/>
  <c r="C12" i="1"/>
  <c r="E12" i="1" s="1"/>
  <c r="H202" i="1" l="1"/>
  <c r="E202" i="1"/>
  <c r="I202" i="1"/>
  <c r="H203" i="1" s="1"/>
  <c r="E205" i="1"/>
  <c r="G98" i="1"/>
  <c r="D122" i="1"/>
  <c r="F105" i="1"/>
  <c r="F131" i="1" s="1"/>
  <c r="F138" i="1"/>
  <c r="I97" i="1"/>
  <c r="F80" i="1"/>
  <c r="F205" i="1" s="1"/>
  <c r="E97" i="1"/>
  <c r="E115" i="1" s="1"/>
  <c r="H98" i="1"/>
  <c r="E138" i="1"/>
  <c r="I138" i="1"/>
  <c r="E137" i="1"/>
  <c r="H138" i="1"/>
  <c r="I101" i="1"/>
  <c r="I119" i="1" s="1"/>
  <c r="E98" i="1"/>
  <c r="I96" i="1"/>
  <c r="I117" i="1" s="1"/>
  <c r="F98" i="1"/>
  <c r="I116" i="1"/>
  <c r="I115" i="1"/>
  <c r="E62" i="1"/>
  <c r="F59" i="1" s="1"/>
  <c r="F61" i="1" s="1"/>
  <c r="F103" i="1" s="1"/>
  <c r="F133" i="1" s="1"/>
  <c r="E103" i="1"/>
  <c r="E133" i="1" s="1"/>
  <c r="F101" i="1"/>
  <c r="F97" i="1"/>
  <c r="H97" i="1"/>
  <c r="G101" i="1"/>
  <c r="E96" i="1"/>
  <c r="E101" i="1"/>
  <c r="H101" i="1"/>
  <c r="G97" i="1"/>
  <c r="H96" i="1"/>
  <c r="F96" i="1"/>
  <c r="G96" i="1"/>
  <c r="F13" i="1"/>
  <c r="E14" i="1"/>
  <c r="F14" i="1"/>
  <c r="G203" i="1" l="1"/>
  <c r="E119" i="1"/>
  <c r="G119" i="1"/>
  <c r="I114" i="1"/>
  <c r="I118" i="1" s="1"/>
  <c r="E116" i="1"/>
  <c r="G81" i="1"/>
  <c r="G202" i="1" s="1"/>
  <c r="G137" i="1"/>
  <c r="F137" i="1"/>
  <c r="E99" i="1"/>
  <c r="I100" i="1"/>
  <c r="I120" i="1" s="1"/>
  <c r="I121" i="1" s="1"/>
  <c r="I99" i="1"/>
  <c r="F119" i="1"/>
  <c r="H119" i="1"/>
  <c r="F99" i="1"/>
  <c r="F100" i="1"/>
  <c r="F120" i="1" s="1"/>
  <c r="F114" i="1"/>
  <c r="F117" i="1"/>
  <c r="G115" i="1"/>
  <c r="G116" i="1"/>
  <c r="F116" i="1"/>
  <c r="F115" i="1"/>
  <c r="H99" i="1"/>
  <c r="H114" i="1"/>
  <c r="H117" i="1"/>
  <c r="H100" i="1"/>
  <c r="H120" i="1" s="1"/>
  <c r="F62" i="1"/>
  <c r="G59" i="1" s="1"/>
  <c r="G61" i="1" s="1"/>
  <c r="G99" i="1"/>
  <c r="G100" i="1"/>
  <c r="G120" i="1" s="1"/>
  <c r="G114" i="1"/>
  <c r="G117" i="1"/>
  <c r="E117" i="1"/>
  <c r="E100" i="1"/>
  <c r="E120" i="1" s="1"/>
  <c r="E114" i="1"/>
  <c r="E118" i="1" s="1"/>
  <c r="H116" i="1"/>
  <c r="H115" i="1"/>
  <c r="H102" i="1" l="1"/>
  <c r="F203" i="1"/>
  <c r="E203" i="1"/>
  <c r="D203" i="1"/>
  <c r="E121" i="1"/>
  <c r="E122" i="1" s="1"/>
  <c r="G121" i="1"/>
  <c r="I102" i="1"/>
  <c r="C167" i="1" s="1"/>
  <c r="C169" i="1" s="1"/>
  <c r="E102" i="1"/>
  <c r="E104" i="1" s="1"/>
  <c r="E106" i="1" s="1"/>
  <c r="E107" i="1" s="1"/>
  <c r="E108" i="1" s="1"/>
  <c r="E130" i="1" s="1"/>
  <c r="E132" i="1" s="1"/>
  <c r="H118" i="1"/>
  <c r="I122" i="1"/>
  <c r="C181" i="1" s="1"/>
  <c r="D181" i="1" s="1"/>
  <c r="G118" i="1"/>
  <c r="G122" i="1" s="1"/>
  <c r="H121" i="1"/>
  <c r="F118" i="1"/>
  <c r="F121" i="1"/>
  <c r="G105" i="1"/>
  <c r="G131" i="1" s="1"/>
  <c r="G138" i="1"/>
  <c r="G62" i="1"/>
  <c r="H59" i="1" s="1"/>
  <c r="G103" i="1"/>
  <c r="G133" i="1" s="1"/>
  <c r="F102" i="1"/>
  <c r="F104" i="1" s="1"/>
  <c r="F106" i="1" s="1"/>
  <c r="G102" i="1"/>
  <c r="F167" i="1" l="1"/>
  <c r="I201" i="1"/>
  <c r="I204" i="1" s="1"/>
  <c r="I206" i="1" s="1"/>
  <c r="C171" i="1"/>
  <c r="F122" i="1"/>
  <c r="F123" i="1" s="1"/>
  <c r="F134" i="1" s="1"/>
  <c r="H122" i="1"/>
  <c r="I123" i="1" s="1"/>
  <c r="I134" i="1" s="1"/>
  <c r="E123" i="1"/>
  <c r="E134" i="1" s="1"/>
  <c r="E136" i="1" s="1"/>
  <c r="G104" i="1"/>
  <c r="G106" i="1" s="1"/>
  <c r="G107" i="1" s="1"/>
  <c r="G108" i="1" s="1"/>
  <c r="G130" i="1" s="1"/>
  <c r="G132" i="1" s="1"/>
  <c r="H61" i="1"/>
  <c r="H103" i="1" s="1"/>
  <c r="F107" i="1"/>
  <c r="F108" i="1" s="1"/>
  <c r="F130" i="1" s="1"/>
  <c r="F132" i="1" s="1"/>
  <c r="E139" i="1" l="1"/>
  <c r="E200" i="1"/>
  <c r="H123" i="1"/>
  <c r="H134" i="1" s="1"/>
  <c r="G123" i="1"/>
  <c r="G134" i="1" s="1"/>
  <c r="G136" i="1" s="1"/>
  <c r="H104" i="1"/>
  <c r="H106" i="1" s="1"/>
  <c r="H107" i="1" s="1"/>
  <c r="H108" i="1" s="1"/>
  <c r="H130" i="1" s="1"/>
  <c r="H132" i="1" s="1"/>
  <c r="H133" i="1"/>
  <c r="F136" i="1"/>
  <c r="H62" i="1"/>
  <c r="I59" i="1" s="1"/>
  <c r="I61" i="1" s="1"/>
  <c r="G139" i="1" l="1"/>
  <c r="G200" i="1"/>
  <c r="F139" i="1"/>
  <c r="F200" i="1"/>
  <c r="H136" i="1"/>
  <c r="I62" i="1"/>
  <c r="C180" i="1" s="1"/>
  <c r="D180" i="1" s="1"/>
  <c r="I103" i="1"/>
  <c r="H139" i="1" l="1"/>
  <c r="H200" i="1"/>
  <c r="I104" i="1"/>
  <c r="I106" i="1" s="1"/>
  <c r="I107" i="1" s="1"/>
  <c r="I108" i="1" s="1"/>
  <c r="I133" i="1"/>
  <c r="I130" i="1" l="1"/>
  <c r="I132" i="1" s="1"/>
  <c r="F168" i="1"/>
  <c r="C179" i="1" l="1"/>
  <c r="F169" i="1"/>
  <c r="I136" i="1"/>
  <c r="I139" i="1" l="1"/>
  <c r="I200" i="1"/>
  <c r="D179" i="1"/>
  <c r="D182" i="1" s="1"/>
  <c r="H201" i="1" l="1"/>
  <c r="H204" i="1" s="1"/>
  <c r="H206" i="1" s="1"/>
  <c r="E201" i="1"/>
  <c r="E204" i="1" s="1"/>
  <c r="E206" i="1" s="1"/>
  <c r="G201" i="1"/>
  <c r="G204" i="1" s="1"/>
  <c r="G206" i="1" s="1"/>
  <c r="D201" i="1"/>
  <c r="D204" i="1" s="1"/>
  <c r="C214" i="1" s="1"/>
  <c r="F201" i="1"/>
  <c r="F204" i="1" s="1"/>
  <c r="F206" i="1" s="1"/>
  <c r="D192" i="1"/>
  <c r="D193" i="1" s="1"/>
  <c r="E194" i="1"/>
  <c r="C213" i="1" l="1"/>
  <c r="C212" i="1"/>
  <c r="D206" i="1"/>
</calcChain>
</file>

<file path=xl/sharedStrings.xml><?xml version="1.0" encoding="utf-8"?>
<sst xmlns="http://schemas.openxmlformats.org/spreadsheetml/2006/main" count="242" uniqueCount="152">
  <si>
    <t>Ratio</t>
  </si>
  <si>
    <t>P/E</t>
  </si>
  <si>
    <t>EV/EBITDA</t>
  </si>
  <si>
    <t>EBITDA/Sales</t>
  </si>
  <si>
    <t>Ideko (proposed)</t>
  </si>
  <si>
    <t>Oakley</t>
  </si>
  <si>
    <t>Luxxotica</t>
  </si>
  <si>
    <t>Nike</t>
  </si>
  <si>
    <t>Sporting Goods</t>
  </si>
  <si>
    <t>EV/Sales</t>
  </si>
  <si>
    <t>Step 1: Valuation using comparable multiples</t>
  </si>
  <si>
    <t>Minimum</t>
  </si>
  <si>
    <t>Maximum</t>
  </si>
  <si>
    <t>Lower Bound</t>
  </si>
  <si>
    <t>Upper Bound</t>
  </si>
  <si>
    <t>Earnings</t>
  </si>
  <si>
    <t>EV</t>
  </si>
  <si>
    <t>Sales</t>
  </si>
  <si>
    <t>EBITDA</t>
  </si>
  <si>
    <t>Sales Data</t>
  </si>
  <si>
    <t>Market Size</t>
  </si>
  <si>
    <t>Market Share</t>
  </si>
  <si>
    <t>Average Sales Price</t>
  </si>
  <si>
    <t>Cost of Goods Sold</t>
  </si>
  <si>
    <t>Raw Materials</t>
  </si>
  <si>
    <t>Direct Labor</t>
  </si>
  <si>
    <t>Operating Expenses Data</t>
  </si>
  <si>
    <t>Sales and Marketing</t>
  </si>
  <si>
    <t>Administrative</t>
  </si>
  <si>
    <t>Tax Rate</t>
  </si>
  <si>
    <t>2006E</t>
  </si>
  <si>
    <t>2007E</t>
  </si>
  <si>
    <t>2008E</t>
  </si>
  <si>
    <t>2009E</t>
  </si>
  <si>
    <t>2010E</t>
  </si>
  <si>
    <t>2005 (Baseline)</t>
  </si>
  <si>
    <t>Step 2: Integrating the Business Plan</t>
  </si>
  <si>
    <t>Income Statement (2005)</t>
  </si>
  <si>
    <t>Direct Labor Costs</t>
  </si>
  <si>
    <t>Gross Profit</t>
  </si>
  <si>
    <t>Depreciation</t>
  </si>
  <si>
    <t>EBIT</t>
  </si>
  <si>
    <t>Interest Expenses</t>
  </si>
  <si>
    <t>Pre-tax Income</t>
  </si>
  <si>
    <t>Income Tax</t>
  </si>
  <si>
    <t>Net Income</t>
  </si>
  <si>
    <t>Assets</t>
  </si>
  <si>
    <t>Cash and Equivalents</t>
  </si>
  <si>
    <t>Accounts Receivable</t>
  </si>
  <si>
    <t>Inventories</t>
  </si>
  <si>
    <t>Current Assets</t>
  </si>
  <si>
    <t>PPE</t>
  </si>
  <si>
    <t>Non-Current Assets</t>
  </si>
  <si>
    <t>Goodwill</t>
  </si>
  <si>
    <t>Liabilities</t>
  </si>
  <si>
    <t>Accounts Payable</t>
  </si>
  <si>
    <t>Debt</t>
  </si>
  <si>
    <t>Total Liabilities</t>
  </si>
  <si>
    <t>Equity</t>
  </si>
  <si>
    <t>Growth Assumptions</t>
  </si>
  <si>
    <t>CAPEX Assumptions</t>
  </si>
  <si>
    <t>CAPEX Investment</t>
  </si>
  <si>
    <t>Book Value - Beginning of Period</t>
  </si>
  <si>
    <t>Book Value - End of Period</t>
  </si>
  <si>
    <t>Finished Goods</t>
  </si>
  <si>
    <t>Minimum Cash Balance</t>
  </si>
  <si>
    <t>Wages Payable</t>
  </si>
  <si>
    <t>Other Accounts Payable</t>
  </si>
  <si>
    <t>Based on</t>
  </si>
  <si>
    <t>Sales Revenue</t>
  </si>
  <si>
    <t>Raw Materials Costs</t>
  </si>
  <si>
    <t>Raw Materials + Labor Costs</t>
  </si>
  <si>
    <t>Direct Labor + Admin Costs</t>
  </si>
  <si>
    <t>Raw Materials + Sales and Marketing</t>
  </si>
  <si>
    <t>Onwards</t>
  </si>
  <si>
    <t>Working Capital Requirements - Assumptions</t>
  </si>
  <si>
    <t>Debt Schedule - Assumptions</t>
  </si>
  <si>
    <t>Outstanding Debt</t>
  </si>
  <si>
    <t>Interst on Term Loan</t>
  </si>
  <si>
    <t>Acquisition Finance - Assumptions</t>
  </si>
  <si>
    <t>New Term Loans</t>
  </si>
  <si>
    <t>Debt Repayment</t>
  </si>
  <si>
    <t>KKP Equity Investment</t>
  </si>
  <si>
    <t>Total Funds Raised</t>
  </si>
  <si>
    <t>Total Funds Used</t>
  </si>
  <si>
    <t>Purcahse Equity</t>
  </si>
  <si>
    <t>Excess Cash</t>
  </si>
  <si>
    <t>Advisory Fees</t>
  </si>
  <si>
    <t>Step 3: the pro-forma Income Statement</t>
  </si>
  <si>
    <t>2005 (actual)</t>
  </si>
  <si>
    <t>Total Current Assets</t>
  </si>
  <si>
    <t>Step 3: forecasting Working capital Needs</t>
  </si>
  <si>
    <t>Total Current Liabilities</t>
  </si>
  <si>
    <t>Net Working Capital</t>
  </si>
  <si>
    <t>Increases (decreases) in NWC</t>
  </si>
  <si>
    <t>Step 4: forecasting the Free Cash Flow</t>
  </si>
  <si>
    <t>Afte-tax Interest Expense</t>
  </si>
  <si>
    <t>= Unlevered Net Income</t>
  </si>
  <si>
    <t>Delta NWC</t>
  </si>
  <si>
    <t>CAPEX</t>
  </si>
  <si>
    <t>Free Cash Flow to the Firm</t>
  </si>
  <si>
    <t>Net Borrowing</t>
  </si>
  <si>
    <t>After-tax Interest Expenses</t>
  </si>
  <si>
    <t>Free Cash Flow to Equity</t>
  </si>
  <si>
    <t>Step 5: forecasting the Cost of Capital</t>
  </si>
  <si>
    <t>Risk-free</t>
  </si>
  <si>
    <t>Market Return</t>
  </si>
  <si>
    <t>Excess Return Premium</t>
  </si>
  <si>
    <t>E/(E+D)</t>
  </si>
  <si>
    <t>D/(E+D)</t>
  </si>
  <si>
    <t>Beta Equity</t>
  </si>
  <si>
    <t>Beta Debt</t>
  </si>
  <si>
    <t>Beta Unlevered</t>
  </si>
  <si>
    <t>Beta_U</t>
  </si>
  <si>
    <t>R_U</t>
  </si>
  <si>
    <t>Ad-hoc decision made in BDM</t>
  </si>
  <si>
    <t>Step 6: valuing the Investment</t>
  </si>
  <si>
    <t>Approach 1: use a multiple like EV/EBITDA, to calculate V^L</t>
  </si>
  <si>
    <t>EBITDA in 2010</t>
  </si>
  <si>
    <t>EBITDA Multiple</t>
  </si>
  <si>
    <t>Enterprise Value</t>
  </si>
  <si>
    <t>Debt in 2010</t>
  </si>
  <si>
    <t>Equity Value</t>
  </si>
  <si>
    <t>P/E (Levered)</t>
  </si>
  <si>
    <t>P/E (Unlevered)</t>
  </si>
  <si>
    <t>Unlevered Net Income</t>
  </si>
  <si>
    <t>NWC</t>
  </si>
  <si>
    <t>Fixed Assets</t>
  </si>
  <si>
    <t>Assuming a D/(D+E) = 40%, WACC is:</t>
  </si>
  <si>
    <t>WACC</t>
  </si>
  <si>
    <t>r_E = r_U + D/E x (r_u - rd)</t>
  </si>
  <si>
    <t>Value Levered in 2010</t>
  </si>
  <si>
    <t>*Assume a 5% growth rate and a D/(D+E) ratio of 40%</t>
  </si>
  <si>
    <t>Implied EV/EBITDA Multiple</t>
  </si>
  <si>
    <t>Implied growth rate to yield the 9.1 EBITDA Multiple</t>
  </si>
  <si>
    <t>Growth rate</t>
  </si>
  <si>
    <t>use goal-seek</t>
  </si>
  <si>
    <t>FCF</t>
  </si>
  <si>
    <t>Unlevered Value (r_u = 10%)</t>
  </si>
  <si>
    <t>Interest Tax Shield</t>
  </si>
  <si>
    <t>PV(Tax-Shield)</t>
  </si>
  <si>
    <t>APV: V_U + PV(Tax-Shield)</t>
  </si>
  <si>
    <t>Approach 2: use WACC to estimate the value in 2010 based on the future cash-flows, and use APV to calculate the value</t>
  </si>
  <si>
    <t>Using APV</t>
  </si>
  <si>
    <t>Ideko (estimated)</t>
  </si>
  <si>
    <t>Our estimated initial EBITDA multiple of 13.1 also exceeds the multiple of 9.1 that we assumed
for the continuation value. Thus, our estimate forecasts a decline in the EBITDA multiple,
which is appropriate given our expectation that growth will be higher in the short run. If the
multiple did not decline, we should question whether our continuation value is too optimistic.</t>
  </si>
  <si>
    <t>Step 7: IRR and cash multiple</t>
  </si>
  <si>
    <t>Initial Investment</t>
  </si>
  <si>
    <t>Continuation Value</t>
  </si>
  <si>
    <t>KKP Cash Flows</t>
  </si>
  <si>
    <t>IRR</t>
  </si>
  <si>
    <t>Cash 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</si>
</sst>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43" formatCode="_(* #,##0.00_);_(* \(#,##0.00\);_(* &quot;-&quot;??_);_(@_)"/>
    <numFmt numFmtId="164" formatCode="0.0%"/>
    <numFmt numFmtId="165" formatCode="0.0"/>
    <numFmt numFmtId="166" formatCode="_(* #,##0.0_);_(* \(#,##0.0\);_(* &quot;-&quot;??_);_(@_)"/>
    <numFmt numFmtId="167" formatCode="_(* #,##0_);_(* \(#,##0\);_(* &quot;-&quot;??_);_(@_)"/>
    <numFmt numFmtId="171" formatCode="_(&quot;$&quot;* #,##0_);_(&quot;$&quot;* \(#,##0\);_(&quot;$&quot;* &quot;-&quot;??_);_(@_)"/>
    <numFmt numFmtId="175" formatCode="0.000%"/>
  </numFmts>
  <fonts count="6" x14ac:knownFonts="1">
    <font>
      <sz val="11"/>
      <color theme="1"/>
      <name val="Aptos Narrow"/>
      <family val="2"/>
      <scheme val="minor"/>
    </font>
    <font>
      <sz val="11"/>
      <color theme="1"/>
      <name val="Aptos Narrow"/>
      <family val="2"/>
      <scheme val="minor"/>
    </font>
    <font>
      <sz val="11"/>
      <color theme="1"/>
      <name val="Arial"/>
      <family val="2"/>
    </font>
    <font>
      <b/>
      <sz val="11"/>
      <color theme="1"/>
      <name val="Arial"/>
      <family val="2"/>
    </font>
    <font>
      <sz val="11"/>
      <color rgb="FFFF0000"/>
      <name val="Arial"/>
      <family val="2"/>
    </font>
    <font>
      <sz val="11"/>
      <color rgb="FF00B05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2" fillId="0" borderId="0" xfId="0" applyFont="1"/>
    <xf numFmtId="9" fontId="2" fillId="0" borderId="0" xfId="0" applyNumberFormat="1" applyFont="1"/>
    <xf numFmtId="10" fontId="2" fillId="0" borderId="0" xfId="0" applyNumberFormat="1" applyFont="1"/>
    <xf numFmtId="0" fontId="3" fillId="0" borderId="1" xfId="0" applyFont="1" applyBorder="1"/>
    <xf numFmtId="0" fontId="2" fillId="2" borderId="0" xfId="0" applyFont="1" applyFill="1"/>
    <xf numFmtId="0" fontId="3" fillId="2" borderId="0" xfId="0" applyFont="1" applyFill="1"/>
    <xf numFmtId="0" fontId="3" fillId="0" borderId="1" xfId="0" applyFont="1" applyBorder="1" applyAlignment="1">
      <alignment horizontal="center"/>
    </xf>
    <xf numFmtId="0" fontId="2" fillId="0" borderId="1" xfId="0" applyFont="1" applyBorder="1" applyAlignment="1">
      <alignment horizontal="center"/>
    </xf>
    <xf numFmtId="165" fontId="2" fillId="0" borderId="1" xfId="0" applyNumberFormat="1" applyFont="1" applyBorder="1" applyAlignment="1">
      <alignment horizontal="center"/>
    </xf>
    <xf numFmtId="164" fontId="2" fillId="0" borderId="1" xfId="0" applyNumberFormat="1"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vertical="center"/>
    </xf>
    <xf numFmtId="166" fontId="2" fillId="0" borderId="1" xfId="1" applyNumberFormat="1" applyFont="1" applyBorder="1"/>
    <xf numFmtId="0" fontId="3" fillId="0" borderId="0" xfId="0" applyFont="1" applyAlignment="1">
      <alignment horizontal="center"/>
    </xf>
    <xf numFmtId="44" fontId="2" fillId="0" borderId="0" xfId="2" applyFont="1"/>
    <xf numFmtId="44" fontId="2" fillId="0" borderId="0" xfId="0" applyNumberFormat="1" applyFont="1"/>
    <xf numFmtId="0" fontId="3" fillId="0" borderId="0" xfId="0" applyFont="1" applyAlignment="1">
      <alignment horizontal="center"/>
    </xf>
    <xf numFmtId="0" fontId="3" fillId="3" borderId="0" xfId="0" applyFont="1" applyFill="1"/>
    <xf numFmtId="0" fontId="2" fillId="3" borderId="0" xfId="0" applyFont="1" applyFill="1"/>
    <xf numFmtId="0" fontId="2" fillId="3" borderId="0" xfId="0" applyFont="1" applyFill="1"/>
    <xf numFmtId="171" fontId="3" fillId="3" borderId="0" xfId="0" applyNumberFormat="1" applyFont="1" applyFill="1"/>
    <xf numFmtId="171" fontId="2" fillId="3" borderId="0" xfId="0" applyNumberFormat="1" applyFont="1" applyFill="1"/>
    <xf numFmtId="0" fontId="3" fillId="3" borderId="0" xfId="0" applyFont="1" applyFill="1" applyAlignment="1">
      <alignment horizontal="center"/>
    </xf>
    <xf numFmtId="44" fontId="2" fillId="4" borderId="0" xfId="0" applyNumberFormat="1" applyFont="1" applyFill="1"/>
    <xf numFmtId="0" fontId="2" fillId="0" borderId="0" xfId="0" applyFont="1" applyAlignment="1">
      <alignment horizontal="center"/>
    </xf>
    <xf numFmtId="0" fontId="2" fillId="0" borderId="0" xfId="0" applyFont="1" applyAlignment="1"/>
    <xf numFmtId="167" fontId="2" fillId="0" borderId="0" xfId="1" applyNumberFormat="1" applyFont="1" applyAlignment="1"/>
    <xf numFmtId="167" fontId="2" fillId="4" borderId="0" xfId="0" applyNumberFormat="1" applyFont="1" applyFill="1" applyAlignment="1"/>
    <xf numFmtId="9" fontId="2" fillId="0" borderId="0" xfId="0" applyNumberFormat="1" applyFont="1" applyAlignment="1"/>
    <xf numFmtId="9" fontId="2" fillId="4" borderId="0" xfId="0" applyNumberFormat="1" applyFont="1" applyFill="1" applyAlignment="1"/>
    <xf numFmtId="44" fontId="2" fillId="0" borderId="0" xfId="2" applyFont="1" applyAlignment="1"/>
    <xf numFmtId="44" fontId="2" fillId="4" borderId="0" xfId="2" applyFont="1" applyFill="1" applyAlignment="1"/>
    <xf numFmtId="0" fontId="3" fillId="0" borderId="0" xfId="0" applyFont="1" applyAlignment="1"/>
    <xf numFmtId="44" fontId="2" fillId="4" borderId="0" xfId="0" applyNumberFormat="1" applyFont="1" applyFill="1" applyAlignment="1"/>
    <xf numFmtId="10" fontId="2" fillId="4" borderId="0" xfId="0" applyNumberFormat="1" applyFont="1" applyFill="1" applyAlignment="1"/>
    <xf numFmtId="0" fontId="2" fillId="0" borderId="0" xfId="0" applyFont="1"/>
    <xf numFmtId="0" fontId="3" fillId="0" borderId="0" xfId="0" applyFont="1"/>
    <xf numFmtId="171" fontId="2" fillId="0" borderId="0" xfId="0" applyNumberFormat="1" applyFont="1"/>
    <xf numFmtId="171" fontId="2" fillId="0" borderId="0" xfId="0" applyNumberFormat="1" applyFont="1" applyAlignment="1">
      <alignment horizontal="center"/>
    </xf>
    <xf numFmtId="171" fontId="2" fillId="0" borderId="0" xfId="0" applyNumberFormat="1" applyFont="1" applyAlignment="1"/>
    <xf numFmtId="171" fontId="3" fillId="0" borderId="0" xfId="0" applyNumberFormat="1" applyFont="1" applyAlignment="1">
      <alignment horizontal="center"/>
    </xf>
    <xf numFmtId="0" fontId="3" fillId="0" borderId="0" xfId="0" applyFont="1"/>
    <xf numFmtId="0" fontId="3" fillId="4" borderId="0" xfId="0" applyFont="1" applyFill="1" applyAlignment="1">
      <alignment horizontal="left"/>
    </xf>
    <xf numFmtId="44" fontId="3" fillId="0" borderId="0" xfId="0" applyNumberFormat="1" applyFont="1"/>
    <xf numFmtId="171" fontId="3" fillId="0" borderId="0" xfId="0" applyNumberFormat="1" applyFont="1"/>
    <xf numFmtId="0" fontId="3" fillId="4" borderId="0" xfId="0" applyFont="1" applyFill="1" applyAlignment="1">
      <alignment horizontal="center"/>
    </xf>
    <xf numFmtId="0" fontId="3" fillId="3" borderId="0" xfId="0" applyFont="1" applyFill="1"/>
    <xf numFmtId="10" fontId="2" fillId="0" borderId="0" xfId="3" applyNumberFormat="1" applyFont="1"/>
    <xf numFmtId="171" fontId="4" fillId="0" borderId="0" xfId="0" applyNumberFormat="1" applyFont="1"/>
    <xf numFmtId="171" fontId="5" fillId="0" borderId="0" xfId="0" applyNumberFormat="1" applyFont="1"/>
    <xf numFmtId="0" fontId="3" fillId="0" borderId="0" xfId="0" quotePrefix="1" applyFont="1"/>
    <xf numFmtId="171" fontId="3" fillId="0" borderId="0" xfId="0" applyNumberFormat="1" applyFont="1" applyAlignment="1"/>
    <xf numFmtId="43" fontId="2" fillId="0" borderId="0" xfId="1" applyFont="1"/>
    <xf numFmtId="43" fontId="2" fillId="4" borderId="0" xfId="0" applyNumberFormat="1" applyFont="1" applyFill="1"/>
    <xf numFmtId="164" fontId="2" fillId="0" borderId="0" xfId="0" applyNumberFormat="1" applyFont="1"/>
    <xf numFmtId="175" fontId="2" fillId="4" borderId="0" xfId="0" applyNumberFormat="1" applyFont="1" applyFill="1"/>
    <xf numFmtId="166" fontId="2" fillId="0" borderId="0" xfId="1" applyNumberFormat="1" applyFont="1"/>
    <xf numFmtId="0" fontId="2" fillId="0" borderId="0" xfId="0" applyFont="1" applyAlignment="1">
      <alignment horizontal="center"/>
    </xf>
    <xf numFmtId="8" fontId="2" fillId="0" borderId="0" xfId="0" applyNumberFormat="1" applyFont="1"/>
    <xf numFmtId="6" fontId="2" fillId="0" borderId="0" xfId="0" applyNumberFormat="1" applyFont="1"/>
    <xf numFmtId="8" fontId="3" fillId="0" borderId="0" xfId="0" applyNumberFormat="1" applyFont="1"/>
    <xf numFmtId="44" fontId="2" fillId="2" borderId="0" xfId="0" applyNumberFormat="1" applyFont="1" applyFill="1"/>
    <xf numFmtId="8" fontId="3" fillId="2" borderId="0" xfId="0" applyNumberFormat="1" applyFont="1" applyFill="1"/>
    <xf numFmtId="0" fontId="3" fillId="2" borderId="1" xfId="0" applyFont="1" applyFill="1" applyBorder="1" applyAlignment="1">
      <alignment horizontal="center"/>
    </xf>
    <xf numFmtId="43" fontId="2" fillId="0" borderId="1" xfId="1" applyFont="1" applyBorder="1" applyAlignment="1">
      <alignment horizontal="center"/>
    </xf>
    <xf numFmtId="0" fontId="2" fillId="0" borderId="0" xfId="0" applyFont="1" applyAlignment="1">
      <alignment horizontal="center" vertical="center" wrapText="1"/>
    </xf>
    <xf numFmtId="171" fontId="2" fillId="0" borderId="0" xfId="2" applyNumberFormat="1" applyFont="1"/>
    <xf numFmtId="171" fontId="3" fillId="0" borderId="0" xfId="2" applyNumberFormat="1" applyFon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6649-8838-4952-BA4D-45EA58EFA595}">
  <dimension ref="A3:L231"/>
  <sheetViews>
    <sheetView showGridLines="0" tabSelected="1" topLeftCell="A187" workbookViewId="0">
      <selection activeCell="D178" sqref="D178"/>
    </sheetView>
  </sheetViews>
  <sheetFormatPr defaultRowHeight="14.25" x14ac:dyDescent="0.2"/>
  <cols>
    <col min="1" max="1" width="9.140625" style="1"/>
    <col min="2" max="2" width="14.42578125" style="1" bestFit="1" customWidth="1"/>
    <col min="3" max="3" width="20.85546875" style="1" customWidth="1"/>
    <col min="4" max="4" width="19" style="1" customWidth="1"/>
    <col min="5" max="7" width="15.5703125" style="1" customWidth="1"/>
    <col min="8" max="10" width="14" style="1" bestFit="1" customWidth="1"/>
    <col min="11" max="11" width="13.28515625" style="1" bestFit="1" customWidth="1"/>
    <col min="12" max="12" width="12.7109375" style="1" bestFit="1" customWidth="1"/>
    <col min="13" max="16384" width="9.140625" style="1"/>
  </cols>
  <sheetData>
    <row r="3" spans="1:7" s="5" customFormat="1" ht="15" x14ac:dyDescent="0.25">
      <c r="A3" s="6" t="s">
        <v>10</v>
      </c>
    </row>
    <row r="5" spans="1:7" ht="15" x14ac:dyDescent="0.25">
      <c r="B5" s="7" t="s">
        <v>0</v>
      </c>
      <c r="C5" s="7" t="s">
        <v>4</v>
      </c>
      <c r="D5" s="7" t="s">
        <v>5</v>
      </c>
      <c r="E5" s="7" t="s">
        <v>6</v>
      </c>
      <c r="F5" s="7" t="s">
        <v>7</v>
      </c>
      <c r="G5" s="7" t="s">
        <v>8</v>
      </c>
    </row>
    <row r="6" spans="1:7" x14ac:dyDescent="0.2">
      <c r="B6" s="8" t="s">
        <v>1</v>
      </c>
      <c r="C6" s="8">
        <v>21.6</v>
      </c>
      <c r="D6" s="9">
        <v>24.8</v>
      </c>
      <c r="E6" s="8">
        <v>28</v>
      </c>
      <c r="F6" s="9">
        <v>18.2</v>
      </c>
      <c r="G6" s="9">
        <v>20.3</v>
      </c>
    </row>
    <row r="7" spans="1:7" x14ac:dyDescent="0.2">
      <c r="B7" s="8" t="s">
        <v>9</v>
      </c>
      <c r="C7" s="8">
        <v>2</v>
      </c>
      <c r="D7" s="8">
        <v>2</v>
      </c>
      <c r="E7" s="8">
        <v>2.7</v>
      </c>
      <c r="F7" s="8">
        <v>1.5</v>
      </c>
      <c r="G7" s="8">
        <v>1.4</v>
      </c>
    </row>
    <row r="8" spans="1:7" x14ac:dyDescent="0.2">
      <c r="B8" s="8" t="s">
        <v>2</v>
      </c>
      <c r="C8" s="8">
        <v>9.1</v>
      </c>
      <c r="D8" s="8">
        <v>11.6</v>
      </c>
      <c r="E8" s="8">
        <v>14.4</v>
      </c>
      <c r="F8" s="8">
        <v>9.3000000000000007</v>
      </c>
      <c r="G8" s="8">
        <v>11.4</v>
      </c>
    </row>
    <row r="9" spans="1:7" x14ac:dyDescent="0.2">
      <c r="B9" s="8" t="s">
        <v>3</v>
      </c>
      <c r="C9" s="10">
        <v>0.217</v>
      </c>
      <c r="D9" s="11">
        <v>0.17</v>
      </c>
      <c r="E9" s="12">
        <v>0.185</v>
      </c>
      <c r="F9" s="12">
        <v>0.159</v>
      </c>
      <c r="G9" s="12">
        <v>0.21099999999999999</v>
      </c>
    </row>
    <row r="11" spans="1:7" ht="15" x14ac:dyDescent="0.25">
      <c r="C11" s="7" t="s">
        <v>11</v>
      </c>
      <c r="D11" s="7" t="s">
        <v>12</v>
      </c>
      <c r="E11" s="4" t="s">
        <v>13</v>
      </c>
      <c r="F11" s="4" t="s">
        <v>14</v>
      </c>
    </row>
    <row r="12" spans="1:7" x14ac:dyDescent="0.2">
      <c r="B12" s="13" t="s">
        <v>1</v>
      </c>
      <c r="C12" s="14">
        <f>MIN(C6:G6)</f>
        <v>18.2</v>
      </c>
      <c r="D12" s="14">
        <f>MAX(C6:G6)</f>
        <v>28</v>
      </c>
      <c r="E12" s="15">
        <f>C12*$C$17</f>
        <v>126.30800000000001</v>
      </c>
      <c r="F12" s="15">
        <f>D12*$C$17</f>
        <v>194.32000000000002</v>
      </c>
    </row>
    <row r="13" spans="1:7" x14ac:dyDescent="0.2">
      <c r="B13" s="13" t="s">
        <v>9</v>
      </c>
      <c r="C13" s="14">
        <f>MIN(C7:G7)</f>
        <v>1.4</v>
      </c>
      <c r="D13" s="14">
        <f>MAX(C7:G7)</f>
        <v>2.7</v>
      </c>
      <c r="E13" s="15">
        <f>C13*$C$18+$C$20</f>
        <v>107</v>
      </c>
      <c r="F13" s="15">
        <f>D13*$C$18+$C$20</f>
        <v>204.5</v>
      </c>
    </row>
    <row r="14" spans="1:7" x14ac:dyDescent="0.2">
      <c r="B14" s="13" t="s">
        <v>2</v>
      </c>
      <c r="C14" s="14">
        <f>MIN(C8:G8)</f>
        <v>9.1</v>
      </c>
      <c r="D14" s="14">
        <f>MAX(C8:G8)</f>
        <v>14.4</v>
      </c>
      <c r="E14" s="15">
        <f>C14*$C$19+$C$20</f>
        <v>149.875</v>
      </c>
      <c r="F14" s="15">
        <f>D14*$C$19+$C$20</f>
        <v>236</v>
      </c>
    </row>
    <row r="17" spans="1:12" x14ac:dyDescent="0.2">
      <c r="B17" s="1" t="s">
        <v>15</v>
      </c>
      <c r="C17" s="1">
        <v>6.94</v>
      </c>
    </row>
    <row r="18" spans="1:12" x14ac:dyDescent="0.2">
      <c r="B18" s="1" t="s">
        <v>17</v>
      </c>
      <c r="C18" s="1">
        <v>75</v>
      </c>
    </row>
    <row r="19" spans="1:12" x14ac:dyDescent="0.2">
      <c r="B19" s="1" t="s">
        <v>18</v>
      </c>
      <c r="C19" s="1">
        <v>16.25</v>
      </c>
    </row>
    <row r="20" spans="1:12" x14ac:dyDescent="0.2">
      <c r="B20" s="1" t="s">
        <v>16</v>
      </c>
      <c r="C20" s="1">
        <f>6.5-4.5</f>
        <v>2</v>
      </c>
    </row>
    <row r="22" spans="1:12" s="5" customFormat="1" ht="15" x14ac:dyDescent="0.25">
      <c r="A22" s="6" t="s">
        <v>36</v>
      </c>
    </row>
    <row r="23" spans="1:12" s="21" customFormat="1" ht="15" x14ac:dyDescent="0.25">
      <c r="A23" s="20"/>
    </row>
    <row r="24" spans="1:12" s="21" customFormat="1" ht="15" x14ac:dyDescent="0.25">
      <c r="A24" s="20"/>
      <c r="G24" s="25" t="s">
        <v>46</v>
      </c>
      <c r="H24" s="25"/>
      <c r="I24" s="25"/>
      <c r="J24" s="25" t="s">
        <v>54</v>
      </c>
      <c r="K24" s="25"/>
      <c r="L24" s="25"/>
    </row>
    <row r="25" spans="1:12" s="21" customFormat="1" ht="15" x14ac:dyDescent="0.25">
      <c r="A25" s="20"/>
      <c r="B25" s="25" t="s">
        <v>37</v>
      </c>
      <c r="C25" s="25"/>
      <c r="D25" s="25"/>
      <c r="G25" s="22" t="s">
        <v>50</v>
      </c>
      <c r="H25" s="22"/>
      <c r="I25" s="23">
        <f>SUM(I26:I28)</f>
        <v>37322</v>
      </c>
      <c r="J25" s="22" t="s">
        <v>55</v>
      </c>
      <c r="K25" s="22"/>
      <c r="L25" s="24">
        <v>4654</v>
      </c>
    </row>
    <row r="26" spans="1:12" s="21" customFormat="1" ht="15" x14ac:dyDescent="0.25">
      <c r="A26" s="20"/>
      <c r="B26" s="22" t="s">
        <v>17</v>
      </c>
      <c r="C26" s="22"/>
      <c r="D26" s="23">
        <v>75000</v>
      </c>
      <c r="G26" s="22" t="s">
        <v>47</v>
      </c>
      <c r="H26" s="22"/>
      <c r="I26" s="24">
        <v>12664</v>
      </c>
      <c r="J26" s="22" t="s">
        <v>56</v>
      </c>
      <c r="K26" s="22"/>
      <c r="L26" s="24">
        <v>4500</v>
      </c>
    </row>
    <row r="27" spans="1:12" s="21" customFormat="1" ht="15" x14ac:dyDescent="0.25">
      <c r="A27" s="20"/>
      <c r="B27" s="22" t="s">
        <v>24</v>
      </c>
      <c r="C27" s="22"/>
      <c r="D27" s="24">
        <v>-16000</v>
      </c>
      <c r="G27" s="22" t="s">
        <v>48</v>
      </c>
      <c r="H27" s="22"/>
      <c r="I27" s="24">
        <v>18493</v>
      </c>
      <c r="J27" s="22" t="s">
        <v>57</v>
      </c>
      <c r="K27" s="22"/>
      <c r="L27" s="23">
        <f>SUM(L25:L26)</f>
        <v>9154</v>
      </c>
    </row>
    <row r="28" spans="1:12" s="21" customFormat="1" ht="15" x14ac:dyDescent="0.25">
      <c r="A28" s="20"/>
      <c r="B28" s="22" t="s">
        <v>38</v>
      </c>
      <c r="C28" s="22"/>
      <c r="D28" s="24">
        <v>-18000</v>
      </c>
      <c r="G28" s="22" t="s">
        <v>49</v>
      </c>
      <c r="H28" s="22"/>
      <c r="I28" s="24">
        <v>6165</v>
      </c>
      <c r="J28" s="22" t="s">
        <v>58</v>
      </c>
      <c r="K28" s="22"/>
      <c r="L28" s="23">
        <v>77668</v>
      </c>
    </row>
    <row r="29" spans="1:12" s="21" customFormat="1" ht="15" x14ac:dyDescent="0.25">
      <c r="A29" s="20"/>
      <c r="B29" s="22" t="s">
        <v>39</v>
      </c>
      <c r="C29" s="22"/>
      <c r="D29" s="24">
        <f>SUM(D26:D28)</f>
        <v>41000</v>
      </c>
      <c r="G29" s="22" t="s">
        <v>52</v>
      </c>
      <c r="H29" s="22"/>
      <c r="I29" s="23">
        <f>SUM(I30:I31)</f>
        <v>49500</v>
      </c>
      <c r="J29" s="22"/>
      <c r="K29" s="22"/>
    </row>
    <row r="30" spans="1:12" s="21" customFormat="1" ht="15" x14ac:dyDescent="0.25">
      <c r="A30" s="20"/>
      <c r="B30" s="22" t="s">
        <v>27</v>
      </c>
      <c r="C30" s="22"/>
      <c r="D30" s="24">
        <v>-11250</v>
      </c>
      <c r="G30" s="22" t="s">
        <v>51</v>
      </c>
      <c r="H30" s="22"/>
      <c r="I30" s="24">
        <v>49500</v>
      </c>
      <c r="J30" s="22"/>
      <c r="K30" s="22"/>
    </row>
    <row r="31" spans="1:12" s="21" customFormat="1" ht="15" x14ac:dyDescent="0.25">
      <c r="A31" s="20"/>
      <c r="B31" s="22" t="s">
        <v>28</v>
      </c>
      <c r="C31" s="22"/>
      <c r="D31" s="24">
        <v>-13500</v>
      </c>
      <c r="G31" s="22" t="s">
        <v>53</v>
      </c>
      <c r="H31" s="22"/>
      <c r="I31" s="24">
        <v>0</v>
      </c>
      <c r="J31" s="22"/>
      <c r="K31" s="22"/>
    </row>
    <row r="32" spans="1:12" s="21" customFormat="1" ht="15" x14ac:dyDescent="0.25">
      <c r="A32" s="20"/>
      <c r="B32" s="22" t="s">
        <v>18</v>
      </c>
      <c r="C32" s="22"/>
      <c r="D32" s="24">
        <f>SUM(D29:D31)</f>
        <v>16250</v>
      </c>
    </row>
    <row r="33" spans="1:9" s="21" customFormat="1" ht="15" x14ac:dyDescent="0.25">
      <c r="A33" s="20"/>
      <c r="B33" s="22" t="s">
        <v>40</v>
      </c>
      <c r="C33" s="22"/>
      <c r="D33" s="24">
        <v>-5500</v>
      </c>
    </row>
    <row r="34" spans="1:9" s="21" customFormat="1" ht="15" x14ac:dyDescent="0.25">
      <c r="A34" s="20"/>
      <c r="B34" s="22" t="s">
        <v>41</v>
      </c>
      <c r="C34" s="22"/>
      <c r="D34" s="24">
        <f>SUM(D32:D33)</f>
        <v>10750</v>
      </c>
    </row>
    <row r="35" spans="1:9" s="21" customFormat="1" ht="15" x14ac:dyDescent="0.25">
      <c r="A35" s="20"/>
      <c r="B35" s="22" t="s">
        <v>42</v>
      </c>
      <c r="C35" s="22"/>
      <c r="D35" s="24">
        <v>-75</v>
      </c>
    </row>
    <row r="36" spans="1:9" s="21" customFormat="1" ht="15" x14ac:dyDescent="0.25">
      <c r="A36" s="20"/>
      <c r="B36" s="22" t="s">
        <v>43</v>
      </c>
      <c r="C36" s="22"/>
      <c r="D36" s="24">
        <f>SUM(D34:D35)</f>
        <v>10675</v>
      </c>
    </row>
    <row r="37" spans="1:9" s="21" customFormat="1" ht="15" x14ac:dyDescent="0.25">
      <c r="A37" s="20"/>
      <c r="B37" s="22" t="s">
        <v>44</v>
      </c>
      <c r="C37" s="22"/>
      <c r="D37" s="24">
        <v>-3736</v>
      </c>
    </row>
    <row r="38" spans="1:9" s="21" customFormat="1" ht="15" x14ac:dyDescent="0.25">
      <c r="A38" s="20"/>
      <c r="B38" s="22" t="s">
        <v>45</v>
      </c>
      <c r="C38" s="22"/>
      <c r="D38" s="24">
        <f>SUM(D36:D37)</f>
        <v>6939</v>
      </c>
    </row>
    <row r="39" spans="1:9" s="21" customFormat="1" ht="15" x14ac:dyDescent="0.25">
      <c r="A39" s="20"/>
    </row>
    <row r="40" spans="1:9" s="21" customFormat="1" ht="15" x14ac:dyDescent="0.25">
      <c r="A40" s="20"/>
    </row>
    <row r="41" spans="1:9" s="21" customFormat="1" ht="15" x14ac:dyDescent="0.25">
      <c r="A41" s="20"/>
    </row>
    <row r="42" spans="1:9" s="21" customFormat="1" ht="15" x14ac:dyDescent="0.25">
      <c r="A42" s="20"/>
      <c r="B42" s="45" t="s">
        <v>59</v>
      </c>
      <c r="C42" s="45"/>
      <c r="D42" s="45"/>
    </row>
    <row r="43" spans="1:9" ht="15" x14ac:dyDescent="0.25">
      <c r="C43" s="16"/>
      <c r="D43" s="16" t="s">
        <v>35</v>
      </c>
      <c r="E43" s="16" t="s">
        <v>30</v>
      </c>
      <c r="F43" s="16" t="s">
        <v>31</v>
      </c>
      <c r="G43" s="16" t="s">
        <v>32</v>
      </c>
      <c r="H43" s="16" t="s">
        <v>33</v>
      </c>
      <c r="I43" s="16" t="s">
        <v>34</v>
      </c>
    </row>
    <row r="44" spans="1:9" ht="15" x14ac:dyDescent="0.25">
      <c r="B44" s="19" t="s">
        <v>19</v>
      </c>
      <c r="C44" s="19"/>
      <c r="D44" s="19"/>
      <c r="E44" s="19"/>
      <c r="F44" s="19"/>
      <c r="G44" s="19"/>
      <c r="H44" s="19"/>
      <c r="I44" s="19"/>
    </row>
    <row r="45" spans="1:9" x14ac:dyDescent="0.2">
      <c r="A45" s="2">
        <v>0.05</v>
      </c>
      <c r="B45" s="28" t="s">
        <v>20</v>
      </c>
      <c r="C45" s="28"/>
      <c r="D45" s="29">
        <v>10000</v>
      </c>
      <c r="E45" s="30">
        <f>D45*(1+$A$45)</f>
        <v>10500</v>
      </c>
      <c r="F45" s="30">
        <f>E45*(1+$A$45)</f>
        <v>11025</v>
      </c>
      <c r="G45" s="30">
        <f>F45*(1+$A$45)</f>
        <v>11576.25</v>
      </c>
      <c r="H45" s="30">
        <f>G45*(1+$A$45)</f>
        <v>12155.0625</v>
      </c>
      <c r="I45" s="30">
        <f>H45*(1+$A$45)</f>
        <v>12762.815625000001</v>
      </c>
    </row>
    <row r="46" spans="1:9" x14ac:dyDescent="0.2">
      <c r="A46" s="2">
        <v>0.01</v>
      </c>
      <c r="B46" s="28" t="s">
        <v>21</v>
      </c>
      <c r="C46" s="28"/>
      <c r="D46" s="31">
        <v>0.1</v>
      </c>
      <c r="E46" s="32">
        <v>0.11</v>
      </c>
      <c r="F46" s="32">
        <v>0.12</v>
      </c>
      <c r="G46" s="32">
        <v>0.13</v>
      </c>
      <c r="H46" s="32">
        <v>0.14000000000000001</v>
      </c>
      <c r="I46" s="32">
        <v>0.15</v>
      </c>
    </row>
    <row r="47" spans="1:9" x14ac:dyDescent="0.2">
      <c r="A47" s="2">
        <v>0.02</v>
      </c>
      <c r="B47" s="28" t="s">
        <v>22</v>
      </c>
      <c r="C47" s="28"/>
      <c r="D47" s="33">
        <v>75</v>
      </c>
      <c r="E47" s="34">
        <f>D47*(1+$A$47)</f>
        <v>76.5</v>
      </c>
      <c r="F47" s="34">
        <f>E47*(1+$A$47)</f>
        <v>78.03</v>
      </c>
      <c r="G47" s="34">
        <f>F47*(1+$A$47)</f>
        <v>79.590600000000009</v>
      </c>
      <c r="H47" s="34">
        <f>G47*(1+$A$47)</f>
        <v>81.182412000000014</v>
      </c>
      <c r="I47" s="34">
        <f>H47*(1+$A$47)</f>
        <v>82.806060240000022</v>
      </c>
    </row>
    <row r="48" spans="1:9" ht="15" x14ac:dyDescent="0.25">
      <c r="B48" s="35" t="s">
        <v>23</v>
      </c>
      <c r="C48" s="35"/>
      <c r="D48" s="35"/>
      <c r="E48" s="35"/>
      <c r="F48" s="35"/>
      <c r="G48" s="35"/>
      <c r="H48" s="35"/>
      <c r="I48" s="35"/>
    </row>
    <row r="49" spans="1:9" x14ac:dyDescent="0.2">
      <c r="A49" s="2">
        <v>0.01</v>
      </c>
      <c r="B49" s="28" t="s">
        <v>24</v>
      </c>
      <c r="C49" s="28"/>
      <c r="D49" s="33">
        <v>16</v>
      </c>
      <c r="E49" s="36">
        <f>D49*(1+$A$49)</f>
        <v>16.16</v>
      </c>
      <c r="F49" s="36">
        <f>E49*(1+$A$49)</f>
        <v>16.3216</v>
      </c>
      <c r="G49" s="36">
        <f>F49*(1+$A$49)</f>
        <v>16.484815999999999</v>
      </c>
      <c r="H49" s="36">
        <f>G49*(1+$A$49)</f>
        <v>16.64966416</v>
      </c>
      <c r="I49" s="36">
        <f>H49*(1+$A$49)</f>
        <v>16.816160801599999</v>
      </c>
    </row>
    <row r="50" spans="1:9" x14ac:dyDescent="0.2">
      <c r="A50" s="2">
        <v>0.04</v>
      </c>
      <c r="B50" s="28" t="s">
        <v>25</v>
      </c>
      <c r="C50" s="28"/>
      <c r="D50" s="33">
        <v>18</v>
      </c>
      <c r="E50" s="36">
        <f>D50*(1+$A$50)</f>
        <v>18.72</v>
      </c>
      <c r="F50" s="36">
        <f>E50*(1+$A$50)</f>
        <v>19.468799999999998</v>
      </c>
      <c r="G50" s="36">
        <f>F50*(1+$A$50)</f>
        <v>20.247551999999999</v>
      </c>
      <c r="H50" s="36">
        <f>G50*(1+$A$50)</f>
        <v>21.057454079999999</v>
      </c>
      <c r="I50" s="36">
        <f>H50*(1+$A$50)</f>
        <v>21.899752243200002</v>
      </c>
    </row>
    <row r="51" spans="1:9" ht="15" x14ac:dyDescent="0.25">
      <c r="B51" s="35" t="s">
        <v>26</v>
      </c>
      <c r="C51" s="35"/>
      <c r="D51" s="35"/>
      <c r="E51" s="35"/>
      <c r="F51" s="35"/>
      <c r="G51" s="35"/>
      <c r="H51" s="35"/>
      <c r="I51" s="35"/>
    </row>
    <row r="52" spans="1:9" x14ac:dyDescent="0.2">
      <c r="B52" s="28" t="s">
        <v>27</v>
      </c>
      <c r="C52" s="28"/>
      <c r="D52" s="31">
        <v>0.15</v>
      </c>
      <c r="E52" s="37">
        <v>0.16500000000000001</v>
      </c>
      <c r="F52" s="32">
        <v>0.18</v>
      </c>
      <c r="G52" s="37">
        <v>0.19500000000000001</v>
      </c>
      <c r="H52" s="32">
        <v>0.2</v>
      </c>
      <c r="I52" s="32">
        <v>0.2</v>
      </c>
    </row>
    <row r="53" spans="1:9" x14ac:dyDescent="0.2">
      <c r="B53" s="28" t="s">
        <v>28</v>
      </c>
      <c r="C53" s="28"/>
      <c r="D53" s="31">
        <v>0.18</v>
      </c>
      <c r="E53" s="32">
        <v>0.15</v>
      </c>
      <c r="F53" s="32">
        <v>0.15</v>
      </c>
      <c r="G53" s="32">
        <v>0.14000000000000001</v>
      </c>
      <c r="H53" s="32">
        <v>0.13</v>
      </c>
      <c r="I53" s="32">
        <v>0.13</v>
      </c>
    </row>
    <row r="54" spans="1:9" x14ac:dyDescent="0.2">
      <c r="B54" s="28" t="s">
        <v>29</v>
      </c>
      <c r="C54" s="28"/>
      <c r="D54" s="31">
        <v>0.35</v>
      </c>
      <c r="E54" s="32">
        <v>0.35</v>
      </c>
      <c r="F54" s="32">
        <v>0.35</v>
      </c>
      <c r="G54" s="32">
        <v>0.35</v>
      </c>
      <c r="H54" s="32">
        <v>0.35</v>
      </c>
      <c r="I54" s="32">
        <v>0.35</v>
      </c>
    </row>
    <row r="57" spans="1:9" ht="15" x14ac:dyDescent="0.25">
      <c r="B57" s="45" t="s">
        <v>60</v>
      </c>
      <c r="C57" s="45"/>
      <c r="D57" s="45"/>
    </row>
    <row r="58" spans="1:9" ht="15" x14ac:dyDescent="0.25">
      <c r="D58" s="16" t="s">
        <v>35</v>
      </c>
      <c r="E58" s="16" t="s">
        <v>30</v>
      </c>
      <c r="F58" s="16" t="s">
        <v>31</v>
      </c>
      <c r="G58" s="16" t="s">
        <v>32</v>
      </c>
      <c r="H58" s="16" t="s">
        <v>33</v>
      </c>
      <c r="I58" s="16" t="s">
        <v>34</v>
      </c>
    </row>
    <row r="59" spans="1:9" ht="15" x14ac:dyDescent="0.25">
      <c r="B59" s="39" t="s">
        <v>62</v>
      </c>
      <c r="C59" s="39"/>
      <c r="D59" s="41">
        <v>50000</v>
      </c>
      <c r="E59" s="41">
        <f>D62</f>
        <v>49500</v>
      </c>
      <c r="F59" s="41">
        <f>E62</f>
        <v>49050</v>
      </c>
      <c r="G59" s="41">
        <f>F62</f>
        <v>48645</v>
      </c>
      <c r="H59" s="41">
        <f>G62</f>
        <v>61780.5</v>
      </c>
      <c r="I59" s="41">
        <f>H62</f>
        <v>69102.45</v>
      </c>
    </row>
    <row r="60" spans="1:9" x14ac:dyDescent="0.2">
      <c r="B60" s="38" t="s">
        <v>61</v>
      </c>
      <c r="C60" s="38"/>
      <c r="D60" s="41">
        <v>5000</v>
      </c>
      <c r="E60" s="41">
        <v>5000</v>
      </c>
      <c r="F60" s="41">
        <v>5000</v>
      </c>
      <c r="G60" s="41">
        <v>20000</v>
      </c>
      <c r="H60" s="41">
        <v>15000</v>
      </c>
      <c r="I60" s="41">
        <v>8000</v>
      </c>
    </row>
    <row r="61" spans="1:9" x14ac:dyDescent="0.2">
      <c r="B61" s="38" t="s">
        <v>40</v>
      </c>
      <c r="C61" s="38"/>
      <c r="D61" s="41">
        <v>-5500</v>
      </c>
      <c r="E61" s="41">
        <f>-10%*SUM(E59:E60)</f>
        <v>-5450</v>
      </c>
      <c r="F61" s="41">
        <f>-10%*SUM(F59:F60)</f>
        <v>-5405</v>
      </c>
      <c r="G61" s="41">
        <f>-10%*SUM(G59:G60)</f>
        <v>-6864.5</v>
      </c>
      <c r="H61" s="41">
        <f>-10%*SUM(H59:H60)</f>
        <v>-7678.05</v>
      </c>
      <c r="I61" s="41">
        <f>-10%*SUM(I59:I60)</f>
        <v>-7710.2449999999999</v>
      </c>
    </row>
    <row r="62" spans="1:9" ht="15" x14ac:dyDescent="0.25">
      <c r="B62" s="39" t="s">
        <v>63</v>
      </c>
      <c r="C62" s="39"/>
      <c r="D62" s="43">
        <f>SUM(D59:D61)</f>
        <v>49500</v>
      </c>
      <c r="E62" s="43">
        <f>SUM(E59:E61)</f>
        <v>49050</v>
      </c>
      <c r="F62" s="43">
        <f>SUM(F59:F61)</f>
        <v>48645</v>
      </c>
      <c r="G62" s="43">
        <f>SUM(G59:G61)</f>
        <v>61780.5</v>
      </c>
      <c r="H62" s="43">
        <f>SUM(H59:H61)</f>
        <v>69102.45</v>
      </c>
      <c r="I62" s="43">
        <f>SUM(I59:I61)</f>
        <v>69392.205000000002</v>
      </c>
    </row>
    <row r="66" spans="2:9" ht="15" x14ac:dyDescent="0.25">
      <c r="B66" s="45" t="s">
        <v>75</v>
      </c>
      <c r="C66" s="45"/>
      <c r="D66" s="45"/>
    </row>
    <row r="68" spans="2:9" ht="15" x14ac:dyDescent="0.25">
      <c r="B68" s="44" t="s">
        <v>46</v>
      </c>
      <c r="D68" s="44" t="s">
        <v>68</v>
      </c>
      <c r="F68" s="16">
        <v>2005</v>
      </c>
      <c r="G68" s="16" t="s">
        <v>74</v>
      </c>
    </row>
    <row r="69" spans="2:9" x14ac:dyDescent="0.2">
      <c r="B69" s="1" t="s">
        <v>48</v>
      </c>
      <c r="D69" s="1" t="s">
        <v>69</v>
      </c>
      <c r="F69" s="27">
        <v>90</v>
      </c>
      <c r="G69" s="27">
        <v>60</v>
      </c>
    </row>
    <row r="70" spans="2:9" x14ac:dyDescent="0.2">
      <c r="B70" s="1" t="s">
        <v>24</v>
      </c>
      <c r="D70" s="1" t="s">
        <v>70</v>
      </c>
      <c r="F70" s="27">
        <v>45</v>
      </c>
      <c r="G70" s="27">
        <v>30</v>
      </c>
    </row>
    <row r="71" spans="2:9" x14ac:dyDescent="0.2">
      <c r="B71" s="1" t="s">
        <v>64</v>
      </c>
      <c r="D71" s="1" t="s">
        <v>71</v>
      </c>
      <c r="F71" s="27">
        <v>45</v>
      </c>
      <c r="G71" s="27">
        <v>45</v>
      </c>
    </row>
    <row r="72" spans="2:9" x14ac:dyDescent="0.2">
      <c r="B72" s="1" t="s">
        <v>65</v>
      </c>
      <c r="D72" s="1" t="s">
        <v>69</v>
      </c>
      <c r="F72" s="27">
        <v>30</v>
      </c>
      <c r="G72" s="27">
        <v>30</v>
      </c>
    </row>
    <row r="73" spans="2:9" ht="15" x14ac:dyDescent="0.25">
      <c r="B73" s="44" t="s">
        <v>54</v>
      </c>
      <c r="F73" s="27"/>
      <c r="G73" s="27"/>
    </row>
    <row r="74" spans="2:9" x14ac:dyDescent="0.2">
      <c r="B74" s="1" t="s">
        <v>66</v>
      </c>
      <c r="D74" s="1" t="s">
        <v>72</v>
      </c>
      <c r="F74" s="27">
        <v>15</v>
      </c>
      <c r="G74" s="27">
        <v>15</v>
      </c>
    </row>
    <row r="75" spans="2:9" x14ac:dyDescent="0.2">
      <c r="B75" s="1" t="s">
        <v>67</v>
      </c>
      <c r="D75" s="1" t="s">
        <v>73</v>
      </c>
      <c r="F75" s="27">
        <v>45</v>
      </c>
      <c r="G75" s="27">
        <v>45</v>
      </c>
    </row>
    <row r="78" spans="2:9" ht="15" x14ac:dyDescent="0.25">
      <c r="B78" s="45" t="s">
        <v>76</v>
      </c>
      <c r="C78" s="45"/>
      <c r="D78" s="45"/>
    </row>
    <row r="79" spans="2:9" ht="15" x14ac:dyDescent="0.25">
      <c r="D79" s="16" t="s">
        <v>35</v>
      </c>
      <c r="E79" s="16" t="s">
        <v>30</v>
      </c>
      <c r="F79" s="16" t="s">
        <v>31</v>
      </c>
      <c r="G79" s="16" t="s">
        <v>32</v>
      </c>
      <c r="H79" s="16" t="s">
        <v>33</v>
      </c>
      <c r="I79" s="16" t="s">
        <v>34</v>
      </c>
    </row>
    <row r="80" spans="2:9" x14ac:dyDescent="0.2">
      <c r="B80" s="1" t="s">
        <v>77</v>
      </c>
      <c r="D80" s="18">
        <v>100000</v>
      </c>
      <c r="E80" s="18">
        <f>D80</f>
        <v>100000</v>
      </c>
      <c r="F80" s="18">
        <f>E80</f>
        <v>100000</v>
      </c>
      <c r="G80" s="18">
        <v>115000</v>
      </c>
      <c r="H80" s="18">
        <v>120000</v>
      </c>
      <c r="I80" s="18">
        <v>120000</v>
      </c>
    </row>
    <row r="81" spans="1:9" x14ac:dyDescent="0.2">
      <c r="B81" s="1" t="s">
        <v>78</v>
      </c>
      <c r="D81" s="3">
        <v>6.8000000000000005E-2</v>
      </c>
      <c r="E81" s="18">
        <f>-$D$81*D80</f>
        <v>-6800.0000000000009</v>
      </c>
      <c r="F81" s="18">
        <f>-$D$81*E80</f>
        <v>-6800.0000000000009</v>
      </c>
      <c r="G81" s="18">
        <f>-$D$81*F80</f>
        <v>-6800.0000000000009</v>
      </c>
      <c r="H81" s="18">
        <f>-$D$81*G80</f>
        <v>-7820.0000000000009</v>
      </c>
      <c r="I81" s="18">
        <f>-$D$81*H80</f>
        <v>-8160.0000000000009</v>
      </c>
    </row>
    <row r="84" spans="1:9" ht="15" x14ac:dyDescent="0.25">
      <c r="B84" s="45" t="s">
        <v>79</v>
      </c>
      <c r="C84" s="45"/>
      <c r="D84" s="45"/>
    </row>
    <row r="86" spans="1:9" x14ac:dyDescent="0.2">
      <c r="B86" s="38" t="s">
        <v>80</v>
      </c>
      <c r="C86" s="38"/>
      <c r="D86" s="40">
        <v>100000</v>
      </c>
      <c r="E86" s="38" t="s">
        <v>85</v>
      </c>
      <c r="F86" s="38"/>
      <c r="G86" s="40">
        <v>150000</v>
      </c>
    </row>
    <row r="87" spans="1:9" x14ac:dyDescent="0.2">
      <c r="B87" s="38" t="s">
        <v>86</v>
      </c>
      <c r="C87" s="38"/>
      <c r="D87" s="40">
        <v>6500</v>
      </c>
      <c r="E87" s="38" t="s">
        <v>81</v>
      </c>
      <c r="F87" s="38"/>
      <c r="G87" s="40">
        <v>4500</v>
      </c>
    </row>
    <row r="88" spans="1:9" x14ac:dyDescent="0.2">
      <c r="B88" s="38" t="s">
        <v>82</v>
      </c>
      <c r="C88" s="38"/>
      <c r="D88" s="40">
        <v>53000</v>
      </c>
      <c r="E88" s="38" t="s">
        <v>87</v>
      </c>
      <c r="F88" s="38"/>
      <c r="G88" s="40">
        <v>5000</v>
      </c>
    </row>
    <row r="89" spans="1:9" ht="15" x14ac:dyDescent="0.25">
      <c r="B89" s="39" t="s">
        <v>83</v>
      </c>
      <c r="C89" s="39"/>
      <c r="D89" s="47">
        <f>SUM(D86:D88)</f>
        <v>159500</v>
      </c>
      <c r="E89" s="39" t="s">
        <v>84</v>
      </c>
      <c r="F89" s="39"/>
      <c r="G89" s="47">
        <f>SUM(G86:G88)</f>
        <v>159500</v>
      </c>
    </row>
    <row r="90" spans="1:9" ht="15" x14ac:dyDescent="0.25">
      <c r="D90" s="44"/>
    </row>
    <row r="93" spans="1:9" s="5" customFormat="1" ht="15" x14ac:dyDescent="0.25">
      <c r="A93" s="6" t="s">
        <v>88</v>
      </c>
    </row>
    <row r="95" spans="1:9" ht="15" x14ac:dyDescent="0.25">
      <c r="D95" s="48" t="s">
        <v>89</v>
      </c>
      <c r="E95" s="48" t="s">
        <v>30</v>
      </c>
      <c r="F95" s="48" t="s">
        <v>31</v>
      </c>
      <c r="G95" s="48" t="s">
        <v>32</v>
      </c>
      <c r="H95" s="48" t="s">
        <v>33</v>
      </c>
      <c r="I95" s="48" t="s">
        <v>34</v>
      </c>
    </row>
    <row r="96" spans="1:9" ht="15" x14ac:dyDescent="0.25">
      <c r="B96" s="49" t="s">
        <v>17</v>
      </c>
      <c r="C96" s="49"/>
      <c r="D96" s="23">
        <v>75000</v>
      </c>
      <c r="E96" s="23">
        <f>E45*E46*E47</f>
        <v>88357.5</v>
      </c>
      <c r="F96" s="23">
        <f t="shared" ref="F96:I96" si="0">F45*F46*F47</f>
        <v>103233.69</v>
      </c>
      <c r="G96" s="23">
        <f t="shared" si="0"/>
        <v>119776.88882250003</v>
      </c>
      <c r="H96" s="23">
        <f t="shared" si="0"/>
        <v>138148.82084650506</v>
      </c>
      <c r="I96" s="23">
        <f t="shared" si="0"/>
        <v>158525.77192136453</v>
      </c>
    </row>
    <row r="97" spans="1:9" x14ac:dyDescent="0.2">
      <c r="B97" s="22" t="s">
        <v>24</v>
      </c>
      <c r="C97" s="22"/>
      <c r="D97" s="24">
        <v>-16000</v>
      </c>
      <c r="E97" s="24">
        <f>-E49*E45*E46</f>
        <v>-18664.8</v>
      </c>
      <c r="F97" s="24">
        <f>-F49*F45*F46</f>
        <v>-21593.4768</v>
      </c>
      <c r="G97" s="24">
        <f>-G49*G45*G46</f>
        <v>-24808.2056586</v>
      </c>
      <c r="H97" s="24">
        <f>-H49*H45*H46</f>
        <v>-28332.879185633406</v>
      </c>
      <c r="I97" s="24">
        <f>-I49*I45*I46</f>
        <v>-32193.23397467595</v>
      </c>
    </row>
    <row r="98" spans="1:9" x14ac:dyDescent="0.2">
      <c r="B98" s="22" t="s">
        <v>38</v>
      </c>
      <c r="C98" s="22"/>
      <c r="D98" s="24">
        <v>-18000</v>
      </c>
      <c r="E98" s="24">
        <f>-E50*E45*E46</f>
        <v>-21621.599999999999</v>
      </c>
      <c r="F98" s="24">
        <f>-F50*F45*F46</f>
        <v>-25757.222399999999</v>
      </c>
      <c r="G98" s="24">
        <f>-G50*G45*G46</f>
        <v>-30470.7940992</v>
      </c>
      <c r="H98" s="24">
        <f>-H50*H45*H46</f>
        <v>-35833.6538606592</v>
      </c>
      <c r="I98" s="24">
        <f>-I50*I45*I46</f>
        <v>-41925.375016971266</v>
      </c>
    </row>
    <row r="99" spans="1:9" ht="15" x14ac:dyDescent="0.25">
      <c r="B99" s="49" t="s">
        <v>39</v>
      </c>
      <c r="C99" s="49"/>
      <c r="D99" s="23">
        <f>SUM(D96:D98)</f>
        <v>41000</v>
      </c>
      <c r="E99" s="23">
        <f t="shared" ref="E99:I99" si="1">SUM(E96:E98)</f>
        <v>48071.1</v>
      </c>
      <c r="F99" s="23">
        <f t="shared" si="1"/>
        <v>55882.9908</v>
      </c>
      <c r="G99" s="23">
        <f t="shared" si="1"/>
        <v>64497.88906470003</v>
      </c>
      <c r="H99" s="23">
        <f t="shared" si="1"/>
        <v>73982.287800212449</v>
      </c>
      <c r="I99" s="23">
        <f t="shared" si="1"/>
        <v>84407.162929717306</v>
      </c>
    </row>
    <row r="100" spans="1:9" x14ac:dyDescent="0.2">
      <c r="B100" s="22" t="s">
        <v>27</v>
      </c>
      <c r="C100" s="22"/>
      <c r="D100" s="24">
        <v>-11250</v>
      </c>
      <c r="E100" s="24">
        <f>-E52*E96</f>
        <v>-14578.987500000001</v>
      </c>
      <c r="F100" s="24">
        <f>-F52*F96</f>
        <v>-18582.064200000001</v>
      </c>
      <c r="G100" s="24">
        <f>-G52*G96</f>
        <v>-23356.493320387504</v>
      </c>
      <c r="H100" s="24">
        <f>-H52*H96</f>
        <v>-27629.764169301012</v>
      </c>
      <c r="I100" s="24">
        <f>-I52*I96</f>
        <v>-31705.154384272908</v>
      </c>
    </row>
    <row r="101" spans="1:9" x14ac:dyDescent="0.2">
      <c r="B101" s="22" t="s">
        <v>28</v>
      </c>
      <c r="C101" s="22"/>
      <c r="D101" s="24">
        <v>-13500</v>
      </c>
      <c r="E101" s="24">
        <f>-E53*E45*E47*E46</f>
        <v>-13253.625</v>
      </c>
      <c r="F101" s="24">
        <f t="shared" ref="F101:I101" si="2">-F53*F45*F47*F46</f>
        <v>-15485.0535</v>
      </c>
      <c r="G101" s="24">
        <f t="shared" si="2"/>
        <v>-16768.764435150006</v>
      </c>
      <c r="H101" s="24">
        <f t="shared" si="2"/>
        <v>-17959.346710045655</v>
      </c>
      <c r="I101" s="24">
        <f t="shared" si="2"/>
        <v>-20608.350349777389</v>
      </c>
    </row>
    <row r="102" spans="1:9" ht="15" x14ac:dyDescent="0.25">
      <c r="B102" s="49" t="s">
        <v>18</v>
      </c>
      <c r="C102" s="49"/>
      <c r="D102" s="23">
        <f>SUM(D99:D101)</f>
        <v>16250</v>
      </c>
      <c r="E102" s="23">
        <f t="shared" ref="E102:I102" si="3">SUM(E99:E101)</f>
        <v>20238.487499999996</v>
      </c>
      <c r="F102" s="23">
        <f t="shared" si="3"/>
        <v>21815.873099999997</v>
      </c>
      <c r="G102" s="23">
        <f t="shared" si="3"/>
        <v>24372.63130916252</v>
      </c>
      <c r="H102" s="23">
        <f t="shared" si="3"/>
        <v>28393.176920865786</v>
      </c>
      <c r="I102" s="23">
        <f t="shared" si="3"/>
        <v>32093.658195667009</v>
      </c>
    </row>
    <row r="103" spans="1:9" x14ac:dyDescent="0.2">
      <c r="B103" s="22" t="s">
        <v>40</v>
      </c>
      <c r="C103" s="22"/>
      <c r="D103" s="24">
        <v>-5500</v>
      </c>
      <c r="E103" s="24">
        <f>E61</f>
        <v>-5450</v>
      </c>
      <c r="F103" s="24">
        <f t="shared" ref="F103:I103" si="4">F61</f>
        <v>-5405</v>
      </c>
      <c r="G103" s="24">
        <f t="shared" si="4"/>
        <v>-6864.5</v>
      </c>
      <c r="H103" s="24">
        <f t="shared" si="4"/>
        <v>-7678.05</v>
      </c>
      <c r="I103" s="24">
        <f t="shared" si="4"/>
        <v>-7710.2449999999999</v>
      </c>
    </row>
    <row r="104" spans="1:9" ht="15" x14ac:dyDescent="0.25">
      <c r="B104" s="49" t="s">
        <v>41</v>
      </c>
      <c r="C104" s="49"/>
      <c r="D104" s="23">
        <f>SUM(D102:D103)</f>
        <v>10750</v>
      </c>
      <c r="E104" s="23">
        <f t="shared" ref="E104:I104" si="5">SUM(E102:E103)</f>
        <v>14788.487499999996</v>
      </c>
      <c r="F104" s="23">
        <f t="shared" si="5"/>
        <v>16410.873099999997</v>
      </c>
      <c r="G104" s="23">
        <f t="shared" si="5"/>
        <v>17508.13130916252</v>
      </c>
      <c r="H104" s="23">
        <f t="shared" si="5"/>
        <v>20715.126920865787</v>
      </c>
      <c r="I104" s="23">
        <f t="shared" si="5"/>
        <v>24383.41319566701</v>
      </c>
    </row>
    <row r="105" spans="1:9" x14ac:dyDescent="0.2">
      <c r="B105" s="22" t="s">
        <v>42</v>
      </c>
      <c r="C105" s="22"/>
      <c r="D105" s="24">
        <v>-75</v>
      </c>
      <c r="E105" s="24">
        <f>E81</f>
        <v>-6800.0000000000009</v>
      </c>
      <c r="F105" s="24">
        <f t="shared" ref="F105:I105" si="6">F81</f>
        <v>-6800.0000000000009</v>
      </c>
      <c r="G105" s="24">
        <f t="shared" si="6"/>
        <v>-6800.0000000000009</v>
      </c>
      <c r="H105" s="24">
        <f t="shared" si="6"/>
        <v>-7820.0000000000009</v>
      </c>
      <c r="I105" s="24">
        <f t="shared" si="6"/>
        <v>-8160.0000000000009</v>
      </c>
    </row>
    <row r="106" spans="1:9" ht="15" x14ac:dyDescent="0.25">
      <c r="B106" s="49" t="s">
        <v>43</v>
      </c>
      <c r="C106" s="49"/>
      <c r="D106" s="23">
        <f>SUM(D104:D105)</f>
        <v>10675</v>
      </c>
      <c r="E106" s="23">
        <f t="shared" ref="E106:I106" si="7">SUM(E104:E105)</f>
        <v>7988.4874999999947</v>
      </c>
      <c r="F106" s="23">
        <f t="shared" si="7"/>
        <v>9610.8730999999971</v>
      </c>
      <c r="G106" s="23">
        <f t="shared" si="7"/>
        <v>10708.13130916252</v>
      </c>
      <c r="H106" s="23">
        <f t="shared" si="7"/>
        <v>12895.126920865787</v>
      </c>
      <c r="I106" s="23">
        <f t="shared" si="7"/>
        <v>16223.41319566701</v>
      </c>
    </row>
    <row r="107" spans="1:9" x14ac:dyDescent="0.2">
      <c r="B107" s="22" t="s">
        <v>44</v>
      </c>
      <c r="C107" s="22"/>
      <c r="D107" s="24">
        <v>-3736</v>
      </c>
      <c r="E107" s="24">
        <f>-35%*E106</f>
        <v>-2795.9706249999981</v>
      </c>
      <c r="F107" s="24">
        <f t="shared" ref="F107:I107" si="8">-35%*F106</f>
        <v>-3363.8055849999987</v>
      </c>
      <c r="G107" s="24">
        <f t="shared" si="8"/>
        <v>-3747.8459582068817</v>
      </c>
      <c r="H107" s="24">
        <f t="shared" si="8"/>
        <v>-4513.2944223030254</v>
      </c>
      <c r="I107" s="24">
        <f t="shared" si="8"/>
        <v>-5678.1946184834533</v>
      </c>
    </row>
    <row r="108" spans="1:9" ht="15" x14ac:dyDescent="0.25">
      <c r="B108" s="49" t="s">
        <v>45</v>
      </c>
      <c r="C108" s="49"/>
      <c r="D108" s="23">
        <f>SUM(D106:D107)</f>
        <v>6939</v>
      </c>
      <c r="E108" s="23">
        <f t="shared" ref="E108:I108" si="9">SUM(E106:E107)</f>
        <v>5192.5168749999966</v>
      </c>
      <c r="F108" s="23">
        <f t="shared" si="9"/>
        <v>6247.0675149999988</v>
      </c>
      <c r="G108" s="23">
        <f t="shared" si="9"/>
        <v>6960.285350955638</v>
      </c>
      <c r="H108" s="23">
        <f t="shared" si="9"/>
        <v>8381.8324985627623</v>
      </c>
      <c r="I108" s="23">
        <f t="shared" si="9"/>
        <v>10545.218577183557</v>
      </c>
    </row>
    <row r="111" spans="1:9" s="5" customFormat="1" ht="15" x14ac:dyDescent="0.25">
      <c r="A111" s="6" t="s">
        <v>91</v>
      </c>
    </row>
    <row r="113" spans="1:9" ht="15" x14ac:dyDescent="0.25">
      <c r="B113" s="44"/>
      <c r="D113" s="48" t="s">
        <v>89</v>
      </c>
      <c r="E113" s="48" t="s">
        <v>30</v>
      </c>
      <c r="F113" s="48" t="s">
        <v>31</v>
      </c>
      <c r="G113" s="48" t="s">
        <v>32</v>
      </c>
      <c r="H113" s="48" t="s">
        <v>33</v>
      </c>
      <c r="I113" s="48" t="s">
        <v>34</v>
      </c>
    </row>
    <row r="114" spans="1:9" x14ac:dyDescent="0.2">
      <c r="B114" s="38" t="s">
        <v>48</v>
      </c>
      <c r="C114" s="38"/>
      <c r="D114" s="40">
        <f>I27</f>
        <v>18493</v>
      </c>
      <c r="E114" s="40">
        <f>E96/365*$G$69</f>
        <v>14524.520547945207</v>
      </c>
      <c r="F114" s="40">
        <f t="shared" ref="F114:I114" si="10">F96/365*$G$69</f>
        <v>16969.921643835616</v>
      </c>
      <c r="G114" s="40">
        <f t="shared" si="10"/>
        <v>19689.35158726028</v>
      </c>
      <c r="H114" s="40">
        <f t="shared" si="10"/>
        <v>22709.395207644666</v>
      </c>
      <c r="I114" s="40">
        <f t="shared" si="10"/>
        <v>26059.031000772255</v>
      </c>
    </row>
    <row r="115" spans="1:9" x14ac:dyDescent="0.2">
      <c r="B115" s="38" t="s">
        <v>24</v>
      </c>
      <c r="C115" s="38"/>
      <c r="D115" s="40">
        <v>1973</v>
      </c>
      <c r="E115" s="40">
        <f>-$G$70*(E97/365)</f>
        <v>1534.0931506849315</v>
      </c>
      <c r="F115" s="40">
        <f t="shared" ref="F115:I115" si="11">-$G$70*(F97/365)</f>
        <v>1774.806312328767</v>
      </c>
      <c r="G115" s="40">
        <f t="shared" si="11"/>
        <v>2039.0306020767123</v>
      </c>
      <c r="H115" s="40">
        <f t="shared" si="11"/>
        <v>2328.7297960794581</v>
      </c>
      <c r="I115" s="40">
        <f t="shared" si="11"/>
        <v>2646.0192307952839</v>
      </c>
    </row>
    <row r="116" spans="1:9" x14ac:dyDescent="0.2">
      <c r="B116" s="38" t="s">
        <v>64</v>
      </c>
      <c r="C116" s="38"/>
      <c r="D116" s="40">
        <v>4192</v>
      </c>
      <c r="E116" s="40">
        <f>-((E97+E98)/365)*$G$71</f>
        <v>4966.8164383561634</v>
      </c>
      <c r="F116" s="40">
        <f t="shared" ref="F116:I116" si="12">-((F97+F98)/365)*$G$71</f>
        <v>5837.7574356164396</v>
      </c>
      <c r="G116" s="40">
        <f t="shared" si="12"/>
        <v>6815.2191482219187</v>
      </c>
      <c r="H116" s="40">
        <f t="shared" si="12"/>
        <v>7910.942430364842</v>
      </c>
      <c r="I116" s="40">
        <f t="shared" si="12"/>
        <v>9137.9106976003404</v>
      </c>
    </row>
    <row r="117" spans="1:9" x14ac:dyDescent="0.2">
      <c r="B117" s="38" t="s">
        <v>65</v>
      </c>
      <c r="C117" s="38"/>
      <c r="D117" s="40">
        <v>6164</v>
      </c>
      <c r="E117" s="40">
        <f>$G$72*E96/365</f>
        <v>7262.2602739726026</v>
      </c>
      <c r="F117" s="40">
        <f t="shared" ref="F117:I117" si="13">$G$72*F96/365</f>
        <v>8484.9608219178081</v>
      </c>
      <c r="G117" s="40">
        <f t="shared" si="13"/>
        <v>9844.6757936301383</v>
      </c>
      <c r="H117" s="40">
        <f t="shared" si="13"/>
        <v>11354.697603822333</v>
      </c>
      <c r="I117" s="40">
        <f t="shared" si="13"/>
        <v>13029.515500386125</v>
      </c>
    </row>
    <row r="118" spans="1:9" ht="15" x14ac:dyDescent="0.25">
      <c r="B118" s="39" t="s">
        <v>90</v>
      </c>
      <c r="C118" s="39"/>
      <c r="D118" s="47">
        <f>SUM(D114:D117)</f>
        <v>30822</v>
      </c>
      <c r="E118" s="47">
        <f t="shared" ref="E118:I118" si="14">SUM(E114:E117)</f>
        <v>28287.690410958905</v>
      </c>
      <c r="F118" s="47">
        <f t="shared" si="14"/>
        <v>33067.446213698633</v>
      </c>
      <c r="G118" s="47">
        <f t="shared" si="14"/>
        <v>38388.277131189046</v>
      </c>
      <c r="H118" s="47">
        <f t="shared" si="14"/>
        <v>44303.765037911304</v>
      </c>
      <c r="I118" s="47">
        <f t="shared" si="14"/>
        <v>50872.476429554008</v>
      </c>
    </row>
    <row r="119" spans="1:9" x14ac:dyDescent="0.2">
      <c r="B119" s="38" t="s">
        <v>66</v>
      </c>
      <c r="C119" s="38"/>
      <c r="D119" s="40">
        <v>1294</v>
      </c>
      <c r="E119" s="40">
        <f>-$G$74*(E98+E101)/365</f>
        <v>1433.2284246575343</v>
      </c>
      <c r="F119" s="40">
        <f t="shared" ref="F119:I119" si="15">-$G$74*(F98+F101)/365</f>
        <v>1694.8880506849316</v>
      </c>
      <c r="G119" s="40">
        <f t="shared" si="15"/>
        <v>1941.3517205897263</v>
      </c>
      <c r="H119" s="40">
        <f t="shared" si="15"/>
        <v>2210.6712563303367</v>
      </c>
      <c r="I119" s="40">
        <f t="shared" si="15"/>
        <v>2569.8791246609035</v>
      </c>
    </row>
    <row r="120" spans="1:9" x14ac:dyDescent="0.2">
      <c r="B120" s="38" t="s">
        <v>67</v>
      </c>
      <c r="C120" s="38"/>
      <c r="D120" s="40">
        <v>3360</v>
      </c>
      <c r="E120" s="40">
        <f>-$G$75*(E97+E100)/365</f>
        <v>4098.5491438356166</v>
      </c>
      <c r="F120" s="40">
        <f t="shared" ref="F120:I120" si="16">-$G$75*(F97+F100)/365</f>
        <v>4953.1488904109592</v>
      </c>
      <c r="G120" s="40">
        <f t="shared" si="16"/>
        <v>5938.1135727518849</v>
      </c>
      <c r="H120" s="40">
        <f t="shared" si="16"/>
        <v>6899.5039752658877</v>
      </c>
      <c r="I120" s="40">
        <f t="shared" si="16"/>
        <v>7877.8834963087629</v>
      </c>
    </row>
    <row r="121" spans="1:9" ht="15" x14ac:dyDescent="0.25">
      <c r="B121" s="39" t="s">
        <v>92</v>
      </c>
      <c r="C121" s="39"/>
      <c r="D121" s="47">
        <f>SUM(D119:D120)</f>
        <v>4654</v>
      </c>
      <c r="E121" s="47">
        <f t="shared" ref="E121:I121" si="17">SUM(E119:E120)</f>
        <v>5531.7775684931512</v>
      </c>
      <c r="F121" s="47">
        <f t="shared" si="17"/>
        <v>6648.0369410958911</v>
      </c>
      <c r="G121" s="47">
        <f t="shared" si="17"/>
        <v>7879.465293341611</v>
      </c>
      <c r="H121" s="47">
        <f t="shared" si="17"/>
        <v>9110.175231596224</v>
      </c>
      <c r="I121" s="47">
        <f t="shared" si="17"/>
        <v>10447.762620969666</v>
      </c>
    </row>
    <row r="122" spans="1:9" ht="15" x14ac:dyDescent="0.25">
      <c r="B122" s="39" t="s">
        <v>93</v>
      </c>
      <c r="C122" s="39"/>
      <c r="D122" s="40">
        <f>D118-D121</f>
        <v>26168</v>
      </c>
      <c r="E122" s="40">
        <f t="shared" ref="E122:I122" si="18">E118-E121</f>
        <v>22755.912842465754</v>
      </c>
      <c r="F122" s="40">
        <f t="shared" si="18"/>
        <v>26419.409272602741</v>
      </c>
      <c r="G122" s="40">
        <f t="shared" si="18"/>
        <v>30508.811837847436</v>
      </c>
      <c r="H122" s="40">
        <f t="shared" si="18"/>
        <v>35193.589806315082</v>
      </c>
      <c r="I122" s="40">
        <f t="shared" si="18"/>
        <v>40424.71380858434</v>
      </c>
    </row>
    <row r="123" spans="1:9" ht="15" x14ac:dyDescent="0.25">
      <c r="B123" s="39" t="s">
        <v>94</v>
      </c>
      <c r="C123" s="39"/>
      <c r="D123" s="1">
        <v>0</v>
      </c>
      <c r="E123" s="52">
        <f>D122-E122</f>
        <v>3412.0871575342462</v>
      </c>
      <c r="F123" s="51">
        <f t="shared" ref="F123:I123" si="19">E122-F122</f>
        <v>-3663.4964301369873</v>
      </c>
      <c r="G123" s="51">
        <f t="shared" si="19"/>
        <v>-4089.4025652446944</v>
      </c>
      <c r="H123" s="51">
        <f t="shared" si="19"/>
        <v>-4684.7779684676461</v>
      </c>
      <c r="I123" s="51">
        <f t="shared" si="19"/>
        <v>-5231.1240022692582</v>
      </c>
    </row>
    <row r="127" spans="1:9" s="5" customFormat="1" ht="15" x14ac:dyDescent="0.25">
      <c r="A127" s="6" t="s">
        <v>95</v>
      </c>
    </row>
    <row r="129" spans="1:11" ht="15" x14ac:dyDescent="0.25">
      <c r="D129" s="48" t="s">
        <v>89</v>
      </c>
      <c r="E129" s="48" t="s">
        <v>30</v>
      </c>
      <c r="F129" s="48" t="s">
        <v>31</v>
      </c>
      <c r="G129" s="48" t="s">
        <v>32</v>
      </c>
      <c r="H129" s="48" t="s">
        <v>33</v>
      </c>
      <c r="I129" s="48" t="s">
        <v>34</v>
      </c>
    </row>
    <row r="130" spans="1:11" x14ac:dyDescent="0.2">
      <c r="B130" s="38" t="s">
        <v>45</v>
      </c>
      <c r="C130" s="38"/>
      <c r="E130" s="42">
        <f>E108</f>
        <v>5192.5168749999966</v>
      </c>
      <c r="F130" s="42">
        <f>F108</f>
        <v>6247.0675149999988</v>
      </c>
      <c r="G130" s="42">
        <f>G108</f>
        <v>6960.285350955638</v>
      </c>
      <c r="H130" s="42">
        <f>H108</f>
        <v>8381.8324985627623</v>
      </c>
      <c r="I130" s="42">
        <f>I108</f>
        <v>10545.218577183557</v>
      </c>
    </row>
    <row r="131" spans="1:11" x14ac:dyDescent="0.2">
      <c r="B131" s="38" t="s">
        <v>96</v>
      </c>
      <c r="C131" s="38"/>
      <c r="E131" s="42">
        <f>-E105*(1-35%)</f>
        <v>4420.0000000000009</v>
      </c>
      <c r="F131" s="42">
        <f>-F105*(1-35%)</f>
        <v>4420.0000000000009</v>
      </c>
      <c r="G131" s="42">
        <f>-G105*(1-35%)</f>
        <v>4420.0000000000009</v>
      </c>
      <c r="H131" s="42">
        <f>-H105*(1-35%)</f>
        <v>5083.0000000000009</v>
      </c>
      <c r="I131" s="42">
        <f>-I105*(1-35%)</f>
        <v>5304.0000000000009</v>
      </c>
    </row>
    <row r="132" spans="1:11" ht="15" x14ac:dyDescent="0.25">
      <c r="B132" s="53" t="s">
        <v>97</v>
      </c>
      <c r="C132" s="39"/>
      <c r="E132" s="54">
        <f>SUM(E130:E131)</f>
        <v>9612.5168749999975</v>
      </c>
      <c r="F132" s="54">
        <f>SUM(F130:F131)</f>
        <v>10667.067514999999</v>
      </c>
      <c r="G132" s="54">
        <f>SUM(G130:G131)</f>
        <v>11380.285350955639</v>
      </c>
      <c r="H132" s="54">
        <f>SUM(H130:H131)</f>
        <v>13464.832498562762</v>
      </c>
      <c r="I132" s="54">
        <f>SUM(I130:I131)</f>
        <v>15849.218577183557</v>
      </c>
    </row>
    <row r="133" spans="1:11" x14ac:dyDescent="0.2">
      <c r="B133" s="38" t="s">
        <v>40</v>
      </c>
      <c r="C133" s="38"/>
      <c r="E133" s="42">
        <f>-E103</f>
        <v>5450</v>
      </c>
      <c r="F133" s="42">
        <f>-F103</f>
        <v>5405</v>
      </c>
      <c r="G133" s="42">
        <f>-G103</f>
        <v>6864.5</v>
      </c>
      <c r="H133" s="42">
        <f>-H103</f>
        <v>7678.05</v>
      </c>
      <c r="I133" s="42">
        <f>-I103</f>
        <v>7710.2449999999999</v>
      </c>
    </row>
    <row r="134" spans="1:11" x14ac:dyDescent="0.2">
      <c r="B134" s="38" t="s">
        <v>98</v>
      </c>
      <c r="C134" s="38"/>
      <c r="E134" s="42">
        <f>E123</f>
        <v>3412.0871575342462</v>
      </c>
      <c r="F134" s="42">
        <f>F123</f>
        <v>-3663.4964301369873</v>
      </c>
      <c r="G134" s="42">
        <f>G123</f>
        <v>-4089.4025652446944</v>
      </c>
      <c r="H134" s="42">
        <f>H123</f>
        <v>-4684.7779684676461</v>
      </c>
      <c r="I134" s="42">
        <f>I123</f>
        <v>-5231.1240022692582</v>
      </c>
    </row>
    <row r="135" spans="1:11" x14ac:dyDescent="0.2">
      <c r="B135" s="38" t="s">
        <v>99</v>
      </c>
      <c r="C135" s="38"/>
      <c r="E135" s="42">
        <f>-E60</f>
        <v>-5000</v>
      </c>
      <c r="F135" s="42">
        <f>-F60</f>
        <v>-5000</v>
      </c>
      <c r="G135" s="42">
        <f>-G60</f>
        <v>-20000</v>
      </c>
      <c r="H135" s="42">
        <f>-H60</f>
        <v>-15000</v>
      </c>
      <c r="I135" s="42">
        <f>-I60</f>
        <v>-8000</v>
      </c>
    </row>
    <row r="136" spans="1:11" ht="15" x14ac:dyDescent="0.25">
      <c r="B136" s="39" t="s">
        <v>100</v>
      </c>
      <c r="C136" s="39"/>
      <c r="E136" s="54">
        <f>SUM(E132:E135)</f>
        <v>13474.604032534244</v>
      </c>
      <c r="F136" s="54">
        <f t="shared" ref="F136:I136" si="20">SUM(F132:F135)</f>
        <v>7408.5710848630115</v>
      </c>
      <c r="G136" s="54">
        <f t="shared" si="20"/>
        <v>-5844.6172142890573</v>
      </c>
      <c r="H136" s="54">
        <f t="shared" si="20"/>
        <v>1458.1045300951155</v>
      </c>
      <c r="I136" s="54">
        <f t="shared" si="20"/>
        <v>10328.339574914298</v>
      </c>
      <c r="J136" s="18"/>
      <c r="K136" s="61"/>
    </row>
    <row r="137" spans="1:11" x14ac:dyDescent="0.2">
      <c r="B137" s="38" t="s">
        <v>101</v>
      </c>
      <c r="C137" s="38"/>
      <c r="E137" s="18">
        <f>E80-D80</f>
        <v>0</v>
      </c>
      <c r="F137" s="18">
        <f>F80-E80</f>
        <v>0</v>
      </c>
      <c r="G137" s="18">
        <f>G80-F80</f>
        <v>15000</v>
      </c>
      <c r="H137" s="18">
        <f>H80-G80</f>
        <v>5000</v>
      </c>
      <c r="I137" s="18">
        <f>I80-H80</f>
        <v>0</v>
      </c>
    </row>
    <row r="138" spans="1:11" x14ac:dyDescent="0.2">
      <c r="B138" s="38" t="s">
        <v>102</v>
      </c>
      <c r="C138" s="38"/>
      <c r="E138" s="18">
        <f>E81*(1-35%)</f>
        <v>-4420.0000000000009</v>
      </c>
      <c r="F138" s="18">
        <f>F81*(1-35%)</f>
        <v>-4420.0000000000009</v>
      </c>
      <c r="G138" s="18">
        <f>G81*(1-35%)</f>
        <v>-4420.0000000000009</v>
      </c>
      <c r="H138" s="18">
        <f>H81*(1-35%)</f>
        <v>-5083.0000000000009</v>
      </c>
      <c r="I138" s="18">
        <f>I81*(1-35%)</f>
        <v>-5304.0000000000009</v>
      </c>
    </row>
    <row r="139" spans="1:11" ht="15" x14ac:dyDescent="0.25">
      <c r="B139" s="39" t="s">
        <v>103</v>
      </c>
      <c r="C139" s="39"/>
      <c r="E139" s="47">
        <f>SUM(E136:E138)</f>
        <v>9054.6040325342437</v>
      </c>
      <c r="F139" s="47">
        <f t="shared" ref="F139:I139" si="21">SUM(F136:F138)</f>
        <v>2988.5710848630106</v>
      </c>
      <c r="G139" s="47">
        <f t="shared" si="21"/>
        <v>4735.3827857109418</v>
      </c>
      <c r="H139" s="47">
        <f t="shared" si="21"/>
        <v>1375.1045300951146</v>
      </c>
      <c r="I139" s="47">
        <f t="shared" si="21"/>
        <v>5024.3395749142974</v>
      </c>
    </row>
    <row r="140" spans="1:11" x14ac:dyDescent="0.2">
      <c r="B140" s="38"/>
      <c r="C140" s="38"/>
    </row>
    <row r="141" spans="1:11" x14ac:dyDescent="0.2">
      <c r="B141" s="38"/>
      <c r="C141" s="38"/>
    </row>
    <row r="142" spans="1:11" x14ac:dyDescent="0.2">
      <c r="B142" s="38"/>
      <c r="C142" s="38"/>
    </row>
    <row r="143" spans="1:11" s="5" customFormat="1" ht="15" x14ac:dyDescent="0.25">
      <c r="A143" s="6" t="s">
        <v>104</v>
      </c>
    </row>
    <row r="146" spans="2:7" x14ac:dyDescent="0.2">
      <c r="B146" s="1" t="s">
        <v>105</v>
      </c>
      <c r="C146" s="2">
        <v>0.04</v>
      </c>
    </row>
    <row r="147" spans="2:7" x14ac:dyDescent="0.2">
      <c r="B147" s="1" t="s">
        <v>106</v>
      </c>
      <c r="C147" s="2">
        <v>0.09</v>
      </c>
    </row>
    <row r="148" spans="2:7" x14ac:dyDescent="0.2">
      <c r="B148" s="1" t="s">
        <v>107</v>
      </c>
      <c r="C148" s="2">
        <f>C147-C146</f>
        <v>4.9999999999999996E-2</v>
      </c>
    </row>
    <row r="151" spans="2:7" ht="15" x14ac:dyDescent="0.25">
      <c r="C151" s="16" t="s">
        <v>108</v>
      </c>
      <c r="D151" s="16" t="s">
        <v>109</v>
      </c>
      <c r="E151" s="44" t="s">
        <v>110</v>
      </c>
      <c r="F151" s="44" t="s">
        <v>111</v>
      </c>
      <c r="G151" s="44" t="s">
        <v>112</v>
      </c>
    </row>
    <row r="152" spans="2:7" x14ac:dyDescent="0.2">
      <c r="B152" s="1" t="s">
        <v>5</v>
      </c>
      <c r="C152" s="27">
        <v>1</v>
      </c>
      <c r="D152" s="27">
        <f>1-C152</f>
        <v>0</v>
      </c>
      <c r="E152" s="1">
        <v>1.5</v>
      </c>
      <c r="F152" s="1">
        <v>0</v>
      </c>
      <c r="G152" s="55">
        <f>C152*E152+D152*F152</f>
        <v>1.5</v>
      </c>
    </row>
    <row r="153" spans="2:7" x14ac:dyDescent="0.2">
      <c r="B153" s="1" t="s">
        <v>6</v>
      </c>
      <c r="C153" s="27">
        <v>0.83</v>
      </c>
      <c r="D153" s="27">
        <f>1-C153</f>
        <v>0.17000000000000004</v>
      </c>
      <c r="E153" s="1">
        <v>0.75</v>
      </c>
      <c r="F153" s="1">
        <v>0</v>
      </c>
      <c r="G153" s="55">
        <f>C153*E153+D153*F153</f>
        <v>0.62249999999999994</v>
      </c>
    </row>
    <row r="154" spans="2:7" x14ac:dyDescent="0.2">
      <c r="B154" s="1" t="s">
        <v>7</v>
      </c>
      <c r="C154" s="27">
        <v>1.05</v>
      </c>
      <c r="D154" s="27">
        <f>1-C154</f>
        <v>-5.0000000000000044E-2</v>
      </c>
      <c r="E154" s="1">
        <v>0.6</v>
      </c>
      <c r="F154" s="1">
        <v>0</v>
      </c>
      <c r="G154" s="55">
        <f>C154*E154+D154*F154</f>
        <v>0.63</v>
      </c>
    </row>
    <row r="157" spans="2:7" x14ac:dyDescent="0.2">
      <c r="B157" s="1" t="s">
        <v>113</v>
      </c>
      <c r="C157" s="56">
        <v>1.2</v>
      </c>
      <c r="D157" s="1" t="s">
        <v>115</v>
      </c>
    </row>
    <row r="159" spans="2:7" x14ac:dyDescent="0.2">
      <c r="B159" s="1" t="s">
        <v>114</v>
      </c>
      <c r="C159" s="50">
        <f>C146+C157*C148</f>
        <v>9.9999999999999992E-2</v>
      </c>
    </row>
    <row r="162" spans="1:6" s="5" customFormat="1" ht="15" x14ac:dyDescent="0.25">
      <c r="A162" s="6" t="s">
        <v>116</v>
      </c>
    </row>
    <row r="165" spans="1:6" ht="15" x14ac:dyDescent="0.25">
      <c r="A165" s="44" t="s">
        <v>117</v>
      </c>
    </row>
    <row r="167" spans="1:6" x14ac:dyDescent="0.2">
      <c r="A167" s="38" t="s">
        <v>118</v>
      </c>
      <c r="B167" s="38"/>
      <c r="C167" s="40">
        <f>I102</f>
        <v>32093.658195667009</v>
      </c>
      <c r="E167" s="1" t="s">
        <v>9</v>
      </c>
      <c r="F167" s="55">
        <f>C169/I96</f>
        <v>1.842301639921615</v>
      </c>
    </row>
    <row r="168" spans="1:6" x14ac:dyDescent="0.2">
      <c r="A168" s="38" t="s">
        <v>119</v>
      </c>
      <c r="B168" s="38"/>
      <c r="C168" s="1">
        <v>9.1</v>
      </c>
      <c r="E168" s="1" t="s">
        <v>123</v>
      </c>
      <c r="F168" s="55">
        <f>C171/I108</f>
        <v>16.315668406611817</v>
      </c>
    </row>
    <row r="169" spans="1:6" x14ac:dyDescent="0.2">
      <c r="A169" s="38" t="s">
        <v>120</v>
      </c>
      <c r="B169" s="38"/>
      <c r="C169" s="64">
        <f>C167*C168</f>
        <v>292052.28958056978</v>
      </c>
      <c r="E169" s="1" t="s">
        <v>124</v>
      </c>
      <c r="F169" s="55">
        <f>C169/I132</f>
        <v>18.426920428809439</v>
      </c>
    </row>
    <row r="170" spans="1:6" x14ac:dyDescent="0.2">
      <c r="A170" s="38" t="s">
        <v>121</v>
      </c>
      <c r="B170" s="38"/>
      <c r="C170" s="17">
        <v>120000</v>
      </c>
    </row>
    <row r="171" spans="1:6" x14ac:dyDescent="0.2">
      <c r="A171" s="38" t="s">
        <v>122</v>
      </c>
      <c r="B171" s="38"/>
      <c r="C171" s="18">
        <f>C169-C170</f>
        <v>172052.28958056978</v>
      </c>
    </row>
    <row r="175" spans="1:6" ht="15" x14ac:dyDescent="0.25">
      <c r="A175" s="44" t="s">
        <v>142</v>
      </c>
    </row>
    <row r="176" spans="1:6" ht="15" x14ac:dyDescent="0.25">
      <c r="A176" s="44" t="s">
        <v>132</v>
      </c>
    </row>
    <row r="177" spans="1:6" ht="15" x14ac:dyDescent="0.25">
      <c r="A177" s="44"/>
    </row>
    <row r="178" spans="1:6" x14ac:dyDescent="0.2">
      <c r="C178" s="1" t="s">
        <v>135</v>
      </c>
      <c r="D178" s="58">
        <v>5.3388606833653048E-2</v>
      </c>
    </row>
    <row r="179" spans="1:6" x14ac:dyDescent="0.2">
      <c r="A179" s="1" t="s">
        <v>125</v>
      </c>
      <c r="C179" s="40">
        <f>I132</f>
        <v>15849.218577183557</v>
      </c>
      <c r="D179" s="18">
        <f>C179*(1+$D$178)</f>
        <v>16695.386276421443</v>
      </c>
    </row>
    <row r="180" spans="1:6" x14ac:dyDescent="0.2">
      <c r="A180" s="1" t="s">
        <v>127</v>
      </c>
      <c r="C180" s="18">
        <f>I62</f>
        <v>69392.205000000002</v>
      </c>
      <c r="D180" s="18">
        <f>C180*($D$178)</f>
        <v>3704.7531500652531</v>
      </c>
    </row>
    <row r="181" spans="1:6" x14ac:dyDescent="0.2">
      <c r="A181" s="1" t="s">
        <v>126</v>
      </c>
      <c r="C181" s="40">
        <f>I122</f>
        <v>40424.71380858434</v>
      </c>
      <c r="D181" s="18">
        <f>C181*($D$178)</f>
        <v>2158.2191518894547</v>
      </c>
    </row>
    <row r="182" spans="1:6" ht="15" x14ac:dyDescent="0.25">
      <c r="D182" s="46">
        <f>D179-SUM(D180:D181)</f>
        <v>10832.413974466735</v>
      </c>
    </row>
    <row r="185" spans="1:6" x14ac:dyDescent="0.2">
      <c r="A185" s="1" t="s">
        <v>128</v>
      </c>
    </row>
    <row r="187" spans="1:6" x14ac:dyDescent="0.2">
      <c r="A187" s="1" t="s">
        <v>130</v>
      </c>
      <c r="D187" s="57">
        <f>C159+(0.4/0.6)*(C159-D81)</f>
        <v>0.12133333333333332</v>
      </c>
    </row>
    <row r="189" spans="1:6" x14ac:dyDescent="0.2">
      <c r="A189" s="1" t="s">
        <v>129</v>
      </c>
      <c r="D189" s="50">
        <f>D187*60%+40%*D81*(1-35%)</f>
        <v>9.0479999999999991E-2</v>
      </c>
    </row>
    <row r="191" spans="1:6" x14ac:dyDescent="0.2">
      <c r="D191" s="61"/>
      <c r="E191" s="18"/>
      <c r="F191" s="18"/>
    </row>
    <row r="192" spans="1:6" ht="15" x14ac:dyDescent="0.25">
      <c r="A192" s="44" t="s">
        <v>131</v>
      </c>
      <c r="D192" s="64">
        <f>D182/(D189-D178)</f>
        <v>292046.56524724432</v>
      </c>
      <c r="E192" s="18"/>
    </row>
    <row r="193" spans="1:9" x14ac:dyDescent="0.2">
      <c r="A193" s="1" t="s">
        <v>133</v>
      </c>
      <c r="D193" s="59">
        <f>D192/I102</f>
        <v>9.0998216366208382</v>
      </c>
    </row>
    <row r="194" spans="1:9" x14ac:dyDescent="0.2">
      <c r="A194" s="1" t="s">
        <v>134</v>
      </c>
      <c r="E194" s="26">
        <f>(D182/(D189-D178))/I102</f>
        <v>9.0998216366208382</v>
      </c>
      <c r="F194" s="1" t="s">
        <v>136</v>
      </c>
    </row>
    <row r="197" spans="1:9" ht="15" x14ac:dyDescent="0.25">
      <c r="A197" s="44" t="s">
        <v>143</v>
      </c>
    </row>
    <row r="199" spans="1:9" ht="15" x14ac:dyDescent="0.25">
      <c r="D199" s="48">
        <v>2005</v>
      </c>
      <c r="E199" s="48" t="s">
        <v>30</v>
      </c>
      <c r="F199" s="48" t="s">
        <v>31</v>
      </c>
      <c r="G199" s="48" t="s">
        <v>32</v>
      </c>
      <c r="H199" s="48" t="s">
        <v>33</v>
      </c>
      <c r="I199" s="48" t="s">
        <v>34</v>
      </c>
    </row>
    <row r="200" spans="1:9" ht="15" x14ac:dyDescent="0.25">
      <c r="A200" s="60" t="s">
        <v>137</v>
      </c>
      <c r="B200" s="60"/>
      <c r="C200" s="60"/>
      <c r="E200" s="54">
        <f>E136</f>
        <v>13474.604032534244</v>
      </c>
      <c r="F200" s="54">
        <f>F136</f>
        <v>7408.5710848630115</v>
      </c>
      <c r="G200" s="54">
        <f>G136</f>
        <v>-5844.6172142890573</v>
      </c>
      <c r="H200" s="54">
        <f>H136</f>
        <v>1458.1045300951155</v>
      </c>
      <c r="I200" s="54">
        <f>I136</f>
        <v>10328.339574914298</v>
      </c>
    </row>
    <row r="201" spans="1:9" x14ac:dyDescent="0.2">
      <c r="A201" s="60" t="s">
        <v>138</v>
      </c>
      <c r="B201" s="60"/>
      <c r="C201" s="60"/>
      <c r="D201" s="62">
        <f>NPV(10%,E200:$I$200)+$C$169/(1+10%)^5</f>
        <v>202731.7639674916</v>
      </c>
      <c r="E201" s="62">
        <f>NPV(10%,F200:$I$200)+$C$169/(1+10%)^4</f>
        <v>209530.33633170655</v>
      </c>
      <c r="F201" s="62">
        <f>NPV(10%,G200:$I$200)+$C$169/(1+10%)^3</f>
        <v>223074.79888001416</v>
      </c>
      <c r="G201" s="62">
        <f>NPV(10%,H200:$I$200)+$C$169/(1+10%)^2</f>
        <v>251226.89598230468</v>
      </c>
      <c r="H201" s="62">
        <f>NPV(10%,I200:$I$200)+$C$169/(1+10%)^1</f>
        <v>274891.48105044005</v>
      </c>
      <c r="I201" s="62">
        <f>$C$169/(1+10%)^0</f>
        <v>292052.28958056978</v>
      </c>
    </row>
    <row r="202" spans="1:9" x14ac:dyDescent="0.2">
      <c r="A202" s="60" t="s">
        <v>139</v>
      </c>
      <c r="B202" s="60"/>
      <c r="C202" s="60"/>
      <c r="D202" s="1">
        <v>0</v>
      </c>
      <c r="E202" s="18">
        <f>-E81*(35%)</f>
        <v>2380</v>
      </c>
      <c r="F202" s="18">
        <f t="shared" ref="F202:I202" si="22">-F81*(35%)</f>
        <v>2380</v>
      </c>
      <c r="G202" s="18">
        <f t="shared" si="22"/>
        <v>2380</v>
      </c>
      <c r="H202" s="18">
        <f t="shared" si="22"/>
        <v>2737</v>
      </c>
      <c r="I202" s="18">
        <f t="shared" si="22"/>
        <v>2856</v>
      </c>
    </row>
    <row r="203" spans="1:9" x14ac:dyDescent="0.2">
      <c r="A203" s="60" t="s">
        <v>140</v>
      </c>
      <c r="B203" s="60"/>
      <c r="C203" s="60"/>
      <c r="D203" s="61">
        <f>NPV($D$81,E202:$I$202)</f>
        <v>10427.920944492527</v>
      </c>
      <c r="E203" s="61">
        <f>NPV($D$81,F202:$I$202)</f>
        <v>8757.0195687180203</v>
      </c>
      <c r="F203" s="61">
        <f>NPV($D$81,G202:$I$202)</f>
        <v>6972.4968993908469</v>
      </c>
      <c r="G203" s="61">
        <f>NPV($D$81,H202:$I$202)</f>
        <v>5066.6266885494251</v>
      </c>
      <c r="H203" s="61">
        <f>NPV($D$81,I202:$I$202)</f>
        <v>2674.1573033707864</v>
      </c>
      <c r="I203" s="61">
        <v>0</v>
      </c>
    </row>
    <row r="204" spans="1:9" ht="15" x14ac:dyDescent="0.25">
      <c r="A204" s="19" t="s">
        <v>141</v>
      </c>
      <c r="B204" s="19"/>
      <c r="C204" s="19"/>
      <c r="D204" s="65">
        <f>D201+D203</f>
        <v>213159.68491198414</v>
      </c>
      <c r="E204" s="63">
        <f>E201+E203</f>
        <v>218287.35590042456</v>
      </c>
      <c r="F204" s="63">
        <f>F201+F203</f>
        <v>230047.29577940502</v>
      </c>
      <c r="G204" s="63">
        <f>G201+G203</f>
        <v>256293.52267085409</v>
      </c>
      <c r="H204" s="63">
        <f>H201+H203</f>
        <v>277565.63835381082</v>
      </c>
      <c r="I204" s="65">
        <f>I201+I203</f>
        <v>292052.28958056978</v>
      </c>
    </row>
    <row r="205" spans="1:9" x14ac:dyDescent="0.2">
      <c r="A205" s="60" t="s">
        <v>56</v>
      </c>
      <c r="B205" s="60"/>
      <c r="C205" s="60"/>
      <c r="D205" s="18">
        <f>D80</f>
        <v>100000</v>
      </c>
      <c r="E205" s="18">
        <f>E80</f>
        <v>100000</v>
      </c>
      <c r="F205" s="18">
        <f t="shared" ref="F205:I205" si="23">F80</f>
        <v>100000</v>
      </c>
      <c r="G205" s="18">
        <f t="shared" si="23"/>
        <v>115000</v>
      </c>
      <c r="H205" s="18">
        <f t="shared" si="23"/>
        <v>120000</v>
      </c>
      <c r="I205" s="18">
        <f t="shared" si="23"/>
        <v>120000</v>
      </c>
    </row>
    <row r="206" spans="1:9" ht="15" x14ac:dyDescent="0.25">
      <c r="A206" s="19" t="s">
        <v>122</v>
      </c>
      <c r="B206" s="19"/>
      <c r="C206" s="19"/>
      <c r="D206" s="65">
        <f>D204-D205</f>
        <v>113159.68491198414</v>
      </c>
      <c r="E206" s="63">
        <f t="shared" ref="E206:I206" si="24">E204-E205</f>
        <v>118287.35590042456</v>
      </c>
      <c r="F206" s="63">
        <f t="shared" si="24"/>
        <v>130047.29577940502</v>
      </c>
      <c r="G206" s="63">
        <f t="shared" si="24"/>
        <v>141293.52267085409</v>
      </c>
      <c r="H206" s="63">
        <f t="shared" si="24"/>
        <v>157565.63835381082</v>
      </c>
      <c r="I206" s="63">
        <f t="shared" si="24"/>
        <v>172052.28958056978</v>
      </c>
    </row>
    <row r="208" spans="1:9" x14ac:dyDescent="0.2">
      <c r="D208" s="18"/>
    </row>
    <row r="209" spans="1:9" x14ac:dyDescent="0.2">
      <c r="D209" s="18"/>
    </row>
    <row r="211" spans="1:9" ht="15" x14ac:dyDescent="0.25">
      <c r="B211" s="7" t="s">
        <v>0</v>
      </c>
      <c r="C211" s="66" t="s">
        <v>144</v>
      </c>
      <c r="D211" s="66" t="s">
        <v>4</v>
      </c>
      <c r="E211" s="7" t="s">
        <v>5</v>
      </c>
      <c r="F211" s="7" t="s">
        <v>6</v>
      </c>
      <c r="G211" s="7" t="s">
        <v>7</v>
      </c>
      <c r="H211" s="7" t="s">
        <v>8</v>
      </c>
    </row>
    <row r="212" spans="1:9" x14ac:dyDescent="0.2">
      <c r="B212" s="8" t="s">
        <v>1</v>
      </c>
      <c r="C212" s="67">
        <f>D204/D108</f>
        <v>30.719078384779383</v>
      </c>
      <c r="D212" s="8">
        <v>21.6</v>
      </c>
      <c r="E212" s="9">
        <v>24.8</v>
      </c>
      <c r="F212" s="8">
        <v>28</v>
      </c>
      <c r="G212" s="9">
        <v>18.2</v>
      </c>
      <c r="H212" s="9">
        <v>20.3</v>
      </c>
    </row>
    <row r="213" spans="1:9" x14ac:dyDescent="0.2">
      <c r="B213" s="8" t="s">
        <v>9</v>
      </c>
      <c r="C213" s="67">
        <f>(D204+2000)/D96</f>
        <v>2.8687957988264552</v>
      </c>
      <c r="D213" s="8">
        <v>2</v>
      </c>
      <c r="E213" s="8">
        <v>2</v>
      </c>
      <c r="F213" s="8">
        <v>2.7</v>
      </c>
      <c r="G213" s="8">
        <v>1.5</v>
      </c>
      <c r="H213" s="8">
        <v>1.4</v>
      </c>
    </row>
    <row r="214" spans="1:9" x14ac:dyDescent="0.2">
      <c r="B214" s="8" t="s">
        <v>2</v>
      </c>
      <c r="C214" s="67">
        <f>(D204+2000)/D102</f>
        <v>13.240595994583639</v>
      </c>
      <c r="D214" s="8">
        <v>9.1</v>
      </c>
      <c r="E214" s="8">
        <v>11.6</v>
      </c>
      <c r="F214" s="8">
        <v>14.4</v>
      </c>
      <c r="G214" s="8">
        <v>9.3000000000000007</v>
      </c>
      <c r="H214" s="8">
        <v>11.4</v>
      </c>
    </row>
    <row r="215" spans="1:9" x14ac:dyDescent="0.2">
      <c r="B215" s="68" t="s">
        <v>145</v>
      </c>
      <c r="C215" s="68"/>
      <c r="D215" s="68"/>
      <c r="E215" s="68"/>
      <c r="F215" s="68"/>
      <c r="G215" s="68"/>
      <c r="H215" s="68"/>
    </row>
    <row r="216" spans="1:9" x14ac:dyDescent="0.2">
      <c r="B216" s="68"/>
      <c r="C216" s="68"/>
      <c r="D216" s="68"/>
      <c r="E216" s="68"/>
      <c r="F216" s="68"/>
      <c r="G216" s="68"/>
      <c r="H216" s="68"/>
    </row>
    <row r="217" spans="1:9" x14ac:dyDescent="0.2">
      <c r="B217" s="68"/>
      <c r="C217" s="68"/>
      <c r="D217" s="68"/>
      <c r="E217" s="68"/>
      <c r="F217" s="68"/>
      <c r="G217" s="68"/>
      <c r="H217" s="68"/>
    </row>
    <row r="218" spans="1:9" x14ac:dyDescent="0.2">
      <c r="B218" s="68"/>
      <c r="C218" s="68"/>
      <c r="D218" s="68"/>
      <c r="E218" s="68"/>
      <c r="F218" s="68"/>
      <c r="G218" s="68"/>
      <c r="H218" s="68"/>
    </row>
    <row r="221" spans="1:9" s="5" customFormat="1" ht="15" x14ac:dyDescent="0.25">
      <c r="A221" s="6" t="s">
        <v>146</v>
      </c>
    </row>
    <row r="224" spans="1:9" ht="15" x14ac:dyDescent="0.25">
      <c r="D224" s="48">
        <v>2005</v>
      </c>
      <c r="E224" s="48" t="s">
        <v>30</v>
      </c>
      <c r="F224" s="48" t="s">
        <v>31</v>
      </c>
      <c r="G224" s="48" t="s">
        <v>32</v>
      </c>
      <c r="H224" s="48" t="s">
        <v>33</v>
      </c>
      <c r="I224" s="48" t="s">
        <v>34</v>
      </c>
    </row>
    <row r="225" spans="2:9" x14ac:dyDescent="0.2">
      <c r="B225" s="38" t="s">
        <v>147</v>
      </c>
      <c r="C225" s="38"/>
      <c r="D225" s="69">
        <f>-D88</f>
        <v>-53000</v>
      </c>
      <c r="E225" s="69">
        <v>0</v>
      </c>
      <c r="F225" s="69">
        <v>0</v>
      </c>
      <c r="G225" s="69">
        <v>0</v>
      </c>
      <c r="H225" s="69">
        <v>0</v>
      </c>
      <c r="I225" s="69">
        <v>0</v>
      </c>
    </row>
    <row r="226" spans="2:9" x14ac:dyDescent="0.2">
      <c r="B226" s="38" t="s">
        <v>103</v>
      </c>
      <c r="C226" s="38"/>
      <c r="D226" s="69">
        <v>0</v>
      </c>
      <c r="E226" s="69">
        <f>E139</f>
        <v>9054.6040325342437</v>
      </c>
      <c r="F226" s="69">
        <f t="shared" ref="F226:I226" si="25">F139</f>
        <v>2988.5710848630106</v>
      </c>
      <c r="G226" s="69">
        <f t="shared" si="25"/>
        <v>4735.3827857109418</v>
      </c>
      <c r="H226" s="69">
        <f t="shared" si="25"/>
        <v>1375.1045300951146</v>
      </c>
      <c r="I226" s="69">
        <f t="shared" si="25"/>
        <v>5024.3395749142974</v>
      </c>
    </row>
    <row r="227" spans="2:9" x14ac:dyDescent="0.2">
      <c r="B227" s="38" t="s">
        <v>148</v>
      </c>
      <c r="C227" s="38"/>
      <c r="D227" s="69"/>
      <c r="E227" s="69"/>
      <c r="F227" s="69"/>
      <c r="G227" s="69"/>
      <c r="H227" s="69"/>
      <c r="I227" s="69">
        <f>I206</f>
        <v>172052.28958056978</v>
      </c>
    </row>
    <row r="228" spans="2:9" ht="15" x14ac:dyDescent="0.25">
      <c r="B228" s="39" t="s">
        <v>149</v>
      </c>
      <c r="C228" s="39"/>
      <c r="D228" s="70">
        <f>SUM(D225:D227)</f>
        <v>-53000</v>
      </c>
      <c r="E228" s="70">
        <f t="shared" ref="E228:I228" si="26">SUM(E225:E227)</f>
        <v>9054.6040325342437</v>
      </c>
      <c r="F228" s="70">
        <f t="shared" si="26"/>
        <v>2988.5710848630106</v>
      </c>
      <c r="G228" s="70">
        <f t="shared" si="26"/>
        <v>4735.3827857109418</v>
      </c>
      <c r="H228" s="70">
        <f t="shared" si="26"/>
        <v>1375.1045300951146</v>
      </c>
      <c r="I228" s="70">
        <f t="shared" si="26"/>
        <v>177076.62915548409</v>
      </c>
    </row>
    <row r="229" spans="2:9" x14ac:dyDescent="0.2">
      <c r="B229" s="38" t="s">
        <v>150</v>
      </c>
      <c r="C229" s="38"/>
      <c r="D229" s="2">
        <f>IRR(D228:I228)</f>
        <v>0.33290079836423425</v>
      </c>
    </row>
    <row r="230" spans="2:9" x14ac:dyDescent="0.2">
      <c r="B230" s="38" t="s">
        <v>151</v>
      </c>
      <c r="C230" s="38"/>
      <c r="D230" s="55">
        <f>SUM(E228:I228)/-D228</f>
        <v>3.6835904073337247</v>
      </c>
    </row>
    <row r="231" spans="2:9" x14ac:dyDescent="0.2">
      <c r="B231" s="38"/>
      <c r="C231" s="38"/>
    </row>
  </sheetData>
  <mergeCells count="106">
    <mergeCell ref="B229:C229"/>
    <mergeCell ref="B230:C230"/>
    <mergeCell ref="B231:C231"/>
    <mergeCell ref="B215:H218"/>
    <mergeCell ref="B225:C225"/>
    <mergeCell ref="B226:C226"/>
    <mergeCell ref="B227:C227"/>
    <mergeCell ref="B228:C228"/>
    <mergeCell ref="A200:C200"/>
    <mergeCell ref="A201:C201"/>
    <mergeCell ref="A202:C202"/>
    <mergeCell ref="A203:C203"/>
    <mergeCell ref="A204:C204"/>
    <mergeCell ref="A205:C205"/>
    <mergeCell ref="A206:C206"/>
    <mergeCell ref="A171:B171"/>
    <mergeCell ref="B142:C142"/>
    <mergeCell ref="A167:B167"/>
    <mergeCell ref="A168:B168"/>
    <mergeCell ref="A169:B169"/>
    <mergeCell ref="A170:B170"/>
    <mergeCell ref="B137:C137"/>
    <mergeCell ref="B138:C138"/>
    <mergeCell ref="B139:C139"/>
    <mergeCell ref="B140:C140"/>
    <mergeCell ref="B141:C141"/>
    <mergeCell ref="B132:C132"/>
    <mergeCell ref="B133:C133"/>
    <mergeCell ref="B134:C134"/>
    <mergeCell ref="B135:C135"/>
    <mergeCell ref="B136:C136"/>
    <mergeCell ref="B121:C121"/>
    <mergeCell ref="B122:C122"/>
    <mergeCell ref="B123:C123"/>
    <mergeCell ref="B130:C130"/>
    <mergeCell ref="B131:C131"/>
    <mergeCell ref="B116:C116"/>
    <mergeCell ref="B117:C117"/>
    <mergeCell ref="B118:C118"/>
    <mergeCell ref="B119:C119"/>
    <mergeCell ref="B120:C120"/>
    <mergeCell ref="B106:C106"/>
    <mergeCell ref="B107:C107"/>
    <mergeCell ref="B108:C108"/>
    <mergeCell ref="B114:C114"/>
    <mergeCell ref="B115:C115"/>
    <mergeCell ref="B101:C101"/>
    <mergeCell ref="B102:C102"/>
    <mergeCell ref="B103:C103"/>
    <mergeCell ref="B104:C104"/>
    <mergeCell ref="B105:C105"/>
    <mergeCell ref="B96:C96"/>
    <mergeCell ref="B97:C97"/>
    <mergeCell ref="B98:C98"/>
    <mergeCell ref="B99:C99"/>
    <mergeCell ref="B100:C100"/>
    <mergeCell ref="B88:C88"/>
    <mergeCell ref="B89:C89"/>
    <mergeCell ref="E86:F86"/>
    <mergeCell ref="E87:F87"/>
    <mergeCell ref="E88:F88"/>
    <mergeCell ref="E89:F89"/>
    <mergeCell ref="B66:D66"/>
    <mergeCell ref="B78:D78"/>
    <mergeCell ref="B84:D84"/>
    <mergeCell ref="B86:C86"/>
    <mergeCell ref="B87:C87"/>
    <mergeCell ref="B57:D57"/>
    <mergeCell ref="B59:C59"/>
    <mergeCell ref="B60:C60"/>
    <mergeCell ref="B61:C61"/>
    <mergeCell ref="B62:C62"/>
    <mergeCell ref="J28:K28"/>
    <mergeCell ref="J29:K29"/>
    <mergeCell ref="J30:K30"/>
    <mergeCell ref="J31:K31"/>
    <mergeCell ref="B42:D42"/>
    <mergeCell ref="G24:I24"/>
    <mergeCell ref="J24:L24"/>
    <mergeCell ref="J25:K25"/>
    <mergeCell ref="J26:K26"/>
    <mergeCell ref="J27:K27"/>
    <mergeCell ref="B38:C38"/>
    <mergeCell ref="B25:D25"/>
    <mergeCell ref="G25:H25"/>
    <mergeCell ref="G26:H26"/>
    <mergeCell ref="G27:H27"/>
    <mergeCell ref="G28:H28"/>
    <mergeCell ref="G29:H29"/>
    <mergeCell ref="G30:H30"/>
    <mergeCell ref="G31:H31"/>
    <mergeCell ref="B48:I48"/>
    <mergeCell ref="B44:I44"/>
    <mergeCell ref="B51:I51"/>
    <mergeCell ref="B26:C26"/>
    <mergeCell ref="B27:C27"/>
    <mergeCell ref="B28:C28"/>
    <mergeCell ref="B29:C29"/>
    <mergeCell ref="B30:C30"/>
    <mergeCell ref="B31:C31"/>
    <mergeCell ref="B32:C32"/>
    <mergeCell ref="B33:C33"/>
    <mergeCell ref="B34:C34"/>
    <mergeCell ref="B35:C35"/>
    <mergeCell ref="B36:C36"/>
    <mergeCell ref="B37:C37"/>
  </mergeCells>
  <pageMargins left="0.7" right="0.7" top="0.75" bottom="0.75" header="0.3" footer="0.3"/>
  <pageSetup paperSize="9" orientation="portrait" r:id="rId1"/>
  <ignoredErrors>
    <ignoredError sqref="E105:I105"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Macoris</dc:creator>
  <cp:lastModifiedBy>Lucas Macoris</cp:lastModifiedBy>
  <dcterms:created xsi:type="dcterms:W3CDTF">2024-05-06T20:46:29Z</dcterms:created>
  <dcterms:modified xsi:type="dcterms:W3CDTF">2024-05-13T03:49:39Z</dcterms:modified>
</cp:coreProperties>
</file>