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628"/>
  <workbookPr defaultThemeVersion="124226"/>
  <mc:AlternateContent xmlns:mc="http://schemas.openxmlformats.org/markup-compatibility/2006">
    <mc:Choice Requires="x15">
      <x15ac:absPath xmlns:x15ac="http://schemas.microsoft.com/office/spreadsheetml/2010/11/ac" url="https://fgvbr-my.sharepoint.com/personal/lucas_macoris_fgv_br/Documents/Personal/Financial Management - 2024S1/Lecture 13 - Fundamentals of Capital Budgeting/Exercises/"/>
    </mc:Choice>
  </mc:AlternateContent>
  <xr:revisionPtr revIDLastSave="1146" documentId="8_{7735773C-A695-46BC-BF00-968CA1412487}" xr6:coauthVersionLast="47" xr6:coauthVersionMax="47" xr10:uidLastSave="{09D42CDF-C24C-42E3-864A-8BE2AF26BA3B}"/>
  <bookViews>
    <workbookView xWindow="-120" yWindow="-120" windowWidth="29040" windowHeight="15840" tabRatio="757" activeTab="3" xr2:uid="{00000000-000D-0000-FFFF-FFFF00000000}"/>
  </bookViews>
  <sheets>
    <sheet name="Regular Solution" sheetId="3" r:id="rId1"/>
    <sheet name="Ex1 - Ac.. Depreciation" sheetId="4" r:id="rId2"/>
    <sheet name="Ex2 - Tax CarryForward" sheetId="5" r:id="rId3"/>
    <sheet name="Ex3 - Perpetual Value" sheetId="6" r:id="rId4"/>
    <sheet name="Ex 4 - Breakeven" sheetId="8" r:id="rId5"/>
    <sheet name="Ex 5 - Sensitivity" sheetId="9" r:id="rId6"/>
    <sheet name="Ex 6 - Scenario Analysis" sheetId="10"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3" i="6" l="1"/>
  <c r="K79" i="6"/>
  <c r="L79" i="6" l="1"/>
  <c r="J26" i="3"/>
  <c r="I26" i="3"/>
  <c r="H26" i="3"/>
  <c r="G26" i="3"/>
  <c r="F26" i="3"/>
  <c r="E26" i="3"/>
  <c r="G8" i="10"/>
  <c r="G9" i="10"/>
  <c r="G15" i="10" s="1"/>
  <c r="D80" i="6"/>
  <c r="I69" i="6"/>
  <c r="I72" i="6" s="1"/>
  <c r="H44" i="6"/>
  <c r="H43" i="6"/>
  <c r="AL42" i="6"/>
  <c r="AM42" i="6" s="1"/>
  <c r="AN42" i="6" s="1"/>
  <c r="AO42" i="6" s="1"/>
  <c r="AP42" i="6" s="1"/>
  <c r="AQ42" i="6" s="1"/>
  <c r="AR42" i="6" s="1"/>
  <c r="AS42" i="6" s="1"/>
  <c r="AT42" i="6" s="1"/>
  <c r="AU42" i="6" s="1"/>
  <c r="AV42" i="6" s="1"/>
  <c r="AW42" i="6" s="1"/>
  <c r="AX42" i="6" s="1"/>
  <c r="AY42" i="6" s="1"/>
  <c r="AZ42" i="6" s="1"/>
  <c r="BA42" i="6" s="1"/>
  <c r="BB42" i="6" s="1"/>
  <c r="BC42" i="6" s="1"/>
  <c r="BD42" i="6" s="1"/>
  <c r="BE42" i="6" s="1"/>
  <c r="BF42" i="6" s="1"/>
  <c r="BG42" i="6" s="1"/>
  <c r="BH42" i="6" s="1"/>
  <c r="BI42" i="6" s="1"/>
  <c r="BJ42" i="6" s="1"/>
  <c r="BK42" i="6" s="1"/>
  <c r="BL42" i="6" s="1"/>
  <c r="BM42" i="6" s="1"/>
  <c r="BN42" i="6" s="1"/>
  <c r="BO42" i="6" s="1"/>
  <c r="BP42" i="6" s="1"/>
  <c r="BQ42" i="6" s="1"/>
  <c r="BR42" i="6" s="1"/>
  <c r="BS42" i="6" s="1"/>
  <c r="BT42" i="6" s="1"/>
  <c r="BU42" i="6" s="1"/>
  <c r="BV42" i="6" s="1"/>
  <c r="BW42" i="6" s="1"/>
  <c r="BX42" i="6" s="1"/>
  <c r="BY42" i="6" s="1"/>
  <c r="BZ42" i="6" s="1"/>
  <c r="CA42" i="6" s="1"/>
  <c r="CB42" i="6" s="1"/>
  <c r="CC42" i="6" s="1"/>
  <c r="CD42" i="6" s="1"/>
  <c r="CE42" i="6" s="1"/>
  <c r="CF42" i="6" s="1"/>
  <c r="CG42" i="6" s="1"/>
  <c r="CH42" i="6" s="1"/>
  <c r="CI42" i="6" s="1"/>
  <c r="CJ42" i="6" s="1"/>
  <c r="CK42" i="6" s="1"/>
  <c r="CL42" i="6" s="1"/>
  <c r="CM42" i="6" s="1"/>
  <c r="CN42" i="6" s="1"/>
  <c r="CO42" i="6" s="1"/>
  <c r="CP42" i="6" s="1"/>
  <c r="CQ42" i="6" s="1"/>
  <c r="CR42" i="6" s="1"/>
  <c r="CS42" i="6" s="1"/>
  <c r="CT42" i="6" s="1"/>
  <c r="CU42" i="6" s="1"/>
  <c r="CV42" i="6" s="1"/>
  <c r="CW42" i="6" s="1"/>
  <c r="CX42" i="6" s="1"/>
  <c r="CY42" i="6" s="1"/>
  <c r="CZ42" i="6" s="1"/>
  <c r="DA42" i="6" s="1"/>
  <c r="AK42" i="6"/>
  <c r="R42" i="6"/>
  <c r="S42" i="6" s="1"/>
  <c r="T42" i="6" s="1"/>
  <c r="U42" i="6" s="1"/>
  <c r="V42" i="6" s="1"/>
  <c r="W42" i="6" s="1"/>
  <c r="X42" i="6" s="1"/>
  <c r="Y42" i="6" s="1"/>
  <c r="Z42" i="6" s="1"/>
  <c r="AA42" i="6" s="1"/>
  <c r="AB42" i="6" s="1"/>
  <c r="AC42" i="6" s="1"/>
  <c r="AD42" i="6" s="1"/>
  <c r="AE42" i="6" s="1"/>
  <c r="AF42" i="6" s="1"/>
  <c r="AG42" i="6" s="1"/>
  <c r="AH42" i="6" s="1"/>
  <c r="AI42" i="6" s="1"/>
  <c r="AJ42" i="6" s="1"/>
  <c r="Q42" i="6"/>
  <c r="P42" i="6"/>
  <c r="O42" i="6"/>
  <c r="N42" i="6"/>
  <c r="M42" i="6"/>
  <c r="L42" i="6"/>
  <c r="O24" i="6"/>
  <c r="M24" i="6"/>
  <c r="L24" i="6"/>
  <c r="K24" i="6"/>
  <c r="H53" i="9"/>
  <c r="H52" i="9"/>
  <c r="H51" i="9"/>
  <c r="G10" i="9"/>
  <c r="H10" i="9" s="1"/>
  <c r="I10" i="9" s="1"/>
  <c r="J10" i="9" s="1"/>
  <c r="G9" i="9"/>
  <c r="H9" i="9" s="1"/>
  <c r="I9" i="9" s="1"/>
  <c r="J9" i="9" s="1"/>
  <c r="J18" i="10"/>
  <c r="I18" i="10"/>
  <c r="H18" i="10"/>
  <c r="G18" i="10"/>
  <c r="F18" i="10"/>
  <c r="B10" i="10"/>
  <c r="J26" i="10" s="1"/>
  <c r="F7" i="10"/>
  <c r="F15" i="10" s="1"/>
  <c r="B7" i="10"/>
  <c r="I17" i="10" s="1"/>
  <c r="I22" i="10" s="1"/>
  <c r="F53" i="5"/>
  <c r="F62" i="5" s="1"/>
  <c r="G62" i="5" s="1"/>
  <c r="J19" i="9"/>
  <c r="I19" i="9"/>
  <c r="H19" i="9"/>
  <c r="G19" i="9"/>
  <c r="F19" i="9"/>
  <c r="B11" i="9"/>
  <c r="J27" i="9" s="1"/>
  <c r="F8" i="9"/>
  <c r="F16" i="9" s="1"/>
  <c r="B8" i="9"/>
  <c r="J18" i="9" s="1"/>
  <c r="J23" i="9" s="1"/>
  <c r="G14" i="8"/>
  <c r="H14" i="8" s="1"/>
  <c r="I14" i="8" s="1"/>
  <c r="J14" i="8" s="1"/>
  <c r="J23" i="8"/>
  <c r="I23" i="8"/>
  <c r="H23" i="8"/>
  <c r="G23" i="8"/>
  <c r="F23" i="8"/>
  <c r="B15" i="8"/>
  <c r="J31" i="8" s="1"/>
  <c r="G13" i="8"/>
  <c r="H13" i="8" s="1"/>
  <c r="F12" i="8"/>
  <c r="F20" i="8" s="1"/>
  <c r="B12" i="8"/>
  <c r="J22" i="8" s="1"/>
  <c r="J27" i="8" s="1"/>
  <c r="E78" i="6"/>
  <c r="E79" i="6" s="1"/>
  <c r="J75" i="6"/>
  <c r="I75" i="6"/>
  <c r="H75" i="6"/>
  <c r="G75" i="6"/>
  <c r="F75" i="6"/>
  <c r="J69" i="6"/>
  <c r="J72" i="6" s="1"/>
  <c r="H69" i="6"/>
  <c r="H72" i="6" s="1"/>
  <c r="G69" i="6"/>
  <c r="G72" i="6" s="1"/>
  <c r="F69" i="6"/>
  <c r="F72" i="6" s="1"/>
  <c r="E39" i="6"/>
  <c r="E40" i="6" s="1"/>
  <c r="J36" i="6"/>
  <c r="I36" i="6"/>
  <c r="H36" i="6"/>
  <c r="G36" i="6"/>
  <c r="F36" i="6"/>
  <c r="J30" i="6"/>
  <c r="J33" i="6" s="1"/>
  <c r="I30" i="6"/>
  <c r="I33" i="6" s="1"/>
  <c r="H30" i="6"/>
  <c r="H33" i="6" s="1"/>
  <c r="G30" i="6"/>
  <c r="G33" i="6" s="1"/>
  <c r="F30" i="6"/>
  <c r="F33" i="6" s="1"/>
  <c r="E22" i="6"/>
  <c r="E24" i="6" s="1"/>
  <c r="J19" i="6"/>
  <c r="I19" i="6"/>
  <c r="H19" i="6"/>
  <c r="G19" i="6"/>
  <c r="F19" i="6"/>
  <c r="J13" i="6"/>
  <c r="J16" i="6" s="1"/>
  <c r="I13" i="6"/>
  <c r="I16" i="6" s="1"/>
  <c r="H13" i="6"/>
  <c r="H16" i="6" s="1"/>
  <c r="G13" i="6"/>
  <c r="G16" i="6" s="1"/>
  <c r="G17" i="6" s="1"/>
  <c r="F13" i="6"/>
  <c r="F16" i="6" s="1"/>
  <c r="I7" i="6"/>
  <c r="H7" i="6"/>
  <c r="G7" i="6"/>
  <c r="F7" i="6"/>
  <c r="E7" i="6"/>
  <c r="B7" i="6"/>
  <c r="G6" i="6"/>
  <c r="H6" i="6" s="1"/>
  <c r="I6" i="6" s="1"/>
  <c r="J6" i="6" s="1"/>
  <c r="G5" i="6"/>
  <c r="H5" i="6" s="1"/>
  <c r="I5" i="6" s="1"/>
  <c r="J5" i="6" s="1"/>
  <c r="F4" i="6"/>
  <c r="B4" i="6"/>
  <c r="J53" i="5"/>
  <c r="J54" i="5" s="1"/>
  <c r="I53" i="5"/>
  <c r="I54" i="5" s="1"/>
  <c r="G53" i="5"/>
  <c r="G54" i="5" s="1"/>
  <c r="G52" i="5"/>
  <c r="E58" i="5"/>
  <c r="E60" i="5" s="1"/>
  <c r="J55" i="5"/>
  <c r="I55" i="5"/>
  <c r="H55" i="5"/>
  <c r="G55" i="5"/>
  <c r="F55" i="5"/>
  <c r="J48" i="5"/>
  <c r="J51" i="5" s="1"/>
  <c r="I48" i="5"/>
  <c r="I51" i="5" s="1"/>
  <c r="H48" i="5"/>
  <c r="H51" i="5" s="1"/>
  <c r="G48" i="5"/>
  <c r="G51" i="5" s="1"/>
  <c r="F48" i="5"/>
  <c r="F51" i="5" s="1"/>
  <c r="E39" i="5"/>
  <c r="E41" i="5" s="1"/>
  <c r="J36" i="5"/>
  <c r="I36" i="5"/>
  <c r="H36" i="5"/>
  <c r="G36" i="5"/>
  <c r="F36" i="5"/>
  <c r="J30" i="5"/>
  <c r="J33" i="5" s="1"/>
  <c r="I30" i="5"/>
  <c r="I33" i="5" s="1"/>
  <c r="H30" i="5"/>
  <c r="H33" i="5" s="1"/>
  <c r="G30" i="5"/>
  <c r="G33" i="5" s="1"/>
  <c r="F30" i="5"/>
  <c r="F33" i="5" s="1"/>
  <c r="E22" i="5"/>
  <c r="E24" i="5" s="1"/>
  <c r="J19" i="5"/>
  <c r="I19" i="5"/>
  <c r="H19" i="5"/>
  <c r="G19" i="5"/>
  <c r="F19" i="5"/>
  <c r="J13" i="5"/>
  <c r="J16" i="5" s="1"/>
  <c r="I13" i="5"/>
  <c r="I16" i="5" s="1"/>
  <c r="H13" i="5"/>
  <c r="H16" i="5" s="1"/>
  <c r="G13" i="5"/>
  <c r="G16" i="5" s="1"/>
  <c r="F13" i="5"/>
  <c r="F16" i="5" s="1"/>
  <c r="I7" i="5"/>
  <c r="H7" i="5"/>
  <c r="G7" i="5"/>
  <c r="F7" i="5"/>
  <c r="E7" i="5"/>
  <c r="B7" i="5"/>
  <c r="G6" i="5"/>
  <c r="H6" i="5" s="1"/>
  <c r="I6" i="5" s="1"/>
  <c r="J6" i="5" s="1"/>
  <c r="G5" i="5"/>
  <c r="H5" i="5" s="1"/>
  <c r="I5" i="5" s="1"/>
  <c r="J5" i="5" s="1"/>
  <c r="F4" i="5"/>
  <c r="B4" i="5"/>
  <c r="E39" i="4"/>
  <c r="E41" i="4" s="1"/>
  <c r="J36" i="4"/>
  <c r="I36" i="4"/>
  <c r="H36" i="4"/>
  <c r="G36" i="4"/>
  <c r="F36" i="4"/>
  <c r="J33" i="4"/>
  <c r="F33" i="4"/>
  <c r="J30" i="4"/>
  <c r="I30" i="4"/>
  <c r="I33" i="4" s="1"/>
  <c r="H30" i="4"/>
  <c r="H33" i="4" s="1"/>
  <c r="G30" i="4"/>
  <c r="G33" i="4" s="1"/>
  <c r="F30" i="4"/>
  <c r="F4" i="4"/>
  <c r="G5" i="4"/>
  <c r="H5" i="4"/>
  <c r="I5" i="4" s="1"/>
  <c r="J5" i="4" s="1"/>
  <c r="G6" i="4"/>
  <c r="H6" i="4"/>
  <c r="I6" i="4" s="1"/>
  <c r="J6" i="4" s="1"/>
  <c r="E7" i="4"/>
  <c r="F7" i="4"/>
  <c r="G7" i="4"/>
  <c r="H7" i="4"/>
  <c r="I7" i="4"/>
  <c r="B4" i="4"/>
  <c r="B7" i="4"/>
  <c r="J19" i="4"/>
  <c r="H19" i="4"/>
  <c r="F19" i="4"/>
  <c r="I19" i="4"/>
  <c r="J23" i="3"/>
  <c r="B7" i="3"/>
  <c r="J15" i="3"/>
  <c r="I15" i="3"/>
  <c r="H15" i="3"/>
  <c r="G15" i="3"/>
  <c r="F15" i="3"/>
  <c r="B4" i="3"/>
  <c r="G14" i="3" s="1"/>
  <c r="G19" i="3" s="1"/>
  <c r="G6" i="3"/>
  <c r="H6" i="3" s="1"/>
  <c r="G5" i="3"/>
  <c r="H5" i="3" s="1"/>
  <c r="F4" i="3"/>
  <c r="F11" i="3" s="1"/>
  <c r="E7" i="3" s="1"/>
  <c r="D26" i="3" l="1"/>
  <c r="G14" i="10"/>
  <c r="H8" i="10"/>
  <c r="I8" i="10" s="1"/>
  <c r="J8" i="10" s="1"/>
  <c r="J17" i="10"/>
  <c r="J22" i="10" s="1"/>
  <c r="H14" i="10"/>
  <c r="G10" i="10" s="1"/>
  <c r="F14" i="10"/>
  <c r="F17" i="10"/>
  <c r="F22" i="10" s="1"/>
  <c r="H9" i="10"/>
  <c r="H15" i="10" s="1"/>
  <c r="F10" i="10"/>
  <c r="G16" i="10"/>
  <c r="G17" i="10"/>
  <c r="G22" i="10" s="1"/>
  <c r="H17" i="10"/>
  <c r="H22" i="10" s="1"/>
  <c r="F19" i="8"/>
  <c r="E15" i="8" s="1"/>
  <c r="E29" i="8" s="1"/>
  <c r="E30" i="8" s="1"/>
  <c r="E32" i="8" s="1"/>
  <c r="F54" i="5"/>
  <c r="F58" i="5" s="1"/>
  <c r="F60" i="5" s="1"/>
  <c r="G15" i="9"/>
  <c r="F11" i="9" s="1"/>
  <c r="F15" i="9"/>
  <c r="E11" i="9" s="1"/>
  <c r="E25" i="9" s="1"/>
  <c r="E26" i="9" s="1"/>
  <c r="E28" i="9" s="1"/>
  <c r="H15" i="9"/>
  <c r="H16" i="9"/>
  <c r="H18" i="9"/>
  <c r="H23" i="9" s="1"/>
  <c r="G16" i="9"/>
  <c r="I18" i="9"/>
  <c r="I23" i="9" s="1"/>
  <c r="G18" i="9"/>
  <c r="G23" i="9" s="1"/>
  <c r="F18" i="9"/>
  <c r="F23" i="9" s="1"/>
  <c r="H20" i="8"/>
  <c r="H19" i="8"/>
  <c r="I13" i="8"/>
  <c r="G19" i="8"/>
  <c r="H22" i="8"/>
  <c r="H27" i="8" s="1"/>
  <c r="G22" i="8"/>
  <c r="G27" i="8" s="1"/>
  <c r="G20" i="8"/>
  <c r="F21" i="8"/>
  <c r="I22" i="8"/>
  <c r="I27" i="8" s="1"/>
  <c r="F22" i="8"/>
  <c r="F27" i="8" s="1"/>
  <c r="H73" i="6"/>
  <c r="H74" i="6" s="1"/>
  <c r="H78" i="6" s="1"/>
  <c r="H79" i="6" s="1"/>
  <c r="I73" i="6"/>
  <c r="I74" i="6" s="1"/>
  <c r="I78" i="6" s="1"/>
  <c r="I79" i="6" s="1"/>
  <c r="F73" i="6"/>
  <c r="F74" i="6" s="1"/>
  <c r="F78" i="6" s="1"/>
  <c r="F79" i="6" s="1"/>
  <c r="J73" i="6"/>
  <c r="J74" i="6" s="1"/>
  <c r="J78" i="6" s="1"/>
  <c r="J79" i="6" s="1"/>
  <c r="G73" i="6"/>
  <c r="G74" i="6" s="1"/>
  <c r="G78" i="6" s="1"/>
  <c r="G79" i="6" s="1"/>
  <c r="F34" i="6"/>
  <c r="F35" i="6" s="1"/>
  <c r="F39" i="6" s="1"/>
  <c r="F40" i="6" s="1"/>
  <c r="J34" i="6"/>
  <c r="J35" i="6" s="1"/>
  <c r="J39" i="6" s="1"/>
  <c r="J40" i="6" s="1"/>
  <c r="H34" i="6"/>
  <c r="H35" i="6" s="1"/>
  <c r="H39" i="6" s="1"/>
  <c r="H40" i="6" s="1"/>
  <c r="I34" i="6"/>
  <c r="I35" i="6" s="1"/>
  <c r="I39" i="6" s="1"/>
  <c r="I40" i="6" s="1"/>
  <c r="G34" i="6"/>
  <c r="G35" i="6" s="1"/>
  <c r="G39" i="6" s="1"/>
  <c r="G40" i="6" s="1"/>
  <c r="H17" i="6"/>
  <c r="H18" i="6" s="1"/>
  <c r="H22" i="6" s="1"/>
  <c r="H24" i="6" s="1"/>
  <c r="I17" i="6"/>
  <c r="I18" i="6" s="1"/>
  <c r="I22" i="6" s="1"/>
  <c r="I24" i="6" s="1"/>
  <c r="F17" i="6"/>
  <c r="F18" i="6" s="1"/>
  <c r="F22" i="6" s="1"/>
  <c r="F24" i="6" s="1"/>
  <c r="J17" i="6"/>
  <c r="J18" i="6" s="1"/>
  <c r="J22" i="6" s="1"/>
  <c r="J24" i="6" s="1"/>
  <c r="G18" i="6"/>
  <c r="G22" i="6" s="1"/>
  <c r="G24" i="6" s="1"/>
  <c r="H52" i="5"/>
  <c r="H53" i="5" s="1"/>
  <c r="H54" i="5" s="1"/>
  <c r="I58" i="5"/>
  <c r="I60" i="5" s="1"/>
  <c r="J58" i="5"/>
  <c r="J60" i="5" s="1"/>
  <c r="G58" i="5"/>
  <c r="G60" i="5" s="1"/>
  <c r="F34" i="5"/>
  <c r="F35" i="5" s="1"/>
  <c r="F39" i="5" s="1"/>
  <c r="F41" i="5" s="1"/>
  <c r="J34" i="5"/>
  <c r="J35" i="5" s="1"/>
  <c r="J39" i="5" s="1"/>
  <c r="J41" i="5" s="1"/>
  <c r="H17" i="5"/>
  <c r="H18" i="5" s="1"/>
  <c r="H22" i="5" s="1"/>
  <c r="H24" i="5" s="1"/>
  <c r="G34" i="5"/>
  <c r="G35" i="5" s="1"/>
  <c r="G39" i="5" s="1"/>
  <c r="G41" i="5" s="1"/>
  <c r="I17" i="5"/>
  <c r="I18" i="5" s="1"/>
  <c r="I22" i="5" s="1"/>
  <c r="I24" i="5" s="1"/>
  <c r="H34" i="5"/>
  <c r="H35" i="5" s="1"/>
  <c r="H39" i="5" s="1"/>
  <c r="H41" i="5" s="1"/>
  <c r="F17" i="5"/>
  <c r="F18" i="5" s="1"/>
  <c r="F22" i="5" s="1"/>
  <c r="F24" i="5" s="1"/>
  <c r="J17" i="5"/>
  <c r="J18" i="5" s="1"/>
  <c r="J22" i="5" s="1"/>
  <c r="J24" i="5" s="1"/>
  <c r="G17" i="5"/>
  <c r="G18" i="5" s="1"/>
  <c r="G22" i="5" s="1"/>
  <c r="G24" i="5" s="1"/>
  <c r="I34" i="5"/>
  <c r="I35" i="5" s="1"/>
  <c r="I39" i="5" s="1"/>
  <c r="I41" i="5" s="1"/>
  <c r="I34" i="4"/>
  <c r="I35" i="4" s="1"/>
  <c r="I39" i="4" s="1"/>
  <c r="I41" i="4" s="1"/>
  <c r="H34" i="4"/>
  <c r="H35" i="4" s="1"/>
  <c r="H39" i="4" s="1"/>
  <c r="H41" i="4" s="1"/>
  <c r="G34" i="4"/>
  <c r="G35" i="4" s="1"/>
  <c r="G39" i="4" s="1"/>
  <c r="G41" i="4" s="1"/>
  <c r="F34" i="4"/>
  <c r="F35" i="4" s="1"/>
  <c r="F39" i="4" s="1"/>
  <c r="F41" i="4" s="1"/>
  <c r="D42" i="4" s="1"/>
  <c r="J34" i="4"/>
  <c r="J35" i="4" s="1"/>
  <c r="J39" i="4" s="1"/>
  <c r="J41" i="4" s="1"/>
  <c r="E22" i="4"/>
  <c r="E24" i="4" s="1"/>
  <c r="F13" i="4"/>
  <c r="F16" i="4" s="1"/>
  <c r="G13" i="4"/>
  <c r="G16" i="4" s="1"/>
  <c r="G19" i="4"/>
  <c r="E21" i="3"/>
  <c r="E22" i="3" s="1"/>
  <c r="E24" i="3" s="1"/>
  <c r="H14" i="3"/>
  <c r="H19" i="3" s="1"/>
  <c r="I14" i="3"/>
  <c r="I19" i="3" s="1"/>
  <c r="F14" i="3"/>
  <c r="F19" i="3" s="1"/>
  <c r="J14" i="3"/>
  <c r="J19" i="3" s="1"/>
  <c r="G11" i="3"/>
  <c r="F7" i="3" s="1"/>
  <c r="F21" i="3" s="1"/>
  <c r="H11" i="3"/>
  <c r="G7" i="3" s="1"/>
  <c r="I5" i="3"/>
  <c r="I6" i="3"/>
  <c r="I12" i="3" s="1"/>
  <c r="H12" i="3"/>
  <c r="G12" i="3"/>
  <c r="F12" i="3"/>
  <c r="F13" i="3" s="1"/>
  <c r="F16" i="3" s="1"/>
  <c r="F17" i="3" s="1"/>
  <c r="H16" i="10" l="1"/>
  <c r="H19" i="10" s="1"/>
  <c r="G19" i="10"/>
  <c r="I9" i="10"/>
  <c r="I15" i="10" s="1"/>
  <c r="F24" i="10"/>
  <c r="F16" i="10"/>
  <c r="F19" i="10" s="1"/>
  <c r="E10" i="10"/>
  <c r="E24" i="10" s="1"/>
  <c r="E25" i="10" s="1"/>
  <c r="E27" i="10" s="1"/>
  <c r="M79" i="6"/>
  <c r="N79" i="6" s="1"/>
  <c r="O79" i="6" s="1"/>
  <c r="P79" i="6" s="1"/>
  <c r="Q79" i="6" s="1"/>
  <c r="R79" i="6" s="1"/>
  <c r="S79" i="6" s="1"/>
  <c r="T79" i="6" s="1"/>
  <c r="U79" i="6" s="1"/>
  <c r="V79" i="6" s="1"/>
  <c r="W79" i="6" s="1"/>
  <c r="X79" i="6" s="1"/>
  <c r="Y79" i="6" s="1"/>
  <c r="Z79" i="6" s="1"/>
  <c r="AA79" i="6" s="1"/>
  <c r="AB79" i="6" s="1"/>
  <c r="AC79" i="6" s="1"/>
  <c r="AD79" i="6" s="1"/>
  <c r="AE79" i="6" s="1"/>
  <c r="AF79" i="6" s="1"/>
  <c r="AG79" i="6" s="1"/>
  <c r="AH79" i="6" s="1"/>
  <c r="AI79" i="6" s="1"/>
  <c r="AJ79" i="6" s="1"/>
  <c r="AK79" i="6" s="1"/>
  <c r="AL79" i="6" s="1"/>
  <c r="AM79" i="6" s="1"/>
  <c r="AN79" i="6" s="1"/>
  <c r="AO79" i="6" s="1"/>
  <c r="AP79" i="6" s="1"/>
  <c r="AQ79" i="6" s="1"/>
  <c r="AR79" i="6" s="1"/>
  <c r="AS79" i="6" s="1"/>
  <c r="AT79" i="6" s="1"/>
  <c r="AU79" i="6" s="1"/>
  <c r="AV79" i="6" s="1"/>
  <c r="AW79" i="6" s="1"/>
  <c r="AX79" i="6" s="1"/>
  <c r="AY79" i="6" s="1"/>
  <c r="AZ79" i="6" s="1"/>
  <c r="BA79" i="6" s="1"/>
  <c r="BB79" i="6" s="1"/>
  <c r="BC79" i="6" s="1"/>
  <c r="BD79" i="6" s="1"/>
  <c r="BE79" i="6" s="1"/>
  <c r="BF79" i="6" s="1"/>
  <c r="BG79" i="6" s="1"/>
  <c r="BH79" i="6" s="1"/>
  <c r="BI79" i="6" s="1"/>
  <c r="BJ79" i="6" s="1"/>
  <c r="BK79" i="6" s="1"/>
  <c r="BL79" i="6" s="1"/>
  <c r="BM79" i="6" s="1"/>
  <c r="BN79" i="6" s="1"/>
  <c r="BO79" i="6" s="1"/>
  <c r="BP79" i="6" s="1"/>
  <c r="BQ79" i="6" s="1"/>
  <c r="BR79" i="6" s="1"/>
  <c r="BS79" i="6" s="1"/>
  <c r="BT79" i="6" s="1"/>
  <c r="BU79" i="6" s="1"/>
  <c r="BV79" i="6" s="1"/>
  <c r="BW79" i="6" s="1"/>
  <c r="BX79" i="6" s="1"/>
  <c r="BY79" i="6" s="1"/>
  <c r="BZ79" i="6" s="1"/>
  <c r="CA79" i="6" s="1"/>
  <c r="CB79" i="6" s="1"/>
  <c r="CC79" i="6" s="1"/>
  <c r="CD79" i="6" s="1"/>
  <c r="CE79" i="6" s="1"/>
  <c r="CF79" i="6" s="1"/>
  <c r="CG79" i="6" s="1"/>
  <c r="CH79" i="6" s="1"/>
  <c r="CI79" i="6" s="1"/>
  <c r="CJ79" i="6" s="1"/>
  <c r="CK79" i="6" s="1"/>
  <c r="CL79" i="6" s="1"/>
  <c r="CM79" i="6" s="1"/>
  <c r="CN79" i="6" s="1"/>
  <c r="CO79" i="6" s="1"/>
  <c r="CP79" i="6" s="1"/>
  <c r="CQ79" i="6" s="1"/>
  <c r="CR79" i="6" s="1"/>
  <c r="CS79" i="6" s="1"/>
  <c r="CT79" i="6" s="1"/>
  <c r="CU79" i="6" s="1"/>
  <c r="CV79" i="6" s="1"/>
  <c r="CW79" i="6" s="1"/>
  <c r="CX79" i="6" s="1"/>
  <c r="CY79" i="6" s="1"/>
  <c r="CZ79" i="6" s="1"/>
  <c r="DA79" i="6" s="1"/>
  <c r="I14" i="10"/>
  <c r="J14" i="10"/>
  <c r="G20" i="10"/>
  <c r="G21" i="10" s="1"/>
  <c r="G24" i="10"/>
  <c r="K40" i="6"/>
  <c r="D43" i="6"/>
  <c r="D41" i="6"/>
  <c r="H62" i="5"/>
  <c r="F25" i="9"/>
  <c r="F17" i="9"/>
  <c r="F20" i="9" s="1"/>
  <c r="F21" i="9" s="1"/>
  <c r="F22" i="9" s="1"/>
  <c r="G17" i="9"/>
  <c r="G20" i="9" s="1"/>
  <c r="I15" i="9"/>
  <c r="J15" i="9"/>
  <c r="J16" i="9"/>
  <c r="I16" i="9"/>
  <c r="H17" i="9"/>
  <c r="H20" i="9" s="1"/>
  <c r="G11" i="9"/>
  <c r="G25" i="9" s="1"/>
  <c r="H21" i="8"/>
  <c r="H24" i="8" s="1"/>
  <c r="G15" i="8"/>
  <c r="G29" i="8" s="1"/>
  <c r="I19" i="8"/>
  <c r="J13" i="8"/>
  <c r="J19" i="8" s="1"/>
  <c r="I20" i="8"/>
  <c r="J20" i="8"/>
  <c r="F24" i="8"/>
  <c r="G21" i="8"/>
  <c r="G24" i="8" s="1"/>
  <c r="F15" i="8"/>
  <c r="F29" i="8" s="1"/>
  <c r="D25" i="6"/>
  <c r="H58" i="5"/>
  <c r="H60" i="5" s="1"/>
  <c r="D61" i="5" s="1"/>
  <c r="D25" i="5"/>
  <c r="D42" i="5"/>
  <c r="G17" i="4"/>
  <c r="G18" i="4" s="1"/>
  <c r="H13" i="4"/>
  <c r="H16" i="4" s="1"/>
  <c r="F17" i="4"/>
  <c r="F18" i="4" s="1"/>
  <c r="G21" i="3"/>
  <c r="G13" i="3"/>
  <c r="G16" i="3" s="1"/>
  <c r="G17" i="3" s="1"/>
  <c r="F18" i="3"/>
  <c r="J5" i="3"/>
  <c r="J11" i="3" s="1"/>
  <c r="I7" i="3" s="1"/>
  <c r="I11" i="3"/>
  <c r="J6" i="3"/>
  <c r="J12" i="3" s="1"/>
  <c r="H13" i="3"/>
  <c r="H16" i="3" s="1"/>
  <c r="H17" i="3" s="1"/>
  <c r="F22" i="3" l="1"/>
  <c r="F24" i="3" s="1"/>
  <c r="J9" i="10"/>
  <c r="J15" i="10" s="1"/>
  <c r="F20" i="10"/>
  <c r="F21" i="10"/>
  <c r="F25" i="10" s="1"/>
  <c r="F27" i="10" s="1"/>
  <c r="G25" i="10"/>
  <c r="G27" i="10" s="1"/>
  <c r="F26" i="9"/>
  <c r="F28" i="9" s="1"/>
  <c r="J16" i="10"/>
  <c r="J19" i="10" s="1"/>
  <c r="I10" i="10"/>
  <c r="H20" i="10"/>
  <c r="H21" i="10" s="1"/>
  <c r="H10" i="10"/>
  <c r="H24" i="10" s="1"/>
  <c r="I16" i="10"/>
  <c r="I19" i="10" s="1"/>
  <c r="D85" i="6"/>
  <c r="K80" i="6"/>
  <c r="L40" i="6"/>
  <c r="K41" i="6"/>
  <c r="D45" i="6"/>
  <c r="H21" i="9"/>
  <c r="H22" i="9" s="1"/>
  <c r="H11" i="9"/>
  <c r="H25" i="9" s="1"/>
  <c r="I17" i="9"/>
  <c r="I20" i="9" s="1"/>
  <c r="G21" i="9"/>
  <c r="G22" i="9" s="1"/>
  <c r="G26" i="9" s="1"/>
  <c r="G28" i="9" s="1"/>
  <c r="I11" i="9"/>
  <c r="J17" i="9"/>
  <c r="J20" i="9" s="1"/>
  <c r="G25" i="8"/>
  <c r="G26" i="8" s="1"/>
  <c r="G30" i="8" s="1"/>
  <c r="G32" i="8" s="1"/>
  <c r="F25" i="8"/>
  <c r="F26" i="8" s="1"/>
  <c r="F30" i="8" s="1"/>
  <c r="F32" i="8" s="1"/>
  <c r="H15" i="8"/>
  <c r="H29" i="8" s="1"/>
  <c r="I21" i="8"/>
  <c r="I24" i="8" s="1"/>
  <c r="I15" i="8"/>
  <c r="J21" i="8"/>
  <c r="J24" i="8" s="1"/>
  <c r="H25" i="8"/>
  <c r="H26" i="8" s="1"/>
  <c r="H30" i="8" s="1"/>
  <c r="H32" i="8" s="1"/>
  <c r="F22" i="4"/>
  <c r="F24" i="4" s="1"/>
  <c r="G22" i="4"/>
  <c r="G24" i="4" s="1"/>
  <c r="H17" i="4"/>
  <c r="H18" i="4" s="1"/>
  <c r="I13" i="4"/>
  <c r="I16" i="4" s="1"/>
  <c r="J13" i="4"/>
  <c r="J16" i="4" s="1"/>
  <c r="I13" i="3"/>
  <c r="I16" i="3" s="1"/>
  <c r="I17" i="3" s="1"/>
  <c r="H7" i="3"/>
  <c r="H21" i="3" s="1"/>
  <c r="J21" i="3"/>
  <c r="G18" i="3"/>
  <c r="J13" i="3"/>
  <c r="J16" i="3" s="1"/>
  <c r="J17" i="3" s="1"/>
  <c r="H18" i="3"/>
  <c r="H22" i="3" s="1"/>
  <c r="G22" i="3" l="1"/>
  <c r="G24" i="3" s="1"/>
  <c r="H25" i="10"/>
  <c r="H27" i="10" s="1"/>
  <c r="I20" i="10"/>
  <c r="I21" i="10" s="1"/>
  <c r="J24" i="10"/>
  <c r="I24" i="10"/>
  <c r="J20" i="10"/>
  <c r="J21" i="10" s="1"/>
  <c r="L80" i="6"/>
  <c r="L81" i="6" s="1"/>
  <c r="M40" i="6"/>
  <c r="L41" i="6"/>
  <c r="H26" i="9"/>
  <c r="H28" i="9" s="1"/>
  <c r="J25" i="9"/>
  <c r="I25" i="9"/>
  <c r="J21" i="9"/>
  <c r="J22" i="9" s="1"/>
  <c r="I21" i="9"/>
  <c r="I22" i="9" s="1"/>
  <c r="J25" i="8"/>
  <c r="J26" i="8" s="1"/>
  <c r="J29" i="8"/>
  <c r="I29" i="8"/>
  <c r="I25" i="8"/>
  <c r="I26" i="8" s="1"/>
  <c r="I30" i="8" s="1"/>
  <c r="I32" i="8" s="1"/>
  <c r="H22" i="4"/>
  <c r="H24" i="4" s="1"/>
  <c r="J17" i="4"/>
  <c r="J18" i="4" s="1"/>
  <c r="I17" i="4"/>
  <c r="I18" i="4" s="1"/>
  <c r="I21" i="3"/>
  <c r="H24" i="3"/>
  <c r="I18" i="3"/>
  <c r="I22" i="3" s="1"/>
  <c r="J18" i="3"/>
  <c r="J22" i="3" l="1"/>
  <c r="J24" i="3" s="1"/>
  <c r="I25" i="10"/>
  <c r="I27" i="10" s="1"/>
  <c r="J25" i="10"/>
  <c r="J27" i="10" s="1"/>
  <c r="J30" i="8"/>
  <c r="J32" i="8" s="1"/>
  <c r="E10" i="8" s="1"/>
  <c r="M80" i="6"/>
  <c r="M81" i="6" s="1"/>
  <c r="N40" i="6"/>
  <c r="M41" i="6"/>
  <c r="I26" i="9"/>
  <c r="I28" i="9" s="1"/>
  <c r="J26" i="9"/>
  <c r="J28" i="9" s="1"/>
  <c r="J22" i="4"/>
  <c r="J24" i="4" s="1"/>
  <c r="I22" i="4"/>
  <c r="I24" i="4" s="1"/>
  <c r="D25" i="4" s="1"/>
  <c r="I24" i="3"/>
  <c r="D27" i="3" l="1"/>
  <c r="E5" i="10"/>
  <c r="E6" i="9"/>
  <c r="N80" i="6"/>
  <c r="N81" i="6" s="1"/>
  <c r="O40" i="6"/>
  <c r="N41" i="6"/>
  <c r="O80" i="6" l="1"/>
  <c r="O81" i="6" s="1"/>
  <c r="P40" i="6"/>
  <c r="O41" i="6"/>
  <c r="P80" i="6" l="1"/>
  <c r="P81" i="6" s="1"/>
  <c r="Q40" i="6"/>
  <c r="P41" i="6"/>
  <c r="Q80" i="6" l="1"/>
  <c r="Q81" i="6" s="1"/>
  <c r="R40" i="6"/>
  <c r="Q41" i="6"/>
  <c r="R80" i="6" l="1"/>
  <c r="R81" i="6" s="1"/>
  <c r="S40" i="6"/>
  <c r="R41" i="6"/>
  <c r="S80" i="6" l="1"/>
  <c r="S81" i="6" s="1"/>
  <c r="T40" i="6"/>
  <c r="S41" i="6"/>
  <c r="T80" i="6" l="1"/>
  <c r="T81" i="6" s="1"/>
  <c r="U40" i="6"/>
  <c r="T41" i="6"/>
  <c r="U80" i="6" l="1"/>
  <c r="U81" i="6" s="1"/>
  <c r="V40" i="6"/>
  <c r="U41" i="6"/>
  <c r="V80" i="6" l="1"/>
  <c r="V81" i="6" s="1"/>
  <c r="W40" i="6"/>
  <c r="V41" i="6"/>
  <c r="W80" i="6" l="1"/>
  <c r="W81" i="6" s="1"/>
  <c r="X40" i="6"/>
  <c r="W41" i="6"/>
  <c r="X80" i="6" l="1"/>
  <c r="X81" i="6" s="1"/>
  <c r="Y40" i="6"/>
  <c r="X41" i="6"/>
  <c r="Y80" i="6" l="1"/>
  <c r="Y81" i="6" s="1"/>
  <c r="Z40" i="6"/>
  <c r="Y41" i="6"/>
  <c r="Z80" i="6" l="1"/>
  <c r="Z81" i="6" s="1"/>
  <c r="AA40" i="6"/>
  <c r="Z41" i="6"/>
  <c r="AA80" i="6" l="1"/>
  <c r="AA81" i="6" s="1"/>
  <c r="AB40" i="6"/>
  <c r="AA41" i="6"/>
  <c r="AB80" i="6" l="1"/>
  <c r="AB81" i="6" s="1"/>
  <c r="AC40" i="6"/>
  <c r="AB41" i="6"/>
  <c r="AC80" i="6" l="1"/>
  <c r="AC81" i="6" s="1"/>
  <c r="AD40" i="6"/>
  <c r="AC41" i="6"/>
  <c r="AD80" i="6" l="1"/>
  <c r="AD81" i="6" s="1"/>
  <c r="AE40" i="6"/>
  <c r="AD41" i="6"/>
  <c r="AE80" i="6" l="1"/>
  <c r="AE81" i="6" s="1"/>
  <c r="AF40" i="6"/>
  <c r="AE41" i="6"/>
  <c r="AF80" i="6" l="1"/>
  <c r="AF81" i="6" s="1"/>
  <c r="AG40" i="6"/>
  <c r="AF41" i="6"/>
  <c r="AG80" i="6" l="1"/>
  <c r="AG81" i="6" s="1"/>
  <c r="AH40" i="6"/>
  <c r="AG41" i="6"/>
  <c r="AH80" i="6" l="1"/>
  <c r="AH81" i="6" s="1"/>
  <c r="AI40" i="6"/>
  <c r="AH41" i="6"/>
  <c r="AI80" i="6" l="1"/>
  <c r="AI81" i="6" s="1"/>
  <c r="AJ40" i="6"/>
  <c r="AI41" i="6"/>
  <c r="AJ80" i="6" l="1"/>
  <c r="AJ81" i="6" s="1"/>
  <c r="AK40" i="6"/>
  <c r="AJ41" i="6"/>
  <c r="AK80" i="6" l="1"/>
  <c r="AK81" i="6" s="1"/>
  <c r="AL40" i="6"/>
  <c r="AK41" i="6"/>
  <c r="AL80" i="6" l="1"/>
  <c r="AL81" i="6" s="1"/>
  <c r="AM40" i="6"/>
  <c r="AL41" i="6"/>
  <c r="AM80" i="6" l="1"/>
  <c r="AM81" i="6" s="1"/>
  <c r="AN40" i="6"/>
  <c r="AM41" i="6"/>
  <c r="AN80" i="6" l="1"/>
  <c r="AN81" i="6" s="1"/>
  <c r="AO40" i="6"/>
  <c r="AN41" i="6"/>
  <c r="AO80" i="6" l="1"/>
  <c r="AO81" i="6" s="1"/>
  <c r="AP40" i="6"/>
  <c r="AO41" i="6"/>
  <c r="AP80" i="6" l="1"/>
  <c r="AP81" i="6" s="1"/>
  <c r="AQ40" i="6"/>
  <c r="AP41" i="6"/>
  <c r="AQ80" i="6" l="1"/>
  <c r="AQ81" i="6" s="1"/>
  <c r="AR40" i="6"/>
  <c r="AQ41" i="6"/>
  <c r="AR80" i="6" l="1"/>
  <c r="AR81" i="6" s="1"/>
  <c r="AS40" i="6"/>
  <c r="AR41" i="6"/>
  <c r="AS80" i="6" l="1"/>
  <c r="AS81" i="6" s="1"/>
  <c r="AT40" i="6"/>
  <c r="AS41" i="6"/>
  <c r="AT80" i="6" l="1"/>
  <c r="AT81" i="6" s="1"/>
  <c r="AU40" i="6"/>
  <c r="AT41" i="6"/>
  <c r="AU80" i="6" l="1"/>
  <c r="AU81" i="6" s="1"/>
  <c r="AV40" i="6"/>
  <c r="AU41" i="6"/>
  <c r="AV80" i="6" l="1"/>
  <c r="AV81" i="6" s="1"/>
  <c r="AW40" i="6"/>
  <c r="AV41" i="6"/>
  <c r="AW80" i="6" l="1"/>
  <c r="AW81" i="6" s="1"/>
  <c r="AX40" i="6"/>
  <c r="AW41" i="6"/>
  <c r="AX80" i="6" l="1"/>
  <c r="AX81" i="6" s="1"/>
  <c r="AY40" i="6"/>
  <c r="AX41" i="6"/>
  <c r="AY80" i="6" l="1"/>
  <c r="AY81" i="6" s="1"/>
  <c r="AZ40" i="6"/>
  <c r="AY41" i="6"/>
  <c r="AZ80" i="6" l="1"/>
  <c r="AZ81" i="6" s="1"/>
  <c r="BA40" i="6"/>
  <c r="AZ41" i="6"/>
  <c r="BA80" i="6" l="1"/>
  <c r="BA81" i="6" s="1"/>
  <c r="BB40" i="6"/>
  <c r="BA41" i="6"/>
  <c r="BB80" i="6" l="1"/>
  <c r="BB81" i="6" s="1"/>
  <c r="BC40" i="6"/>
  <c r="BB41" i="6"/>
  <c r="BC80" i="6" l="1"/>
  <c r="BC81" i="6" s="1"/>
  <c r="BD40" i="6"/>
  <c r="BC41" i="6"/>
  <c r="BD80" i="6" l="1"/>
  <c r="BD81" i="6" s="1"/>
  <c r="BE40" i="6"/>
  <c r="BD41" i="6"/>
  <c r="BE80" i="6" l="1"/>
  <c r="BE81" i="6" s="1"/>
  <c r="BF40" i="6"/>
  <c r="BE41" i="6"/>
  <c r="BF80" i="6" l="1"/>
  <c r="BF81" i="6" s="1"/>
  <c r="BG40" i="6"/>
  <c r="BF41" i="6"/>
  <c r="BG80" i="6" l="1"/>
  <c r="BG81" i="6" s="1"/>
  <c r="BH40" i="6"/>
  <c r="BG41" i="6"/>
  <c r="BH80" i="6" l="1"/>
  <c r="BH81" i="6" s="1"/>
  <c r="BI40" i="6"/>
  <c r="BH41" i="6"/>
  <c r="BI80" i="6" l="1"/>
  <c r="BI81" i="6" s="1"/>
  <c r="BJ40" i="6"/>
  <c r="BI41" i="6"/>
  <c r="BJ80" i="6" l="1"/>
  <c r="BJ81" i="6" s="1"/>
  <c r="BK40" i="6"/>
  <c r="BJ41" i="6"/>
  <c r="BK80" i="6" l="1"/>
  <c r="BK81" i="6" s="1"/>
  <c r="BL40" i="6"/>
  <c r="BK41" i="6"/>
  <c r="BL80" i="6" l="1"/>
  <c r="BL81" i="6" s="1"/>
  <c r="BM40" i="6"/>
  <c r="BL41" i="6"/>
  <c r="BM80" i="6" l="1"/>
  <c r="BM81" i="6" s="1"/>
  <c r="BN40" i="6"/>
  <c r="BM41" i="6"/>
  <c r="BN80" i="6" l="1"/>
  <c r="BN81" i="6" s="1"/>
  <c r="BO40" i="6"/>
  <c r="BN41" i="6"/>
  <c r="BO80" i="6" l="1"/>
  <c r="BO81" i="6" s="1"/>
  <c r="BP40" i="6"/>
  <c r="BO41" i="6"/>
  <c r="BP80" i="6" l="1"/>
  <c r="BP81" i="6" s="1"/>
  <c r="BQ40" i="6"/>
  <c r="BP41" i="6"/>
  <c r="BQ80" i="6" l="1"/>
  <c r="BQ81" i="6" s="1"/>
  <c r="BR40" i="6"/>
  <c r="BQ41" i="6"/>
  <c r="BR80" i="6" l="1"/>
  <c r="BR81" i="6" s="1"/>
  <c r="BS40" i="6"/>
  <c r="BR41" i="6"/>
  <c r="BS80" i="6" l="1"/>
  <c r="BS81" i="6" s="1"/>
  <c r="BT40" i="6"/>
  <c r="BS41" i="6"/>
  <c r="BT80" i="6" l="1"/>
  <c r="BT81" i="6" s="1"/>
  <c r="BU40" i="6"/>
  <c r="BT41" i="6"/>
  <c r="BU80" i="6" l="1"/>
  <c r="BU81" i="6" s="1"/>
  <c r="BV40" i="6"/>
  <c r="BU41" i="6"/>
  <c r="BV80" i="6" l="1"/>
  <c r="BV81" i="6" s="1"/>
  <c r="BW40" i="6"/>
  <c r="BV41" i="6"/>
  <c r="BW80" i="6" l="1"/>
  <c r="BW81" i="6" s="1"/>
  <c r="BX40" i="6"/>
  <c r="BW41" i="6"/>
  <c r="BX80" i="6" l="1"/>
  <c r="BX81" i="6" s="1"/>
  <c r="BY40" i="6"/>
  <c r="BX41" i="6"/>
  <c r="BY80" i="6" l="1"/>
  <c r="BY81" i="6" s="1"/>
  <c r="BZ40" i="6"/>
  <c r="BY41" i="6"/>
  <c r="BZ80" i="6" l="1"/>
  <c r="BZ81" i="6" s="1"/>
  <c r="CA40" i="6"/>
  <c r="BZ41" i="6"/>
  <c r="CA80" i="6" l="1"/>
  <c r="CA81" i="6" s="1"/>
  <c r="CB40" i="6"/>
  <c r="CA41" i="6"/>
  <c r="CB80" i="6" l="1"/>
  <c r="CB81" i="6" s="1"/>
  <c r="CC40" i="6"/>
  <c r="CB41" i="6"/>
  <c r="CC80" i="6" l="1"/>
  <c r="CC81" i="6" s="1"/>
  <c r="CD40" i="6"/>
  <c r="CC41" i="6"/>
  <c r="CD80" i="6" l="1"/>
  <c r="CD81" i="6" s="1"/>
  <c r="CE40" i="6"/>
  <c r="CD41" i="6"/>
  <c r="CE80" i="6" l="1"/>
  <c r="CE81" i="6" s="1"/>
  <c r="CF40" i="6"/>
  <c r="CE41" i="6"/>
  <c r="CF80" i="6" l="1"/>
  <c r="CF81" i="6" s="1"/>
  <c r="CG40" i="6"/>
  <c r="CF41" i="6"/>
  <c r="CG80" i="6" l="1"/>
  <c r="CG81" i="6" s="1"/>
  <c r="CH40" i="6"/>
  <c r="CG41" i="6"/>
  <c r="CH80" i="6" l="1"/>
  <c r="CH81" i="6" s="1"/>
  <c r="CI40" i="6"/>
  <c r="CH41" i="6"/>
  <c r="CI80" i="6" l="1"/>
  <c r="CI81" i="6" s="1"/>
  <c r="CJ40" i="6"/>
  <c r="CI41" i="6"/>
  <c r="CJ80" i="6" l="1"/>
  <c r="CJ81" i="6" s="1"/>
  <c r="CK40" i="6"/>
  <c r="CJ41" i="6"/>
  <c r="CK80" i="6" l="1"/>
  <c r="CK81" i="6" s="1"/>
  <c r="CL40" i="6"/>
  <c r="CK41" i="6"/>
  <c r="CL80" i="6" l="1"/>
  <c r="CL81" i="6" s="1"/>
  <c r="CM40" i="6"/>
  <c r="CL41" i="6"/>
  <c r="CM80" i="6" l="1"/>
  <c r="CM81" i="6" s="1"/>
  <c r="CN40" i="6"/>
  <c r="CM41" i="6"/>
  <c r="CN80" i="6" l="1"/>
  <c r="CN81" i="6" s="1"/>
  <c r="CO40" i="6"/>
  <c r="CN41" i="6"/>
  <c r="CO80" i="6" l="1"/>
  <c r="CO81" i="6" s="1"/>
  <c r="CP40" i="6"/>
  <c r="CO41" i="6"/>
  <c r="CP80" i="6" l="1"/>
  <c r="CP81" i="6" s="1"/>
  <c r="CQ40" i="6"/>
  <c r="CP41" i="6"/>
  <c r="CQ80" i="6" l="1"/>
  <c r="CQ81" i="6" s="1"/>
  <c r="CR40" i="6"/>
  <c r="CQ41" i="6"/>
  <c r="CR80" i="6" l="1"/>
  <c r="CR81" i="6" s="1"/>
  <c r="CS40" i="6"/>
  <c r="CR41" i="6"/>
  <c r="CS80" i="6" l="1"/>
  <c r="CS81" i="6" s="1"/>
  <c r="CT40" i="6"/>
  <c r="CS41" i="6"/>
  <c r="CT80" i="6" l="1"/>
  <c r="CT81" i="6" s="1"/>
  <c r="CU40" i="6"/>
  <c r="CT41" i="6"/>
  <c r="CU80" i="6" l="1"/>
  <c r="CU81" i="6" s="1"/>
  <c r="CV40" i="6"/>
  <c r="CU41" i="6"/>
  <c r="CV80" i="6" l="1"/>
  <c r="CV81" i="6" s="1"/>
  <c r="CW40" i="6"/>
  <c r="CV41" i="6"/>
  <c r="CW80" i="6" l="1"/>
  <c r="CW81" i="6" s="1"/>
  <c r="CX40" i="6"/>
  <c r="CW41" i="6"/>
  <c r="CX80" i="6" l="1"/>
  <c r="CX81" i="6" s="1"/>
  <c r="CY40" i="6"/>
  <c r="CX41" i="6"/>
  <c r="CY80" i="6" l="1"/>
  <c r="CY81" i="6" s="1"/>
  <c r="CZ40" i="6"/>
  <c r="CY41" i="6"/>
  <c r="CZ80" i="6" l="1"/>
  <c r="CZ81" i="6" s="1"/>
  <c r="DA80" i="6"/>
  <c r="DA40" i="6"/>
  <c r="DA41" i="6" s="1"/>
  <c r="CZ41" i="6"/>
  <c r="DA81" i="6" l="1"/>
  <c r="D82" i="6"/>
  <c r="D84" i="6" s="1"/>
  <c r="D42" i="6"/>
  <c r="D44" i="6" s="1"/>
</calcChain>
</file>

<file path=xl/sharedStrings.xml><?xml version="1.0" encoding="utf-8"?>
<sst xmlns="http://schemas.openxmlformats.org/spreadsheetml/2006/main" count="438" uniqueCount="163">
  <si>
    <t>Year 1</t>
  </si>
  <si>
    <t>Year 2</t>
  </si>
  <si>
    <t>Year 3</t>
  </si>
  <si>
    <t>Year 4</t>
  </si>
  <si>
    <t>Year 5</t>
  </si>
  <si>
    <t>Sales</t>
  </si>
  <si>
    <t>Unit Price</t>
  </si>
  <si>
    <t>Unit Costs</t>
  </si>
  <si>
    <t>Gross Profit</t>
  </si>
  <si>
    <t>COGS</t>
  </si>
  <si>
    <t>Total Sales</t>
  </si>
  <si>
    <t>Depreciation</t>
  </si>
  <si>
    <t>EBIT</t>
  </si>
  <si>
    <t>Income Taxes</t>
  </si>
  <si>
    <t>Opp. Cost</t>
  </si>
  <si>
    <t>Unlevered Net Income</t>
  </si>
  <si>
    <t>Year 0</t>
  </si>
  <si>
    <t>(+) Depreciation</t>
  </si>
  <si>
    <t>(-) CAPEX</t>
  </si>
  <si>
    <t>Working Capital Investment</t>
  </si>
  <si>
    <t>Standard Free Cash Flow</t>
  </si>
  <si>
    <t>(-) Change in Working Capital</t>
  </si>
  <si>
    <t>(+) Liquidation of Assets</t>
  </si>
  <si>
    <t>Free Cash Flow</t>
  </si>
  <si>
    <t>Key Inputs</t>
  </si>
  <si>
    <t>Marginal Tax Rate</t>
  </si>
  <si>
    <t>CAPEX Investment</t>
  </si>
  <si>
    <t>Opportunity Cost</t>
  </si>
  <si>
    <t>Liquidation Value (net of taxes)</t>
  </si>
  <si>
    <t>Regular Project</t>
  </si>
  <si>
    <t>Accelerated Depreciation</t>
  </si>
  <si>
    <t>Accelerated Depreciation + Tax Carryforwards</t>
  </si>
  <si>
    <t>Tax Carryforward Effect</t>
  </si>
  <si>
    <t>NPV</t>
  </si>
  <si>
    <t>Average Growth Rate - Unit Costs</t>
  </si>
  <si>
    <t>Base</t>
  </si>
  <si>
    <t>Worst</t>
  </si>
  <si>
    <t>Best</t>
  </si>
  <si>
    <t>The fact that accelerated depreciation makes the cash-flows from the most recent years to increase, when we re-calculate the NPV of the project, we see that it increases. The reason for that is because na additional dollar on tax savings in Year 2 is much more valuable than the same monetary value in Year 5. Accelerated Depreciation then increases the NPV of the project as the firm is able to increase its most recent free cash-flows (from Years 1-3) despite a decrease in FCF for years 4 and 5. Because the cash-flows for years 4 and 5 are more "discounted" than those of years 1-3, shareholders are better-off by concentrating the tax benefits in shorter periods.</t>
  </si>
  <si>
    <t>Tax carryforward - Stock</t>
  </si>
  <si>
    <t>Here, the accelerated depreciation method makes 100% of the machinery to be depreciated in Year 1, making EBIT to be NEGATIVE. With that, the calculation of income taxes not only makes the firm to not pay any tax income, but also creates a tax benefit to be used throughout the following years when it will make profits. For example, in Year 1, the firm had an EBIT of $90,520. In a normal situation, income taxes would have been 34% x 90,520. Notwithstanding, according to the Brazilian law, we can deduct a maximum of 30% of our Taxable Income using tax benefits. In this case, 30% x 90,520 = 27,156. This value is then DEDUCTING the taxable income, and the income taxes is now 34% x (90,520 - 27,156) = -21,544. We used 27,156 out of 47,600 of what initially had of tax benefits, leaving us with 20,444 in tax benefits to be used for the upcoming periods. In Year 2, 30% x 107,544 &gt; 20,444, so we can only deduct 20,444 from our EBIT before we calculate the tax income. These two effects combined make the NPV to increase as they substantially increase the FCF from Year 1. As before, it is much more valuable to have a higher FCF in Year 1 than having the same value in Years 2-5.</t>
  </si>
  <si>
    <t>NPV - Year 1 to 5</t>
  </si>
  <si>
    <t>Perpetual Value - Hardcoded</t>
  </si>
  <si>
    <t>Perpetual Value - Formula</t>
  </si>
  <si>
    <t>Year 6</t>
  </si>
  <si>
    <t>Year 7</t>
  </si>
  <si>
    <t>NPV - Method 1</t>
  </si>
  <si>
    <t>NPV - Method 2</t>
  </si>
  <si>
    <t>In this example, we took out the liquidation value and assumed that the project would continue indefinitely - you can think of it as being a company, which does not have a clear end date. Because our forecast horizon is limited (Years 6, 7 ownwards are too uncertain), we generally simplify by assuming that the upcoming cash-flows are going to be proportional to the last cash-flow that has been fully estimated. In this example, we assume that, after Year 6, all cash-flows equal to FCF from Year 5. One way to calculate this is to project 10, 20, 30, 50, 100 years ahead of time and calculate the NPV of these cash-flows. As you can see, after a given period, the discounted value is so small that, at a certain point, this summation converges to a number. You can actually approximate this number by using FC/(r). However, note that this formula yields a value that is expressed in terms of Year 5. Because of that, we bring that to present value in Year 0 by discounting it by (1+i)^15. The value of the firm increases significantly after including the perpetuity, as expected, because the project wouldn't end anymore, even after netting out the potential increases in NPV from the sale of the machiney (termination value).</t>
  </si>
  <si>
    <t>Growth Rate</t>
  </si>
  <si>
    <t>Year 8</t>
  </si>
  <si>
    <t>Year 9</t>
  </si>
  <si>
    <t>Year 10</t>
  </si>
  <si>
    <t>Year 11</t>
  </si>
  <si>
    <t>Year 12</t>
  </si>
  <si>
    <t>Year 13</t>
  </si>
  <si>
    <t>Year 14</t>
  </si>
  <si>
    <t>Year 15</t>
  </si>
  <si>
    <t>Year 16</t>
  </si>
  <si>
    <t>Year 17</t>
  </si>
  <si>
    <t>Year 18</t>
  </si>
  <si>
    <t>Year 19</t>
  </si>
  <si>
    <t>Year 20</t>
  </si>
  <si>
    <t>Year 21</t>
  </si>
  <si>
    <t>Year 22</t>
  </si>
  <si>
    <t>Year 23</t>
  </si>
  <si>
    <t>Year 24</t>
  </si>
  <si>
    <t>Year 25</t>
  </si>
  <si>
    <t>Year 26</t>
  </si>
  <si>
    <t>Year 27</t>
  </si>
  <si>
    <t>Year 28</t>
  </si>
  <si>
    <t>Year 29</t>
  </si>
  <si>
    <t>Year 30</t>
  </si>
  <si>
    <t>Year 31</t>
  </si>
  <si>
    <t>Year 32</t>
  </si>
  <si>
    <t>Year 33</t>
  </si>
  <si>
    <t>Year 34</t>
  </si>
  <si>
    <t>Year 35</t>
  </si>
  <si>
    <t>Year 36</t>
  </si>
  <si>
    <t>Year 37</t>
  </si>
  <si>
    <t>Year 38</t>
  </si>
  <si>
    <t>Year 39</t>
  </si>
  <si>
    <t>Year 40</t>
  </si>
  <si>
    <t>Year 41</t>
  </si>
  <si>
    <t>Year 42</t>
  </si>
  <si>
    <t>Year 43</t>
  </si>
  <si>
    <t>Year 44</t>
  </si>
  <si>
    <t>Year 45</t>
  </si>
  <si>
    <t>Year 46</t>
  </si>
  <si>
    <t>Year 47</t>
  </si>
  <si>
    <t>Year 48</t>
  </si>
  <si>
    <t>Year 49</t>
  </si>
  <si>
    <t>Year 50</t>
  </si>
  <si>
    <t>Year 51</t>
  </si>
  <si>
    <t>Year 52</t>
  </si>
  <si>
    <t>Year 53</t>
  </si>
  <si>
    <t>Year 54</t>
  </si>
  <si>
    <t>Year 55</t>
  </si>
  <si>
    <t>Year 56</t>
  </si>
  <si>
    <t>Year 57</t>
  </si>
  <si>
    <t>Year 58</t>
  </si>
  <si>
    <t>Year 59</t>
  </si>
  <si>
    <t>Year 60</t>
  </si>
  <si>
    <t>Year 61</t>
  </si>
  <si>
    <t>Year 62</t>
  </si>
  <si>
    <t>Year 63</t>
  </si>
  <si>
    <t>Year 64</t>
  </si>
  <si>
    <t>Year 65</t>
  </si>
  <si>
    <t>Year 66</t>
  </si>
  <si>
    <t>Year 67</t>
  </si>
  <si>
    <t>Year 68</t>
  </si>
  <si>
    <t>Year 69</t>
  </si>
  <si>
    <t>Year 70</t>
  </si>
  <si>
    <t>Year 71</t>
  </si>
  <si>
    <t>Year 72</t>
  </si>
  <si>
    <t>Year 73</t>
  </si>
  <si>
    <t>Year 74</t>
  </si>
  <si>
    <t>Year 75</t>
  </si>
  <si>
    <t>Year 76</t>
  </si>
  <si>
    <t>Year 77</t>
  </si>
  <si>
    <t>Year 78</t>
  </si>
  <si>
    <t>Year 79</t>
  </si>
  <si>
    <t>Year 80</t>
  </si>
  <si>
    <t>Year 81</t>
  </si>
  <si>
    <t>Year 82</t>
  </si>
  <si>
    <t>Year 83</t>
  </si>
  <si>
    <t>Year 84</t>
  </si>
  <si>
    <t>Year 85</t>
  </si>
  <si>
    <t>Year 86</t>
  </si>
  <si>
    <t>Year 87</t>
  </si>
  <si>
    <t>Year 88</t>
  </si>
  <si>
    <t>Year 89</t>
  </si>
  <si>
    <t>Year 90</t>
  </si>
  <si>
    <t>Year 91</t>
  </si>
  <si>
    <t>Year 92</t>
  </si>
  <si>
    <t>Year 93</t>
  </si>
  <si>
    <t>Year 94</t>
  </si>
  <si>
    <t>Year 95</t>
  </si>
  <si>
    <t>Year 96</t>
  </si>
  <si>
    <t>Year 97</t>
  </si>
  <si>
    <t>Year 98</t>
  </si>
  <si>
    <t>Year 99</t>
  </si>
  <si>
    <t>Year 100</t>
  </si>
  <si>
    <t>What if the average growth rate of unit costs is higher than 6%? Are we still better-off by investing on the project? You can use goal-seek functions to analyze the break-even point for your inputs. For example, if you set Average Growth Rate to be approximately 13.803895%, you'll see that the NPV of the project is zero. You can do this with other inputs, such as the opportunity cost, cost of capital etc. Of course, you can use goal-seek in Excel to find that.</t>
  </si>
  <si>
    <t>Unit Costs Growth</t>
  </si>
  <si>
    <t>Unit Price Growth</t>
  </si>
  <si>
    <t>Cost of Capital</t>
  </si>
  <si>
    <t>Scenarios</t>
  </si>
  <si>
    <t>Average Growth Rate - Unit Price</t>
  </si>
  <si>
    <t>Inputs</t>
  </si>
  <si>
    <t>Changes</t>
  </si>
  <si>
    <t>Best-to-worst change</t>
  </si>
  <si>
    <t>What if we wanted to gauge how sensible our NPV results are whenever we are varying each input? A sensitivity analysis conducts the following experiment: 
1. Fix the main drivers of your NPV (for example, growth rate of costs, growth rate of inputs, cost of capital, margins etc)
2. For each driver, create Worst/Base/Best Scenarios, in which you'll hardcore what the value of each given driver is in each scenario. For example, for the Growth Rate of Costs, a worst-case scenario could have a 10% growth, holding everything else fixed. On the other hand, on a best-case scenario, these could grow 1% YoY. Hardcode the assumptions for each scenario. 
3. For each driver, start from the Base scenario and change the input value. Collect the new NPV calculated when EVERYTHING ELSE IS FIXED, but the specific driver has changed. Repeat this across all scenarios and drivers.
4. You can then create a table that outlines Scenarios x Drivers and see the variability of your NPV calculations for each driver. Below, I have hardcoded a situation where we're looking at 3 scenarios for Unit Cost Growth, Unit Price Growth, and Cost of Capital variations. As we can see, changes in Unit Prices seem to have the difference from the best-to-worst scenario, suggesting that the uncertainly in firm's cash-flows (or value) is more exposed to the ability of the firm to increase prices. This is important as managers we'll need to keep a close eye on this input so as to ensure that the estimated NPV is actually feasible. Notwithstanding, you can see that REGARDLESS of the scenarios, the NPV is positive. That is, if the assumptions around the scenarios are correct, even after considering uncertainty in your estimates, the project should be accepted.</t>
  </si>
  <si>
    <t>Case 1 : without terminal value, with constant perpetual value</t>
  </si>
  <si>
    <t>Case 2 : without terminal value, with perpetual value considering a growth rate</t>
  </si>
  <si>
    <t>...</t>
  </si>
  <si>
    <t>Year 800</t>
  </si>
  <si>
    <t>FC/r</t>
  </si>
  <si>
    <t>simplificação!</t>
  </si>
  <si>
    <t>Average Growth Rate - Prices</t>
  </si>
  <si>
    <t>What if you want to vary over more than one input at a time? Say that, for example, you want to think about a combination of growth rates for unit costs AND unit revenues AT THE SAME TIME? It is very reasonable to assume that more than one driver is going to change at a time. To do that, we can create a grid of values and simulate changes in inputs at the same time.</t>
  </si>
  <si>
    <t>As expected, one does not need to stick with only two inputs at a time. If there is a significant number of inputs in which you want to see the impacts of changing them altogether, you can use simulation techniques, such as Monte Carlo simulation, to generate a high number of scenarios, and plot a histogram of the NPV values.</t>
  </si>
  <si>
    <t>What if instead of having a constant cash-flow over Year 6 onwards, you came up with a simplification that FCF's should grow using na averate growth rate? For example, we can assume that our cash-flows would grow indefinitely at a rate that expresses the growth rate of the industry. Let's say that we imagine that a reasonable growth rate to assume is 2%. That is, Year 7 = Year 6 x (1+2%), and so on. You can again hardcore these things, calculate the NPV of the "Perpetual" portion and sum up with what you have for Year 1-5. Alternatively, you can also see that even with the growth rate, this sequence of cash-flows converge to zero as time goes by. You can approximate this by using FC*(1+g)/(r-g), where g is the growth rate. Again, this value is in terms of Year 5, so you need to discount it again to get it in terms of Year 0. As you can see, the value increases (as expected, since cash-flows are growing), but the differentce between the two methods is very small.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</si>
</sst>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_-* #,##0.00_-;\-* #,##0.00_-;_-* &quot;-&quot;??_-;_-@_-"/>
    <numFmt numFmtId="165" formatCode="_-* #,##0_-;\-* #,##0_-;_-* &quot;-&quot;??_-;_-@_-"/>
    <numFmt numFmtId="166" formatCode="&quot;$&quot;#,##0.00"/>
    <numFmt numFmtId="167" formatCode="&quot;$&quot;#,##0"/>
    <numFmt numFmtId="168" formatCode="_(&quot;$&quot;* #,##0_);_(&quot;$&quot;* \(#,##0\);_(&quot;$&quot;* &quot;-&quot;??_);_(@_)"/>
    <numFmt numFmtId="169" formatCode="0.0%"/>
    <numFmt numFmtId="170" formatCode="_(&quot;$&quot;* #,##0.0_);_(&quot;$&quot;* \(#,##0.0\);_(&quot;$&quot;* &quot;-&quot;??_);_(@_)"/>
  </numFmts>
  <fonts count="13" x14ac:knownFonts="1">
    <font>
      <sz val="11"/>
      <color theme="1"/>
      <name val="Calibri"/>
      <family val="2"/>
      <scheme val="minor"/>
    </font>
    <font>
      <sz val="11"/>
      <color theme="1"/>
      <name val="Calibri"/>
      <family val="2"/>
      <scheme val="minor"/>
    </font>
    <font>
      <sz val="11"/>
      <color theme="1"/>
      <name val="Arial"/>
      <family val="2"/>
    </font>
    <font>
      <b/>
      <sz val="11"/>
      <color theme="1"/>
      <name val="Arial"/>
      <family val="2"/>
    </font>
    <font>
      <sz val="11"/>
      <color rgb="FFFF0000"/>
      <name val="Arial"/>
      <family val="2"/>
    </font>
    <font>
      <sz val="11"/>
      <color rgb="FF00B050"/>
      <name val="Arial"/>
      <family val="2"/>
    </font>
    <font>
      <b/>
      <sz val="11"/>
      <color rgb="FFFF0000"/>
      <name val="Arial"/>
      <family val="2"/>
    </font>
    <font>
      <b/>
      <sz val="11"/>
      <color rgb="FF00B050"/>
      <name val="Arial"/>
      <family val="2"/>
    </font>
    <font>
      <b/>
      <sz val="11"/>
      <color theme="1"/>
      <name val="Calibri"/>
      <family val="2"/>
      <scheme val="minor"/>
    </font>
    <font>
      <sz val="11"/>
      <name val="Arial"/>
      <family val="2"/>
    </font>
    <font>
      <sz val="8"/>
      <name val="Calibri"/>
      <family val="2"/>
      <scheme val="minor"/>
    </font>
    <font>
      <sz val="11"/>
      <color rgb="FFFF0000"/>
      <name val="Calibri"/>
      <family val="2"/>
      <scheme val="minor"/>
    </font>
    <font>
      <sz val="11"/>
      <color rgb="FF00B050"/>
      <name val="Calibri"/>
      <family val="2"/>
      <scheme val="minor"/>
    </font>
  </fonts>
  <fills count="8">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rgb="FF00B050"/>
        <bgColor indexed="64"/>
      </patternFill>
    </fill>
    <fill>
      <patternFill patternType="solid">
        <fgColor rgb="FFC00000"/>
        <bgColor indexed="64"/>
      </patternFill>
    </fill>
    <fill>
      <patternFill patternType="solid">
        <fgColor rgb="FFFFC000"/>
        <bgColor indexed="64"/>
      </patternFill>
    </fill>
    <fill>
      <patternFill patternType="solid">
        <fgColor theme="4"/>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diagonal/>
    </border>
    <border>
      <left/>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cellStyleXfs>
  <cellXfs count="81">
    <xf numFmtId="0" fontId="0" fillId="0" borderId="0" xfId="0"/>
    <xf numFmtId="164" fontId="0" fillId="0" borderId="0" xfId="1" applyFont="1"/>
    <xf numFmtId="164" fontId="2" fillId="0" borderId="1" xfId="1" applyFont="1" applyBorder="1" applyAlignment="1">
      <alignment horizontal="center"/>
    </xf>
    <xf numFmtId="164" fontId="3" fillId="0" borderId="1" xfId="1" applyFont="1" applyBorder="1" applyAlignment="1">
      <alignment horizontal="center"/>
    </xf>
    <xf numFmtId="164" fontId="2" fillId="2" borderId="1" xfId="1" applyFont="1" applyFill="1" applyBorder="1" applyAlignment="1">
      <alignment horizontal="center"/>
    </xf>
    <xf numFmtId="164" fontId="3" fillId="2" borderId="1" xfId="1" applyFont="1" applyFill="1" applyBorder="1" applyAlignment="1">
      <alignment horizontal="center"/>
    </xf>
    <xf numFmtId="0" fontId="3" fillId="2" borderId="1" xfId="0" applyFont="1" applyFill="1" applyBorder="1" applyAlignment="1">
      <alignment horizontal="center"/>
    </xf>
    <xf numFmtId="165" fontId="2" fillId="0" borderId="1" xfId="1" applyNumberFormat="1" applyFont="1" applyBorder="1" applyAlignment="1">
      <alignment horizontal="center"/>
    </xf>
    <xf numFmtId="166" fontId="2" fillId="0" borderId="1" xfId="3" applyNumberFormat="1" applyFont="1" applyBorder="1" applyAlignment="1">
      <alignment horizontal="center"/>
    </xf>
    <xf numFmtId="167" fontId="2" fillId="0" borderId="1" xfId="1" applyNumberFormat="1" applyFont="1" applyBorder="1" applyAlignment="1">
      <alignment horizontal="center"/>
    </xf>
    <xf numFmtId="167" fontId="3" fillId="0" borderId="1" xfId="1" applyNumberFormat="1" applyFont="1" applyBorder="1" applyAlignment="1">
      <alignment horizontal="center"/>
    </xf>
    <xf numFmtId="167" fontId="4" fillId="0" borderId="1" xfId="1" applyNumberFormat="1" applyFont="1" applyBorder="1" applyAlignment="1">
      <alignment horizontal="center"/>
    </xf>
    <xf numFmtId="167" fontId="5" fillId="0" borderId="1" xfId="1" applyNumberFormat="1" applyFont="1" applyBorder="1" applyAlignment="1">
      <alignment horizontal="center"/>
    </xf>
    <xf numFmtId="164" fontId="2" fillId="0" borderId="1" xfId="1" applyFont="1" applyBorder="1" applyAlignment="1"/>
    <xf numFmtId="164" fontId="2" fillId="0" borderId="1" xfId="1" applyFont="1" applyBorder="1" applyAlignment="1">
      <alignment horizontal="center" vertical="center"/>
    </xf>
    <xf numFmtId="167" fontId="2" fillId="0" borderId="1" xfId="1" applyNumberFormat="1" applyFont="1" applyBorder="1" applyAlignment="1">
      <alignment horizontal="center" vertical="center"/>
    </xf>
    <xf numFmtId="167" fontId="4" fillId="0" borderId="1" xfId="1" applyNumberFormat="1" applyFont="1" applyBorder="1" applyAlignment="1">
      <alignment horizontal="center" vertical="center"/>
    </xf>
    <xf numFmtId="167" fontId="5" fillId="0" borderId="1" xfId="1" applyNumberFormat="1" applyFont="1" applyBorder="1" applyAlignment="1">
      <alignment horizontal="center" vertical="center"/>
    </xf>
    <xf numFmtId="167" fontId="6" fillId="0" borderId="1" xfId="1" applyNumberFormat="1" applyFont="1" applyBorder="1" applyAlignment="1">
      <alignment horizontal="center"/>
    </xf>
    <xf numFmtId="167" fontId="7" fillId="0" borderId="1" xfId="1" applyNumberFormat="1" applyFont="1" applyBorder="1" applyAlignment="1">
      <alignment horizontal="center"/>
    </xf>
    <xf numFmtId="9" fontId="0" fillId="0" borderId="0" xfId="0" applyNumberFormat="1"/>
    <xf numFmtId="0" fontId="0" fillId="0" borderId="1" xfId="0" applyBorder="1"/>
    <xf numFmtId="9" fontId="0" fillId="0" borderId="1" xfId="0" applyNumberFormat="1" applyBorder="1" applyAlignment="1">
      <alignment horizontal="center"/>
    </xf>
    <xf numFmtId="9" fontId="0" fillId="0" borderId="1" xfId="2" applyFont="1" applyBorder="1" applyAlignment="1">
      <alignment horizontal="center"/>
    </xf>
    <xf numFmtId="168" fontId="0" fillId="0" borderId="1" xfId="3" applyNumberFormat="1" applyFont="1" applyBorder="1" applyAlignment="1">
      <alignment horizontal="center"/>
    </xf>
    <xf numFmtId="44" fontId="0" fillId="0" borderId="1" xfId="3" applyFont="1" applyBorder="1"/>
    <xf numFmtId="164" fontId="0" fillId="3" borderId="0" xfId="1" applyFont="1" applyFill="1"/>
    <xf numFmtId="167" fontId="2" fillId="3" borderId="1" xfId="1" applyNumberFormat="1" applyFont="1" applyFill="1" applyBorder="1" applyAlignment="1">
      <alignment horizontal="center"/>
    </xf>
    <xf numFmtId="43" fontId="0" fillId="0" borderId="0" xfId="0" applyNumberFormat="1"/>
    <xf numFmtId="166" fontId="0" fillId="0" borderId="0" xfId="0" applyNumberFormat="1"/>
    <xf numFmtId="9" fontId="0" fillId="0" borderId="0" xfId="2" applyFont="1"/>
    <xf numFmtId="164" fontId="0" fillId="0" borderId="0" xfId="1" applyFont="1" applyAlignment="1">
      <alignment horizontal="center"/>
    </xf>
    <xf numFmtId="0" fontId="8" fillId="0" borderId="0" xfId="0" applyFont="1" applyAlignment="1">
      <alignment horizontal="center"/>
    </xf>
    <xf numFmtId="0" fontId="9" fillId="0" borderId="0" xfId="1" applyNumberFormat="1" applyFont="1" applyFill="1" applyBorder="1" applyAlignment="1">
      <alignment horizontal="center" vertical="center"/>
    </xf>
    <xf numFmtId="164" fontId="8" fillId="0" borderId="0" xfId="1" applyFont="1"/>
    <xf numFmtId="10" fontId="0" fillId="0" borderId="0" xfId="2" applyNumberFormat="1" applyFont="1"/>
    <xf numFmtId="164" fontId="0" fillId="0" borderId="1" xfId="1" applyFont="1" applyBorder="1"/>
    <xf numFmtId="169" fontId="0" fillId="3" borderId="0" xfId="0" applyNumberFormat="1" applyFill="1"/>
    <xf numFmtId="164" fontId="2" fillId="2" borderId="5" xfId="1" applyFont="1" applyFill="1" applyBorder="1" applyAlignment="1">
      <alignment horizontal="center"/>
    </xf>
    <xf numFmtId="164" fontId="3" fillId="0" borderId="0" xfId="1" applyFont="1" applyBorder="1" applyAlignment="1">
      <alignment horizontal="center"/>
    </xf>
    <xf numFmtId="167" fontId="6" fillId="0" borderId="0" xfId="1" applyNumberFormat="1" applyFont="1" applyBorder="1" applyAlignment="1">
      <alignment horizontal="center"/>
    </xf>
    <xf numFmtId="167" fontId="7" fillId="0" borderId="0" xfId="1" applyNumberFormat="1" applyFont="1" applyBorder="1" applyAlignment="1">
      <alignment horizontal="center"/>
    </xf>
    <xf numFmtId="164" fontId="0" fillId="0" borderId="5" xfId="1" applyFont="1" applyFill="1" applyBorder="1"/>
    <xf numFmtId="164" fontId="3" fillId="3" borderId="1" xfId="1" applyFont="1" applyFill="1" applyBorder="1" applyAlignment="1">
      <alignment horizontal="center"/>
    </xf>
    <xf numFmtId="164" fontId="2" fillId="3" borderId="1" xfId="1" applyFont="1" applyFill="1" applyBorder="1" applyAlignment="1">
      <alignment horizontal="center"/>
    </xf>
    <xf numFmtId="167" fontId="3" fillId="3" borderId="1" xfId="1" applyNumberFormat="1" applyFont="1" applyFill="1" applyBorder="1" applyAlignment="1">
      <alignment horizontal="center"/>
    </xf>
    <xf numFmtId="164" fontId="2" fillId="3" borderId="1" xfId="1" applyFont="1" applyFill="1" applyBorder="1" applyAlignment="1"/>
    <xf numFmtId="164" fontId="0" fillId="4" borderId="0" xfId="1" applyFont="1" applyFill="1"/>
    <xf numFmtId="167" fontId="0" fillId="4" borderId="0" xfId="0" applyNumberFormat="1" applyFill="1"/>
    <xf numFmtId="166" fontId="0" fillId="4" borderId="0" xfId="0" applyNumberFormat="1" applyFill="1"/>
    <xf numFmtId="3" fontId="0" fillId="0" borderId="0" xfId="0" applyNumberFormat="1"/>
    <xf numFmtId="10" fontId="0" fillId="0" borderId="0" xfId="0" applyNumberFormat="1"/>
    <xf numFmtId="44" fontId="0" fillId="0" borderId="0" xfId="3" applyFont="1"/>
    <xf numFmtId="164" fontId="2" fillId="4" borderId="1" xfId="1" applyFont="1" applyFill="1" applyBorder="1" applyAlignment="1">
      <alignment horizontal="center"/>
    </xf>
    <xf numFmtId="169" fontId="0" fillId="4" borderId="1" xfId="2" applyNumberFormat="1" applyFont="1" applyFill="1" applyBorder="1"/>
    <xf numFmtId="164" fontId="2" fillId="5" borderId="1" xfId="1" applyFont="1" applyFill="1" applyBorder="1" applyAlignment="1">
      <alignment horizontal="center"/>
    </xf>
    <xf numFmtId="169" fontId="0" fillId="5" borderId="1" xfId="2" applyNumberFormat="1" applyFont="1" applyFill="1" applyBorder="1"/>
    <xf numFmtId="164" fontId="2" fillId="6" borderId="1" xfId="1" applyFont="1" applyFill="1" applyBorder="1" applyAlignment="1">
      <alignment horizontal="center"/>
    </xf>
    <xf numFmtId="169" fontId="0" fillId="6" borderId="1" xfId="2" applyNumberFormat="1" applyFont="1" applyFill="1" applyBorder="1"/>
    <xf numFmtId="169" fontId="0" fillId="7" borderId="0" xfId="2" applyNumberFormat="1" applyFont="1" applyFill="1"/>
    <xf numFmtId="169" fontId="8" fillId="6" borderId="0" xfId="2" applyNumberFormat="1" applyFont="1" applyFill="1"/>
    <xf numFmtId="9" fontId="0" fillId="6" borderId="0" xfId="0" applyNumberFormat="1" applyFill="1"/>
    <xf numFmtId="164" fontId="0" fillId="0" borderId="1" xfId="1" applyFont="1" applyBorder="1" applyAlignment="1">
      <alignment horizontal="center" vertical="center"/>
    </xf>
    <xf numFmtId="169" fontId="0" fillId="0" borderId="1" xfId="2" applyNumberFormat="1" applyFont="1" applyBorder="1" applyAlignment="1">
      <alignment horizontal="center" vertical="center"/>
    </xf>
    <xf numFmtId="10" fontId="0" fillId="0" borderId="1" xfId="2" applyNumberFormat="1" applyFont="1" applyBorder="1" applyAlignment="1">
      <alignment horizontal="center" vertical="center"/>
    </xf>
    <xf numFmtId="170" fontId="0" fillId="0" borderId="1" xfId="3" applyNumberFormat="1" applyFont="1" applyBorder="1" applyAlignment="1">
      <alignment horizontal="center" vertical="center"/>
    </xf>
    <xf numFmtId="9" fontId="3" fillId="0" borderId="0" xfId="2" applyFont="1" applyBorder="1" applyAlignment="1">
      <alignment horizontal="center"/>
    </xf>
    <xf numFmtId="44" fontId="11" fillId="0" borderId="0" xfId="3" applyFont="1"/>
    <xf numFmtId="44" fontId="12" fillId="0" borderId="0" xfId="3" applyFont="1"/>
    <xf numFmtId="164" fontId="2" fillId="2" borderId="2" xfId="1" applyFont="1" applyFill="1" applyBorder="1" applyAlignment="1">
      <alignment horizontal="center"/>
    </xf>
    <xf numFmtId="164" fontId="2" fillId="2" borderId="3" xfId="1" applyFont="1" applyFill="1" applyBorder="1" applyAlignment="1">
      <alignment horizontal="center"/>
    </xf>
    <xf numFmtId="0" fontId="8" fillId="0" borderId="0" xfId="0" applyFont="1" applyAlignment="1">
      <alignment horizontal="center" vertical="center" wrapText="1"/>
    </xf>
    <xf numFmtId="0" fontId="8" fillId="0" borderId="4" xfId="0" applyFont="1" applyBorder="1" applyAlignment="1">
      <alignment horizontal="center" vertical="center" wrapText="1"/>
    </xf>
    <xf numFmtId="0" fontId="2" fillId="0" borderId="0" xfId="1" applyNumberFormat="1" applyFont="1" applyBorder="1" applyAlignment="1">
      <alignment horizontal="center" vertical="center" wrapText="1"/>
    </xf>
    <xf numFmtId="0" fontId="0" fillId="0" borderId="0" xfId="1" applyNumberFormat="1" applyFont="1" applyAlignment="1">
      <alignment horizontal="center" vertical="center" wrapText="1"/>
    </xf>
    <xf numFmtId="0" fontId="0" fillId="0" borderId="1" xfId="1" applyNumberFormat="1" applyFont="1" applyBorder="1" applyAlignment="1">
      <alignment horizontal="center" vertical="center" wrapText="1"/>
    </xf>
    <xf numFmtId="164" fontId="0" fillId="0" borderId="1" xfId="1" applyFont="1" applyBorder="1" applyAlignment="1">
      <alignment horizontal="center"/>
    </xf>
    <xf numFmtId="164" fontId="0" fillId="0" borderId="1" xfId="1" applyFont="1" applyBorder="1" applyAlignment="1">
      <alignment horizontal="center" vertical="center"/>
    </xf>
    <xf numFmtId="164" fontId="0" fillId="0" borderId="2" xfId="1" applyFont="1" applyBorder="1" applyAlignment="1">
      <alignment horizontal="center" vertical="center"/>
    </xf>
    <xf numFmtId="164" fontId="0" fillId="0" borderId="6" xfId="1" applyFont="1" applyBorder="1" applyAlignment="1">
      <alignment horizontal="center" vertical="center"/>
    </xf>
    <xf numFmtId="164" fontId="0" fillId="0" borderId="3" xfId="1" applyFont="1" applyBorder="1" applyAlignment="1">
      <alignment horizontal="center" vertical="center"/>
    </xf>
  </cellXfs>
  <cellStyles count="4">
    <cellStyle name="Comma" xfId="1" builtinId="3"/>
    <cellStyle name="Currency" xfId="3"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J27"/>
  <sheetViews>
    <sheetView showGridLines="0" topLeftCell="B16" zoomScale="175" zoomScaleNormal="175" workbookViewId="0">
      <selection activeCell="H29" sqref="H29"/>
    </sheetView>
  </sheetViews>
  <sheetFormatPr defaultRowHeight="15" x14ac:dyDescent="0.25"/>
  <cols>
    <col min="1" max="1" width="29.42578125" bestFit="1" customWidth="1"/>
    <col min="2" max="2" width="12.85546875" bestFit="1" customWidth="1"/>
    <col min="3" max="3" width="3.7109375" customWidth="1"/>
    <col min="4" max="4" width="32.5703125" style="1" customWidth="1"/>
    <col min="5" max="5" width="13.28515625" style="1" customWidth="1"/>
    <col min="6" max="6" width="13.5703125" style="1" bestFit="1" customWidth="1"/>
    <col min="7" max="9" width="13.5703125" bestFit="1" customWidth="1"/>
    <col min="10" max="10" width="13.28515625" bestFit="1" customWidth="1"/>
    <col min="11" max="11" width="11.85546875" customWidth="1"/>
  </cols>
  <sheetData>
    <row r="2" spans="1:10" x14ac:dyDescent="0.25">
      <c r="A2" s="69" t="s">
        <v>24</v>
      </c>
      <c r="B2" s="70"/>
    </row>
    <row r="3" spans="1:10" x14ac:dyDescent="0.25">
      <c r="A3" s="21" t="s">
        <v>25</v>
      </c>
      <c r="B3" s="22">
        <v>0.34</v>
      </c>
      <c r="C3" s="20"/>
      <c r="D3" s="4"/>
      <c r="E3" s="5" t="s">
        <v>16</v>
      </c>
      <c r="F3" s="5" t="s">
        <v>0</v>
      </c>
      <c r="G3" s="5" t="s">
        <v>1</v>
      </c>
      <c r="H3" s="6" t="s">
        <v>2</v>
      </c>
      <c r="I3" s="6" t="s">
        <v>3</v>
      </c>
      <c r="J3" s="6" t="s">
        <v>4</v>
      </c>
    </row>
    <row r="4" spans="1:10" x14ac:dyDescent="0.25">
      <c r="A4" s="21" t="s">
        <v>11</v>
      </c>
      <c r="B4" s="23">
        <f>1/5</f>
        <v>0.2</v>
      </c>
      <c r="D4" s="2" t="s">
        <v>5</v>
      </c>
      <c r="E4" s="2">
        <v>0</v>
      </c>
      <c r="F4" s="7">
        <f>7000</f>
        <v>7000</v>
      </c>
      <c r="G4" s="7">
        <v>9000</v>
      </c>
      <c r="H4" s="7">
        <v>10000</v>
      </c>
      <c r="I4" s="7">
        <v>11000</v>
      </c>
      <c r="J4" s="7">
        <v>9000</v>
      </c>
    </row>
    <row r="5" spans="1:10" x14ac:dyDescent="0.25">
      <c r="A5" s="21" t="s">
        <v>26</v>
      </c>
      <c r="B5" s="24">
        <v>200000</v>
      </c>
      <c r="D5" s="2" t="s">
        <v>6</v>
      </c>
      <c r="E5" s="2">
        <v>0</v>
      </c>
      <c r="F5" s="8">
        <v>28</v>
      </c>
      <c r="G5" s="8">
        <f>F5*1.04</f>
        <v>29.12</v>
      </c>
      <c r="H5" s="8">
        <f t="shared" ref="H5:J5" si="0">G5*1.04</f>
        <v>30.284800000000001</v>
      </c>
      <c r="I5" s="8">
        <f t="shared" si="0"/>
        <v>31.496192000000001</v>
      </c>
      <c r="J5" s="8">
        <f t="shared" si="0"/>
        <v>32.756039680000001</v>
      </c>
    </row>
    <row r="6" spans="1:10" x14ac:dyDescent="0.25">
      <c r="A6" s="21" t="s">
        <v>27</v>
      </c>
      <c r="B6" s="24">
        <v>-38000</v>
      </c>
      <c r="D6" s="2" t="s">
        <v>7</v>
      </c>
      <c r="E6" s="2">
        <v>0</v>
      </c>
      <c r="F6" s="8">
        <v>14</v>
      </c>
      <c r="G6" s="8">
        <f>F6*1.06</f>
        <v>14.84</v>
      </c>
      <c r="H6" s="8">
        <f t="shared" ref="H6:J6" si="1">G6*1.06</f>
        <v>15.730400000000001</v>
      </c>
      <c r="I6" s="8">
        <f t="shared" si="1"/>
        <v>16.674224000000002</v>
      </c>
      <c r="J6" s="8">
        <f t="shared" si="1"/>
        <v>17.674677440000004</v>
      </c>
    </row>
    <row r="7" spans="1:10" x14ac:dyDescent="0.25">
      <c r="A7" s="21" t="s">
        <v>28</v>
      </c>
      <c r="B7" s="25">
        <f>35000*(1-34%)</f>
        <v>23099.999999999996</v>
      </c>
      <c r="D7" s="2" t="s">
        <v>19</v>
      </c>
      <c r="E7" s="9">
        <f>-F11*10%</f>
        <v>-19600</v>
      </c>
      <c r="F7" s="9">
        <f>-G11*10%</f>
        <v>-26208</v>
      </c>
      <c r="G7" s="9">
        <f>-H11*10%</f>
        <v>-30284.800000000003</v>
      </c>
      <c r="H7" s="9">
        <f>-I11*10%</f>
        <v>-34645.811200000004</v>
      </c>
      <c r="I7" s="9">
        <f>-J11*10%</f>
        <v>-29480.435712000002</v>
      </c>
      <c r="J7" s="9">
        <v>0</v>
      </c>
    </row>
    <row r="8" spans="1:10" x14ac:dyDescent="0.25">
      <c r="D8"/>
      <c r="E8"/>
      <c r="F8"/>
    </row>
    <row r="9" spans="1:10" x14ac:dyDescent="0.25">
      <c r="D9"/>
      <c r="E9"/>
      <c r="F9"/>
    </row>
    <row r="10" spans="1:10" x14ac:dyDescent="0.25">
      <c r="D10"/>
      <c r="E10"/>
      <c r="F10"/>
    </row>
    <row r="11" spans="1:10" x14ac:dyDescent="0.25">
      <c r="D11" s="2" t="s">
        <v>10</v>
      </c>
      <c r="E11" s="2">
        <v>0</v>
      </c>
      <c r="F11" s="9">
        <f>F4*F5</f>
        <v>196000</v>
      </c>
      <c r="G11" s="9">
        <f t="shared" ref="G11:J11" si="2">G4*G5</f>
        <v>262080</v>
      </c>
      <c r="H11" s="9">
        <f t="shared" si="2"/>
        <v>302848</v>
      </c>
      <c r="I11" s="9">
        <f t="shared" si="2"/>
        <v>346458.11200000002</v>
      </c>
      <c r="J11" s="9">
        <f t="shared" si="2"/>
        <v>294804.35712</v>
      </c>
    </row>
    <row r="12" spans="1:10" x14ac:dyDescent="0.25">
      <c r="D12" s="2" t="s">
        <v>9</v>
      </c>
      <c r="E12" s="2">
        <v>0</v>
      </c>
      <c r="F12" s="9">
        <f>-F6*F4</f>
        <v>-98000</v>
      </c>
      <c r="G12" s="9">
        <f t="shared" ref="G12:J12" si="3">-G6*G4</f>
        <v>-133560</v>
      </c>
      <c r="H12" s="9">
        <f t="shared" si="3"/>
        <v>-157304</v>
      </c>
      <c r="I12" s="9">
        <f t="shared" si="3"/>
        <v>-183416.46400000004</v>
      </c>
      <c r="J12" s="9">
        <f t="shared" si="3"/>
        <v>-159072.09696000002</v>
      </c>
    </row>
    <row r="13" spans="1:10" x14ac:dyDescent="0.25">
      <c r="D13" s="3" t="s">
        <v>8</v>
      </c>
      <c r="E13" s="2">
        <v>0</v>
      </c>
      <c r="F13" s="10">
        <f>SUM(F11:F12)</f>
        <v>98000</v>
      </c>
      <c r="G13" s="10">
        <f t="shared" ref="G13:J13" si="4">SUM(G11:G12)</f>
        <v>128520</v>
      </c>
      <c r="H13" s="10">
        <f t="shared" si="4"/>
        <v>145544</v>
      </c>
      <c r="I13" s="10">
        <f t="shared" si="4"/>
        <v>163041.64799999999</v>
      </c>
      <c r="J13" s="10">
        <f t="shared" si="4"/>
        <v>135732.26015999998</v>
      </c>
    </row>
    <row r="14" spans="1:10" x14ac:dyDescent="0.25">
      <c r="D14" s="2" t="s">
        <v>11</v>
      </c>
      <c r="E14" s="2">
        <v>0</v>
      </c>
      <c r="F14" s="9">
        <f>-$B$5*$B$4</f>
        <v>-40000</v>
      </c>
      <c r="G14" s="9">
        <f t="shared" ref="G14:J14" si="5">-$B$5*$B$4</f>
        <v>-40000</v>
      </c>
      <c r="H14" s="9">
        <f t="shared" si="5"/>
        <v>-40000</v>
      </c>
      <c r="I14" s="9">
        <f t="shared" si="5"/>
        <v>-40000</v>
      </c>
      <c r="J14" s="9">
        <f t="shared" si="5"/>
        <v>-40000</v>
      </c>
    </row>
    <row r="15" spans="1:10" x14ac:dyDescent="0.25">
      <c r="D15" s="2" t="s">
        <v>14</v>
      </c>
      <c r="E15" s="2">
        <v>0</v>
      </c>
      <c r="F15" s="9">
        <f>$B$6</f>
        <v>-38000</v>
      </c>
      <c r="G15" s="9">
        <f t="shared" ref="G15:J15" si="6">$B$6</f>
        <v>-38000</v>
      </c>
      <c r="H15" s="9">
        <f t="shared" si="6"/>
        <v>-38000</v>
      </c>
      <c r="I15" s="9">
        <f t="shared" si="6"/>
        <v>-38000</v>
      </c>
      <c r="J15" s="9">
        <f t="shared" si="6"/>
        <v>-38000</v>
      </c>
    </row>
    <row r="16" spans="1:10" x14ac:dyDescent="0.25">
      <c r="D16" s="43" t="s">
        <v>12</v>
      </c>
      <c r="E16" s="44">
        <v>0</v>
      </c>
      <c r="F16" s="45">
        <f>SUM(F13:F15)</f>
        <v>20000</v>
      </c>
      <c r="G16" s="45">
        <f t="shared" ref="G16:J16" si="7">SUM(G13:G15)</f>
        <v>50520</v>
      </c>
      <c r="H16" s="45">
        <f t="shared" si="7"/>
        <v>67544</v>
      </c>
      <c r="I16" s="45">
        <f t="shared" si="7"/>
        <v>85041.647999999986</v>
      </c>
      <c r="J16" s="45">
        <f t="shared" si="7"/>
        <v>57732.260159999976</v>
      </c>
    </row>
    <row r="17" spans="4:10" x14ac:dyDescent="0.25">
      <c r="D17" s="2" t="s">
        <v>13</v>
      </c>
      <c r="E17" s="2">
        <v>0</v>
      </c>
      <c r="F17" s="9">
        <f>-F16*34%</f>
        <v>-6800.0000000000009</v>
      </c>
      <c r="G17" s="9">
        <f t="shared" ref="G17:J17" si="8">-G16*34%</f>
        <v>-17176.800000000003</v>
      </c>
      <c r="H17" s="9">
        <f t="shared" si="8"/>
        <v>-22964.960000000003</v>
      </c>
      <c r="I17" s="9">
        <f t="shared" si="8"/>
        <v>-28914.160319999999</v>
      </c>
      <c r="J17" s="9">
        <f t="shared" si="8"/>
        <v>-19628.968454399994</v>
      </c>
    </row>
    <row r="18" spans="4:10" x14ac:dyDescent="0.25">
      <c r="D18" s="43" t="s">
        <v>15</v>
      </c>
      <c r="E18" s="46">
        <v>0</v>
      </c>
      <c r="F18" s="45">
        <f>SUM(F16:F17)</f>
        <v>13200</v>
      </c>
      <c r="G18" s="45">
        <f t="shared" ref="G18:J18" si="9">SUM(G16:G17)</f>
        <v>33343.199999999997</v>
      </c>
      <c r="H18" s="45">
        <f t="shared" si="9"/>
        <v>44579.039999999994</v>
      </c>
      <c r="I18" s="45">
        <f t="shared" si="9"/>
        <v>56127.487679999991</v>
      </c>
      <c r="J18" s="45">
        <f t="shared" si="9"/>
        <v>38103.291705599986</v>
      </c>
    </row>
    <row r="19" spans="4:10" x14ac:dyDescent="0.25">
      <c r="D19" s="2" t="s">
        <v>17</v>
      </c>
      <c r="E19" s="13">
        <v>0</v>
      </c>
      <c r="F19" s="12">
        <f>-F14</f>
        <v>40000</v>
      </c>
      <c r="G19" s="12">
        <f t="shared" ref="G19:J19" si="10">-G14</f>
        <v>40000</v>
      </c>
      <c r="H19" s="12">
        <f t="shared" si="10"/>
        <v>40000</v>
      </c>
      <c r="I19" s="12">
        <f t="shared" si="10"/>
        <v>40000</v>
      </c>
      <c r="J19" s="12">
        <f t="shared" si="10"/>
        <v>40000</v>
      </c>
    </row>
    <row r="20" spans="4:10" x14ac:dyDescent="0.25">
      <c r="D20" s="2" t="s">
        <v>18</v>
      </c>
      <c r="E20" s="11">
        <v>-200000</v>
      </c>
      <c r="F20" s="9">
        <v>0</v>
      </c>
      <c r="G20" s="9">
        <v>0</v>
      </c>
      <c r="H20" s="9">
        <v>0</v>
      </c>
      <c r="I20" s="9">
        <v>0</v>
      </c>
      <c r="J20" s="9">
        <v>0</v>
      </c>
    </row>
    <row r="21" spans="4:10" x14ac:dyDescent="0.25">
      <c r="D21" s="14" t="s">
        <v>21</v>
      </c>
      <c r="E21" s="16">
        <f>E7</f>
        <v>-19600</v>
      </c>
      <c r="F21" s="16">
        <f>F7-E7</f>
        <v>-6608</v>
      </c>
      <c r="G21" s="16">
        <f>G7-F7</f>
        <v>-4076.8000000000029</v>
      </c>
      <c r="H21" s="16">
        <f>H7-G7</f>
        <v>-4361.0112000000008</v>
      </c>
      <c r="I21" s="17">
        <f>I7-H7</f>
        <v>5165.3754880000015</v>
      </c>
      <c r="J21" s="17">
        <f>J7-I7</f>
        <v>29480.435712000002</v>
      </c>
    </row>
    <row r="22" spans="4:10" x14ac:dyDescent="0.25">
      <c r="D22" s="3" t="s">
        <v>20</v>
      </c>
      <c r="E22" s="18">
        <f>SUM(E18:E21)</f>
        <v>-219600</v>
      </c>
      <c r="F22" s="19">
        <f t="shared" ref="F22:J22" si="11">SUM(F18:F21)</f>
        <v>46592</v>
      </c>
      <c r="G22" s="19">
        <f t="shared" si="11"/>
        <v>69266.399999999994</v>
      </c>
      <c r="H22" s="19">
        <f t="shared" si="11"/>
        <v>80218.0288</v>
      </c>
      <c r="I22" s="19">
        <f t="shared" si="11"/>
        <v>101292.863168</v>
      </c>
      <c r="J22" s="19">
        <f t="shared" si="11"/>
        <v>107583.72741759999</v>
      </c>
    </row>
    <row r="23" spans="4:10" x14ac:dyDescent="0.25">
      <c r="D23" s="14" t="s">
        <v>22</v>
      </c>
      <c r="E23" s="15">
        <v>0</v>
      </c>
      <c r="F23" s="15">
        <v>0</v>
      </c>
      <c r="G23" s="15">
        <v>0</v>
      </c>
      <c r="H23" s="15">
        <v>0</v>
      </c>
      <c r="I23" s="15">
        <v>0</v>
      </c>
      <c r="J23" s="17">
        <f>B7</f>
        <v>23099.999999999996</v>
      </c>
    </row>
    <row r="24" spans="4:10" x14ac:dyDescent="0.25">
      <c r="D24" s="3" t="s">
        <v>23</v>
      </c>
      <c r="E24" s="18">
        <f>SUM(E22:E23)</f>
        <v>-219600</v>
      </c>
      <c r="F24" s="19">
        <f t="shared" ref="F24:J24" si="12">SUM(F22:F23)</f>
        <v>46592</v>
      </c>
      <c r="G24" s="19">
        <f t="shared" si="12"/>
        <v>69266.399999999994</v>
      </c>
      <c r="H24" s="19">
        <f t="shared" si="12"/>
        <v>80218.0288</v>
      </c>
      <c r="I24" s="19">
        <f t="shared" si="12"/>
        <v>101292.863168</v>
      </c>
      <c r="J24" s="19">
        <f t="shared" si="12"/>
        <v>130683.72741759999</v>
      </c>
    </row>
    <row r="25" spans="4:10" x14ac:dyDescent="0.25">
      <c r="D25" s="66">
        <v>0.81780941440313093</v>
      </c>
      <c r="E25" s="40"/>
      <c r="F25" s="41"/>
      <c r="G25" s="41"/>
      <c r="H25" s="41"/>
      <c r="I25" s="41"/>
      <c r="J25" s="41"/>
    </row>
    <row r="26" spans="4:10" x14ac:dyDescent="0.25">
      <c r="D26" s="1">
        <f>NPV(15%,F26:J26)+E26</f>
        <v>0</v>
      </c>
      <c r="E26" s="67">
        <f>E24</f>
        <v>-219600</v>
      </c>
      <c r="F26" s="68">
        <f>$D$25*F24</f>
        <v>38103.376235870674</v>
      </c>
      <c r="G26" s="68">
        <f t="shared" ref="G26:J26" si="13">$D$25*G24</f>
        <v>56646.714021813023</v>
      </c>
      <c r="H26" s="68">
        <f t="shared" si="13"/>
        <v>65603.059157501499</v>
      </c>
      <c r="I26" s="68">
        <f t="shared" si="13"/>
        <v>82838.257110638544</v>
      </c>
      <c r="J26" s="68">
        <f t="shared" si="13"/>
        <v>106874.38259140584</v>
      </c>
    </row>
    <row r="27" spans="4:10" x14ac:dyDescent="0.25">
      <c r="D27" s="47">
        <f>NPV(15%,F24:J24)+E24</f>
        <v>48922.220620647538</v>
      </c>
      <c r="G27" s="1"/>
      <c r="H27" s="1"/>
      <c r="I27" s="1"/>
      <c r="J27" s="1"/>
    </row>
  </sheetData>
  <mergeCells count="1">
    <mergeCell ref="A2:B2"/>
  </mergeCells>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3DD6E-9407-4ED2-9AB1-18725441DFFC}">
  <dimension ref="A2:J52"/>
  <sheetViews>
    <sheetView showGridLines="0" topLeftCell="B41" zoomScale="175" zoomScaleNormal="175" workbookViewId="0">
      <selection activeCell="D44" sqref="D44:J52"/>
    </sheetView>
  </sheetViews>
  <sheetFormatPr defaultRowHeight="15" x14ac:dyDescent="0.25"/>
  <cols>
    <col min="1" max="1" width="29.42578125" customWidth="1"/>
    <col min="2" max="2" width="12.85546875" customWidth="1"/>
    <col min="3" max="3" width="7" customWidth="1"/>
    <col min="4" max="4" width="32.5703125" style="1" customWidth="1"/>
    <col min="5" max="5" width="12.7109375" style="1" customWidth="1"/>
    <col min="6" max="6" width="13.5703125" style="1" bestFit="1" customWidth="1"/>
    <col min="7" max="9" width="13.5703125" bestFit="1" customWidth="1"/>
    <col min="10" max="10" width="10.28515625" bestFit="1" customWidth="1"/>
    <col min="11" max="11" width="11.85546875" customWidth="1"/>
  </cols>
  <sheetData>
    <row r="2" spans="1:10" x14ac:dyDescent="0.25">
      <c r="A2" s="69" t="s">
        <v>24</v>
      </c>
      <c r="B2" s="70"/>
    </row>
    <row r="3" spans="1:10" x14ac:dyDescent="0.25">
      <c r="A3" s="21" t="s">
        <v>25</v>
      </c>
      <c r="B3" s="22">
        <v>0.34</v>
      </c>
      <c r="C3" s="20"/>
      <c r="D3" s="4"/>
      <c r="E3" s="5" t="s">
        <v>16</v>
      </c>
      <c r="F3" s="5" t="s">
        <v>0</v>
      </c>
      <c r="G3" s="5" t="s">
        <v>1</v>
      </c>
      <c r="H3" s="6" t="s">
        <v>2</v>
      </c>
      <c r="I3" s="6" t="s">
        <v>3</v>
      </c>
      <c r="J3" s="6" t="s">
        <v>4</v>
      </c>
    </row>
    <row r="4" spans="1:10" x14ac:dyDescent="0.25">
      <c r="A4" s="21" t="s">
        <v>11</v>
      </c>
      <c r="B4" s="23">
        <f>1/5</f>
        <v>0.2</v>
      </c>
      <c r="D4" s="2" t="s">
        <v>5</v>
      </c>
      <c r="E4" s="2">
        <v>0</v>
      </c>
      <c r="F4" s="7">
        <f>7000</f>
        <v>7000</v>
      </c>
      <c r="G4" s="7">
        <v>9000</v>
      </c>
      <c r="H4" s="7">
        <v>10000</v>
      </c>
      <c r="I4" s="7">
        <v>11000</v>
      </c>
      <c r="J4" s="7">
        <v>9000</v>
      </c>
    </row>
    <row r="5" spans="1:10" x14ac:dyDescent="0.25">
      <c r="A5" s="21" t="s">
        <v>26</v>
      </c>
      <c r="B5" s="24">
        <v>200000</v>
      </c>
      <c r="D5" s="2" t="s">
        <v>6</v>
      </c>
      <c r="E5" s="2">
        <v>0</v>
      </c>
      <c r="F5" s="8">
        <v>28</v>
      </c>
      <c r="G5" s="8">
        <f>F5*1.04</f>
        <v>29.12</v>
      </c>
      <c r="H5" s="8">
        <f t="shared" ref="H5:J5" si="0">G5*1.04</f>
        <v>30.284800000000001</v>
      </c>
      <c r="I5" s="8">
        <f t="shared" si="0"/>
        <v>31.496192000000001</v>
      </c>
      <c r="J5" s="8">
        <f t="shared" si="0"/>
        <v>32.756039680000001</v>
      </c>
    </row>
    <row r="6" spans="1:10" x14ac:dyDescent="0.25">
      <c r="A6" s="21" t="s">
        <v>27</v>
      </c>
      <c r="B6" s="24">
        <v>-38000</v>
      </c>
      <c r="D6" s="2" t="s">
        <v>7</v>
      </c>
      <c r="E6" s="2">
        <v>0</v>
      </c>
      <c r="F6" s="8">
        <v>14</v>
      </c>
      <c r="G6" s="8">
        <f>F6*1.06</f>
        <v>14.84</v>
      </c>
      <c r="H6" s="8">
        <f t="shared" ref="H6:J6" si="1">G6*1.06</f>
        <v>15.730400000000001</v>
      </c>
      <c r="I6" s="8">
        <f t="shared" si="1"/>
        <v>16.674224000000002</v>
      </c>
      <c r="J6" s="8">
        <f t="shared" si="1"/>
        <v>17.674677440000004</v>
      </c>
    </row>
    <row r="7" spans="1:10" x14ac:dyDescent="0.25">
      <c r="A7" s="21" t="s">
        <v>28</v>
      </c>
      <c r="B7" s="25">
        <f>35000*(1-34%)</f>
        <v>23099.999999999996</v>
      </c>
      <c r="D7" s="2" t="s">
        <v>19</v>
      </c>
      <c r="E7" s="9">
        <f>-F11*10%</f>
        <v>-19600</v>
      </c>
      <c r="F7" s="9">
        <f>-G11*10%</f>
        <v>-26208</v>
      </c>
      <c r="G7" s="9">
        <f>-H11*10%</f>
        <v>-30284.800000000003</v>
      </c>
      <c r="H7" s="9">
        <f>-I11*10%</f>
        <v>-34645.811200000004</v>
      </c>
      <c r="I7" s="9">
        <f>-J11*10%</f>
        <v>-29480.435712000002</v>
      </c>
      <c r="J7" s="9">
        <v>0</v>
      </c>
    </row>
    <row r="8" spans="1:10" x14ac:dyDescent="0.25">
      <c r="D8"/>
      <c r="E8"/>
      <c r="F8"/>
    </row>
    <row r="9" spans="1:10" x14ac:dyDescent="0.25">
      <c r="D9" s="71" t="s">
        <v>29</v>
      </c>
      <c r="E9" s="71"/>
      <c r="F9" s="71"/>
      <c r="G9" s="71"/>
      <c r="H9" s="71"/>
      <c r="I9" s="71"/>
      <c r="J9" s="71"/>
    </row>
    <row r="10" spans="1:10" x14ac:dyDescent="0.25">
      <c r="D10" s="72"/>
      <c r="E10" s="72"/>
      <c r="F10" s="72"/>
      <c r="G10" s="72"/>
      <c r="H10" s="72"/>
      <c r="I10" s="72"/>
      <c r="J10" s="72"/>
    </row>
    <row r="11" spans="1:10" x14ac:dyDescent="0.25">
      <c r="D11" s="2" t="s">
        <v>10</v>
      </c>
      <c r="E11" s="2">
        <v>0</v>
      </c>
      <c r="F11" s="9">
        <v>196000</v>
      </c>
      <c r="G11" s="9">
        <v>262080</v>
      </c>
      <c r="H11" s="9">
        <v>302848</v>
      </c>
      <c r="I11" s="9">
        <v>346458.11200000002</v>
      </c>
      <c r="J11" s="9">
        <v>294804.35712</v>
      </c>
    </row>
    <row r="12" spans="1:10" x14ac:dyDescent="0.25">
      <c r="D12" s="2" t="s">
        <v>9</v>
      </c>
      <c r="E12" s="2">
        <v>0</v>
      </c>
      <c r="F12" s="9">
        <v>-98000</v>
      </c>
      <c r="G12" s="9">
        <v>-133560</v>
      </c>
      <c r="H12" s="9">
        <v>-157304</v>
      </c>
      <c r="I12" s="9">
        <v>-183416.46400000004</v>
      </c>
      <c r="J12" s="9">
        <v>-159072.09696000002</v>
      </c>
    </row>
    <row r="13" spans="1:10" x14ac:dyDescent="0.25">
      <c r="D13" s="3" t="s">
        <v>8</v>
      </c>
      <c r="E13" s="2">
        <v>0</v>
      </c>
      <c r="F13" s="10">
        <f>SUM(F11:F12)</f>
        <v>98000</v>
      </c>
      <c r="G13" s="10">
        <f t="shared" ref="G13:J13" si="2">SUM(G11:G12)</f>
        <v>128520</v>
      </c>
      <c r="H13" s="10">
        <f t="shared" si="2"/>
        <v>145544</v>
      </c>
      <c r="I13" s="10">
        <f t="shared" si="2"/>
        <v>163041.64799999999</v>
      </c>
      <c r="J13" s="10">
        <f t="shared" si="2"/>
        <v>135732.26015999998</v>
      </c>
    </row>
    <row r="14" spans="1:10" x14ac:dyDescent="0.25">
      <c r="D14" s="2" t="s">
        <v>11</v>
      </c>
      <c r="E14" s="2">
        <v>0</v>
      </c>
      <c r="F14" s="9">
        <v>-40000</v>
      </c>
      <c r="G14" s="9">
        <v>-40000</v>
      </c>
      <c r="H14" s="9">
        <v>-40000</v>
      </c>
      <c r="I14" s="9">
        <v>-40000</v>
      </c>
      <c r="J14" s="9">
        <v>-40000</v>
      </c>
    </row>
    <row r="15" spans="1:10" x14ac:dyDescent="0.25">
      <c r="D15" s="2" t="s">
        <v>14</v>
      </c>
      <c r="E15" s="2">
        <v>0</v>
      </c>
      <c r="F15" s="9">
        <v>-38000</v>
      </c>
      <c r="G15" s="9">
        <v>-38000</v>
      </c>
      <c r="H15" s="9">
        <v>-38000</v>
      </c>
      <c r="I15" s="9">
        <v>-38000</v>
      </c>
      <c r="J15" s="9">
        <v>-38000</v>
      </c>
    </row>
    <row r="16" spans="1:10" x14ac:dyDescent="0.25">
      <c r="D16" s="3" t="s">
        <v>12</v>
      </c>
      <c r="E16" s="2">
        <v>0</v>
      </c>
      <c r="F16" s="10">
        <f>SUM(F13:F15)</f>
        <v>20000</v>
      </c>
      <c r="G16" s="10">
        <f t="shared" ref="G16:J16" si="3">SUM(G13:G15)</f>
        <v>50520</v>
      </c>
      <c r="H16" s="10">
        <f t="shared" si="3"/>
        <v>67544</v>
      </c>
      <c r="I16" s="10">
        <f t="shared" si="3"/>
        <v>85041.647999999986</v>
      </c>
      <c r="J16" s="10">
        <f t="shared" si="3"/>
        <v>57732.260159999976</v>
      </c>
    </row>
    <row r="17" spans="4:10" x14ac:dyDescent="0.25">
      <c r="D17" s="2" t="s">
        <v>13</v>
      </c>
      <c r="E17" s="2">
        <v>0</v>
      </c>
      <c r="F17" s="9">
        <f>-F16*34%</f>
        <v>-6800.0000000000009</v>
      </c>
      <c r="G17" s="9">
        <f t="shared" ref="G17:J17" si="4">-G16*34%</f>
        <v>-17176.800000000003</v>
      </c>
      <c r="H17" s="9">
        <f t="shared" si="4"/>
        <v>-22964.960000000003</v>
      </c>
      <c r="I17" s="9">
        <f t="shared" si="4"/>
        <v>-28914.160319999999</v>
      </c>
      <c r="J17" s="9">
        <f t="shared" si="4"/>
        <v>-19628.968454399994</v>
      </c>
    </row>
    <row r="18" spans="4:10" x14ac:dyDescent="0.25">
      <c r="D18" s="3" t="s">
        <v>15</v>
      </c>
      <c r="E18" s="13">
        <v>0</v>
      </c>
      <c r="F18" s="10">
        <f>SUM(F16:F17)</f>
        <v>13200</v>
      </c>
      <c r="G18" s="10">
        <f t="shared" ref="G18:J18" si="5">SUM(G16:G17)</f>
        <v>33343.199999999997</v>
      </c>
      <c r="H18" s="10">
        <f t="shared" si="5"/>
        <v>44579.039999999994</v>
      </c>
      <c r="I18" s="10">
        <f t="shared" si="5"/>
        <v>56127.487679999991</v>
      </c>
      <c r="J18" s="10">
        <f t="shared" si="5"/>
        <v>38103.291705599986</v>
      </c>
    </row>
    <row r="19" spans="4:10" x14ac:dyDescent="0.25">
      <c r="D19" s="2" t="s">
        <v>17</v>
      </c>
      <c r="E19" s="13">
        <v>0</v>
      </c>
      <c r="F19" s="12">
        <f>-F14</f>
        <v>40000</v>
      </c>
      <c r="G19" s="12">
        <f t="shared" ref="G19:J19" si="6">-G14</f>
        <v>40000</v>
      </c>
      <c r="H19" s="12">
        <f t="shared" si="6"/>
        <v>40000</v>
      </c>
      <c r="I19" s="12">
        <f t="shared" si="6"/>
        <v>40000</v>
      </c>
      <c r="J19" s="12">
        <f t="shared" si="6"/>
        <v>40000</v>
      </c>
    </row>
    <row r="20" spans="4:10" x14ac:dyDescent="0.25">
      <c r="D20" s="2" t="s">
        <v>18</v>
      </c>
      <c r="E20" s="11">
        <v>-200000</v>
      </c>
      <c r="F20" s="9">
        <v>0</v>
      </c>
      <c r="G20" s="9">
        <v>0</v>
      </c>
      <c r="H20" s="9">
        <v>0</v>
      </c>
      <c r="I20" s="9">
        <v>0</v>
      </c>
      <c r="J20" s="9">
        <v>0</v>
      </c>
    </row>
    <row r="21" spans="4:10" x14ac:dyDescent="0.25">
      <c r="D21" s="14" t="s">
        <v>21</v>
      </c>
      <c r="E21" s="16">
        <v>-19600</v>
      </c>
      <c r="F21" s="16">
        <v>-6608</v>
      </c>
      <c r="G21" s="16">
        <v>-4076.8000000000029</v>
      </c>
      <c r="H21" s="16">
        <v>-4361.0112000000008</v>
      </c>
      <c r="I21" s="17">
        <v>5165.3754880000015</v>
      </c>
      <c r="J21" s="17">
        <v>29480.435712000002</v>
      </c>
    </row>
    <row r="22" spans="4:10" x14ac:dyDescent="0.25">
      <c r="D22" s="3" t="s">
        <v>20</v>
      </c>
      <c r="E22" s="18">
        <f>SUM(E18:E21)</f>
        <v>-219600</v>
      </c>
      <c r="F22" s="19">
        <f t="shared" ref="F22:J22" si="7">SUM(F18:F21)</f>
        <v>46592</v>
      </c>
      <c r="G22" s="19">
        <f t="shared" si="7"/>
        <v>69266.399999999994</v>
      </c>
      <c r="H22" s="19">
        <f t="shared" si="7"/>
        <v>80218.0288</v>
      </c>
      <c r="I22" s="19">
        <f t="shared" si="7"/>
        <v>101292.863168</v>
      </c>
      <c r="J22" s="19">
        <f t="shared" si="7"/>
        <v>107583.72741759999</v>
      </c>
    </row>
    <row r="23" spans="4:10" x14ac:dyDescent="0.25">
      <c r="D23" s="14" t="s">
        <v>22</v>
      </c>
      <c r="E23" s="15">
        <v>0</v>
      </c>
      <c r="F23" s="15">
        <v>0</v>
      </c>
      <c r="G23" s="15">
        <v>0</v>
      </c>
      <c r="H23" s="15">
        <v>0</v>
      </c>
      <c r="I23" s="15">
        <v>0</v>
      </c>
      <c r="J23" s="17">
        <v>23099.999999999996</v>
      </c>
    </row>
    <row r="24" spans="4:10" x14ac:dyDescent="0.25">
      <c r="D24" s="3" t="s">
        <v>23</v>
      </c>
      <c r="E24" s="18">
        <f>SUM(E22:E23)</f>
        <v>-219600</v>
      </c>
      <c r="F24" s="19">
        <f t="shared" ref="F24:J24" si="8">SUM(F22:F23)</f>
        <v>46592</v>
      </c>
      <c r="G24" s="19">
        <f t="shared" si="8"/>
        <v>69266.399999999994</v>
      </c>
      <c r="H24" s="19">
        <f t="shared" si="8"/>
        <v>80218.0288</v>
      </c>
      <c r="I24" s="19">
        <f t="shared" si="8"/>
        <v>101292.863168</v>
      </c>
      <c r="J24" s="19">
        <f t="shared" si="8"/>
        <v>130683.72741759999</v>
      </c>
    </row>
    <row r="25" spans="4:10" x14ac:dyDescent="0.25">
      <c r="D25" s="26">
        <f>NPV(15%,F24:J24)+E24</f>
        <v>48922.220620647538</v>
      </c>
      <c r="F25"/>
    </row>
    <row r="26" spans="4:10" x14ac:dyDescent="0.25">
      <c r="D26" s="71" t="s">
        <v>30</v>
      </c>
      <c r="E26" s="71"/>
      <c r="F26" s="71"/>
      <c r="G26" s="71"/>
      <c r="H26" s="71"/>
      <c r="I26" s="71"/>
      <c r="J26" s="71"/>
    </row>
    <row r="27" spans="4:10" x14ac:dyDescent="0.25">
      <c r="D27" s="72"/>
      <c r="E27" s="72"/>
      <c r="F27" s="72"/>
      <c r="G27" s="72"/>
      <c r="H27" s="72"/>
      <c r="I27" s="72"/>
      <c r="J27" s="72"/>
    </row>
    <row r="28" spans="4:10" x14ac:dyDescent="0.25">
      <c r="D28" s="2" t="s">
        <v>10</v>
      </c>
      <c r="E28" s="2">
        <v>0</v>
      </c>
      <c r="F28" s="9">
        <v>196000</v>
      </c>
      <c r="G28" s="9">
        <v>262080</v>
      </c>
      <c r="H28" s="9">
        <v>302848</v>
      </c>
      <c r="I28" s="9">
        <v>346458.11200000002</v>
      </c>
      <c r="J28" s="9">
        <v>294804.35712</v>
      </c>
    </row>
    <row r="29" spans="4:10" x14ac:dyDescent="0.25">
      <c r="D29" s="2" t="s">
        <v>9</v>
      </c>
      <c r="E29" s="2">
        <v>0</v>
      </c>
      <c r="F29" s="9">
        <v>-98000</v>
      </c>
      <c r="G29" s="9">
        <v>-133560</v>
      </c>
      <c r="H29" s="9">
        <v>-157304</v>
      </c>
      <c r="I29" s="9">
        <v>-183416.46400000004</v>
      </c>
      <c r="J29" s="9">
        <v>-159072.09696000002</v>
      </c>
    </row>
    <row r="30" spans="4:10" x14ac:dyDescent="0.25">
      <c r="D30" s="3" t="s">
        <v>8</v>
      </c>
      <c r="E30" s="2">
        <v>0</v>
      </c>
      <c r="F30" s="10">
        <f>SUM(F28:F29)</f>
        <v>98000</v>
      </c>
      <c r="G30" s="10">
        <f t="shared" ref="G30:J30" si="9">SUM(G28:G29)</f>
        <v>128520</v>
      </c>
      <c r="H30" s="10">
        <f t="shared" si="9"/>
        <v>145544</v>
      </c>
      <c r="I30" s="10">
        <f t="shared" si="9"/>
        <v>163041.64799999999</v>
      </c>
      <c r="J30" s="10">
        <f t="shared" si="9"/>
        <v>135732.26015999998</v>
      </c>
    </row>
    <row r="31" spans="4:10" x14ac:dyDescent="0.25">
      <c r="D31" s="2" t="s">
        <v>11</v>
      </c>
      <c r="E31" s="2">
        <v>0</v>
      </c>
      <c r="F31" s="9">
        <v>-60000</v>
      </c>
      <c r="G31" s="9">
        <v>-70000</v>
      </c>
      <c r="H31" s="9">
        <v>-70000</v>
      </c>
      <c r="I31" s="9">
        <v>0</v>
      </c>
      <c r="J31" s="9">
        <v>0</v>
      </c>
    </row>
    <row r="32" spans="4:10" x14ac:dyDescent="0.25">
      <c r="D32" s="2" t="s">
        <v>14</v>
      </c>
      <c r="E32" s="2">
        <v>0</v>
      </c>
      <c r="F32" s="9">
        <v>-38000</v>
      </c>
      <c r="G32" s="9">
        <v>-38000</v>
      </c>
      <c r="H32" s="9">
        <v>-38000</v>
      </c>
      <c r="I32" s="9">
        <v>-38000</v>
      </c>
      <c r="J32" s="9">
        <v>-38000</v>
      </c>
    </row>
    <row r="33" spans="4:10" x14ac:dyDescent="0.25">
      <c r="D33" s="3" t="s">
        <v>12</v>
      </c>
      <c r="E33" s="2">
        <v>0</v>
      </c>
      <c r="F33" s="10">
        <f>SUM(F30:F32)</f>
        <v>0</v>
      </c>
      <c r="G33" s="10">
        <f t="shared" ref="G33:J33" si="10">SUM(G30:G32)</f>
        <v>20520</v>
      </c>
      <c r="H33" s="10">
        <f t="shared" si="10"/>
        <v>37544</v>
      </c>
      <c r="I33" s="10">
        <f t="shared" si="10"/>
        <v>125041.64799999999</v>
      </c>
      <c r="J33" s="10">
        <f t="shared" si="10"/>
        <v>97732.260159999976</v>
      </c>
    </row>
    <row r="34" spans="4:10" x14ac:dyDescent="0.25">
      <c r="D34" s="2" t="s">
        <v>13</v>
      </c>
      <c r="E34" s="2">
        <v>0</v>
      </c>
      <c r="F34" s="9">
        <f>-F33*34%</f>
        <v>0</v>
      </c>
      <c r="G34" s="9">
        <f t="shared" ref="G34:J34" si="11">-G33*34%</f>
        <v>-6976.8</v>
      </c>
      <c r="H34" s="9">
        <f t="shared" si="11"/>
        <v>-12764.960000000001</v>
      </c>
      <c r="I34" s="9">
        <f t="shared" si="11"/>
        <v>-42514.160319999995</v>
      </c>
      <c r="J34" s="9">
        <f t="shared" si="11"/>
        <v>-33228.968454399997</v>
      </c>
    </row>
    <row r="35" spans="4:10" x14ac:dyDescent="0.25">
      <c r="D35" s="3" t="s">
        <v>15</v>
      </c>
      <c r="E35" s="13">
        <v>0</v>
      </c>
      <c r="F35" s="10">
        <f>SUM(F33:F34)</f>
        <v>0</v>
      </c>
      <c r="G35" s="10">
        <f t="shared" ref="G35:J35" si="12">SUM(G33:G34)</f>
        <v>13543.2</v>
      </c>
      <c r="H35" s="10">
        <f t="shared" si="12"/>
        <v>24779.040000000001</v>
      </c>
      <c r="I35" s="10">
        <f t="shared" si="12"/>
        <v>82527.487679999991</v>
      </c>
      <c r="J35" s="10">
        <f t="shared" si="12"/>
        <v>64503.291705599979</v>
      </c>
    </row>
    <row r="36" spans="4:10" x14ac:dyDescent="0.25">
      <c r="D36" s="2" t="s">
        <v>17</v>
      </c>
      <c r="E36" s="13">
        <v>0</v>
      </c>
      <c r="F36" s="12">
        <f>-F31</f>
        <v>60000</v>
      </c>
      <c r="G36" s="12">
        <f t="shared" ref="G36:J36" si="13">-G31</f>
        <v>70000</v>
      </c>
      <c r="H36" s="12">
        <f t="shared" si="13"/>
        <v>70000</v>
      </c>
      <c r="I36" s="12">
        <f t="shared" si="13"/>
        <v>0</v>
      </c>
      <c r="J36" s="12">
        <f t="shared" si="13"/>
        <v>0</v>
      </c>
    </row>
    <row r="37" spans="4:10" x14ac:dyDescent="0.25">
      <c r="D37" s="2" t="s">
        <v>18</v>
      </c>
      <c r="E37" s="11">
        <v>-200000</v>
      </c>
      <c r="F37" s="9">
        <v>0</v>
      </c>
      <c r="G37" s="9">
        <v>0</v>
      </c>
      <c r="H37" s="9">
        <v>0</v>
      </c>
      <c r="I37" s="9">
        <v>0</v>
      </c>
      <c r="J37" s="9">
        <v>0</v>
      </c>
    </row>
    <row r="38" spans="4:10" x14ac:dyDescent="0.25">
      <c r="D38" s="14" t="s">
        <v>21</v>
      </c>
      <c r="E38" s="16">
        <v>-19600</v>
      </c>
      <c r="F38" s="16">
        <v>-6608</v>
      </c>
      <c r="G38" s="16">
        <v>-4076.8000000000029</v>
      </c>
      <c r="H38" s="16">
        <v>-4361.0112000000008</v>
      </c>
      <c r="I38" s="17">
        <v>5165.3754880000015</v>
      </c>
      <c r="J38" s="17">
        <v>29480.435712000002</v>
      </c>
    </row>
    <row r="39" spans="4:10" x14ac:dyDescent="0.25">
      <c r="D39" s="3" t="s">
        <v>20</v>
      </c>
      <c r="E39" s="18">
        <f>SUM(E35:E38)</f>
        <v>-219600</v>
      </c>
      <c r="F39" s="19">
        <f t="shared" ref="F39:J39" si="14">SUM(F35:F38)</f>
        <v>53392</v>
      </c>
      <c r="G39" s="19">
        <f t="shared" si="14"/>
        <v>79466.399999999994</v>
      </c>
      <c r="H39" s="19">
        <f t="shared" si="14"/>
        <v>90418.0288</v>
      </c>
      <c r="I39" s="19">
        <f t="shared" si="14"/>
        <v>87692.863167999996</v>
      </c>
      <c r="J39" s="19">
        <f t="shared" si="14"/>
        <v>93983.727417599977</v>
      </c>
    </row>
    <row r="40" spans="4:10" x14ac:dyDescent="0.25">
      <c r="D40" s="14" t="s">
        <v>22</v>
      </c>
      <c r="E40" s="15">
        <v>0</v>
      </c>
      <c r="F40" s="15">
        <v>0</v>
      </c>
      <c r="G40" s="15">
        <v>0</v>
      </c>
      <c r="H40" s="15">
        <v>0</v>
      </c>
      <c r="I40" s="15">
        <v>0</v>
      </c>
      <c r="J40" s="17">
        <v>23099.999999999996</v>
      </c>
    </row>
    <row r="41" spans="4:10" x14ac:dyDescent="0.25">
      <c r="D41" s="3" t="s">
        <v>23</v>
      </c>
      <c r="E41" s="18">
        <f>SUM(E39:E40)</f>
        <v>-219600</v>
      </c>
      <c r="F41" s="19">
        <f t="shared" ref="F41:J41" si="15">SUM(F39:F40)</f>
        <v>53392</v>
      </c>
      <c r="G41" s="19">
        <f t="shared" si="15"/>
        <v>79466.399999999994</v>
      </c>
      <c r="H41" s="19">
        <f t="shared" si="15"/>
        <v>90418.0288</v>
      </c>
      <c r="I41" s="19">
        <f t="shared" si="15"/>
        <v>87692.863167999996</v>
      </c>
      <c r="J41" s="19">
        <f t="shared" si="15"/>
        <v>117083.72741759998</v>
      </c>
    </row>
    <row r="42" spans="4:10" x14ac:dyDescent="0.25">
      <c r="D42" s="26">
        <f>NPV(15%,F41:J41)+E41</f>
        <v>54717.147336019902</v>
      </c>
    </row>
    <row r="44" spans="4:10" x14ac:dyDescent="0.25">
      <c r="D44" s="73" t="s">
        <v>38</v>
      </c>
      <c r="E44" s="73"/>
      <c r="F44" s="73"/>
      <c r="G44" s="73"/>
      <c r="H44" s="73"/>
      <c r="I44" s="73"/>
      <c r="J44" s="73"/>
    </row>
    <row r="45" spans="4:10" x14ac:dyDescent="0.25">
      <c r="D45" s="73"/>
      <c r="E45" s="73"/>
      <c r="F45" s="73"/>
      <c r="G45" s="73"/>
      <c r="H45" s="73"/>
      <c r="I45" s="73"/>
      <c r="J45" s="73"/>
    </row>
    <row r="46" spans="4:10" x14ac:dyDescent="0.25">
      <c r="D46" s="73"/>
      <c r="E46" s="73"/>
      <c r="F46" s="73"/>
      <c r="G46" s="73"/>
      <c r="H46" s="73"/>
      <c r="I46" s="73"/>
      <c r="J46" s="73"/>
    </row>
    <row r="47" spans="4:10" x14ac:dyDescent="0.25">
      <c r="D47" s="73"/>
      <c r="E47" s="73"/>
      <c r="F47" s="73"/>
      <c r="G47" s="73"/>
      <c r="H47" s="73"/>
      <c r="I47" s="73"/>
      <c r="J47" s="73"/>
    </row>
    <row r="48" spans="4:10" x14ac:dyDescent="0.25">
      <c r="D48" s="73"/>
      <c r="E48" s="73"/>
      <c r="F48" s="73"/>
      <c r="G48" s="73"/>
      <c r="H48" s="73"/>
      <c r="I48" s="73"/>
      <c r="J48" s="73"/>
    </row>
    <row r="49" spans="4:10" x14ac:dyDescent="0.25">
      <c r="D49" s="73"/>
      <c r="E49" s="73"/>
      <c r="F49" s="73"/>
      <c r="G49" s="73"/>
      <c r="H49" s="73"/>
      <c r="I49" s="73"/>
      <c r="J49" s="73"/>
    </row>
    <row r="50" spans="4:10" x14ac:dyDescent="0.25">
      <c r="D50" s="73"/>
      <c r="E50" s="73"/>
      <c r="F50" s="73"/>
      <c r="G50" s="73"/>
      <c r="H50" s="73"/>
      <c r="I50" s="73"/>
      <c r="J50" s="73"/>
    </row>
    <row r="51" spans="4:10" x14ac:dyDescent="0.25">
      <c r="D51" s="73"/>
      <c r="E51" s="73"/>
      <c r="F51" s="73"/>
      <c r="G51" s="73"/>
      <c r="H51" s="73"/>
      <c r="I51" s="73"/>
      <c r="J51" s="73"/>
    </row>
    <row r="52" spans="4:10" x14ac:dyDescent="0.25">
      <c r="D52" s="73"/>
      <c r="E52" s="73"/>
      <c r="F52" s="73"/>
      <c r="G52" s="73"/>
      <c r="H52" s="73"/>
      <c r="I52" s="73"/>
      <c r="J52" s="73"/>
    </row>
  </sheetData>
  <mergeCells count="4">
    <mergeCell ref="A2:B2"/>
    <mergeCell ref="D9:J10"/>
    <mergeCell ref="D26:J27"/>
    <mergeCell ref="D44:J52"/>
  </mergeCells>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B908B-6BAE-4A5B-A5F5-67030C3F3071}">
  <dimension ref="A2:J75"/>
  <sheetViews>
    <sheetView showGridLines="0" topLeftCell="B57" zoomScale="175" zoomScaleNormal="175" workbookViewId="0">
      <selection activeCell="D65" sqref="D65:J75"/>
    </sheetView>
  </sheetViews>
  <sheetFormatPr defaultRowHeight="15" x14ac:dyDescent="0.25"/>
  <cols>
    <col min="1" max="1" width="29.42578125" customWidth="1"/>
    <col min="2" max="2" width="12.85546875" customWidth="1"/>
    <col min="3" max="3" width="7" customWidth="1"/>
    <col min="4" max="4" width="34.7109375" style="1" bestFit="1" customWidth="1"/>
    <col min="5" max="5" width="12.7109375" style="1" customWidth="1"/>
    <col min="6" max="6" width="13.5703125" style="1" bestFit="1" customWidth="1"/>
    <col min="7" max="9" width="13.5703125" bestFit="1" customWidth="1"/>
    <col min="10" max="10" width="13.28515625" bestFit="1" customWidth="1"/>
    <col min="11" max="11" width="11.85546875" customWidth="1"/>
  </cols>
  <sheetData>
    <row r="2" spans="1:10" x14ac:dyDescent="0.25">
      <c r="A2" s="69" t="s">
        <v>24</v>
      </c>
      <c r="B2" s="70"/>
    </row>
    <row r="3" spans="1:10" x14ac:dyDescent="0.25">
      <c r="A3" s="21" t="s">
        <v>25</v>
      </c>
      <c r="B3" s="22">
        <v>0.34</v>
      </c>
      <c r="C3" s="20"/>
      <c r="D3" s="4"/>
      <c r="E3" s="5" t="s">
        <v>16</v>
      </c>
      <c r="F3" s="5" t="s">
        <v>0</v>
      </c>
      <c r="G3" s="5" t="s">
        <v>1</v>
      </c>
      <c r="H3" s="6" t="s">
        <v>2</v>
      </c>
      <c r="I3" s="6" t="s">
        <v>3</v>
      </c>
      <c r="J3" s="6" t="s">
        <v>4</v>
      </c>
    </row>
    <row r="4" spans="1:10" x14ac:dyDescent="0.25">
      <c r="A4" s="21" t="s">
        <v>11</v>
      </c>
      <c r="B4" s="23">
        <f>1/5</f>
        <v>0.2</v>
      </c>
      <c r="D4" s="2" t="s">
        <v>5</v>
      </c>
      <c r="E4" s="2">
        <v>0</v>
      </c>
      <c r="F4" s="7">
        <f>7000</f>
        <v>7000</v>
      </c>
      <c r="G4" s="7">
        <v>9000</v>
      </c>
      <c r="H4" s="7">
        <v>10000</v>
      </c>
      <c r="I4" s="7">
        <v>11000</v>
      </c>
      <c r="J4" s="7">
        <v>9000</v>
      </c>
    </row>
    <row r="5" spans="1:10" x14ac:dyDescent="0.25">
      <c r="A5" s="21" t="s">
        <v>26</v>
      </c>
      <c r="B5" s="24">
        <v>200000</v>
      </c>
      <c r="D5" s="2" t="s">
        <v>6</v>
      </c>
      <c r="E5" s="2">
        <v>0</v>
      </c>
      <c r="F5" s="8">
        <v>28</v>
      </c>
      <c r="G5" s="8">
        <f>F5*1.04</f>
        <v>29.12</v>
      </c>
      <c r="H5" s="8">
        <f t="shared" ref="H5:J5" si="0">G5*1.04</f>
        <v>30.284800000000001</v>
      </c>
      <c r="I5" s="8">
        <f t="shared" si="0"/>
        <v>31.496192000000001</v>
      </c>
      <c r="J5" s="8">
        <f t="shared" si="0"/>
        <v>32.756039680000001</v>
      </c>
    </row>
    <row r="6" spans="1:10" x14ac:dyDescent="0.25">
      <c r="A6" s="21" t="s">
        <v>27</v>
      </c>
      <c r="B6" s="24">
        <v>-38000</v>
      </c>
      <c r="D6" s="2" t="s">
        <v>7</v>
      </c>
      <c r="E6" s="2">
        <v>0</v>
      </c>
      <c r="F6" s="8">
        <v>14</v>
      </c>
      <c r="G6" s="8">
        <f>F6*1.06</f>
        <v>14.84</v>
      </c>
      <c r="H6" s="8">
        <f t="shared" ref="H6:J6" si="1">G6*1.06</f>
        <v>15.730400000000001</v>
      </c>
      <c r="I6" s="8">
        <f t="shared" si="1"/>
        <v>16.674224000000002</v>
      </c>
      <c r="J6" s="8">
        <f t="shared" si="1"/>
        <v>17.674677440000004</v>
      </c>
    </row>
    <row r="7" spans="1:10" x14ac:dyDescent="0.25">
      <c r="A7" s="21" t="s">
        <v>28</v>
      </c>
      <c r="B7" s="25">
        <f>35000*(1-34%)</f>
        <v>23099.999999999996</v>
      </c>
      <c r="D7" s="2" t="s">
        <v>19</v>
      </c>
      <c r="E7" s="9">
        <f>-F11*10%</f>
        <v>-19600</v>
      </c>
      <c r="F7" s="9">
        <f>-G11*10%</f>
        <v>-26208</v>
      </c>
      <c r="G7" s="9">
        <f>-H11*10%</f>
        <v>-30284.800000000003</v>
      </c>
      <c r="H7" s="9">
        <f>-I11*10%</f>
        <v>-34645.811200000004</v>
      </c>
      <c r="I7" s="9">
        <f>-J11*10%</f>
        <v>-29480.435712000002</v>
      </c>
      <c r="J7" s="9">
        <v>0</v>
      </c>
    </row>
    <row r="8" spans="1:10" x14ac:dyDescent="0.25">
      <c r="D8"/>
      <c r="E8"/>
      <c r="F8"/>
    </row>
    <row r="9" spans="1:10" x14ac:dyDescent="0.25">
      <c r="D9" s="71" t="s">
        <v>29</v>
      </c>
      <c r="E9" s="71"/>
      <c r="F9" s="71"/>
      <c r="G9" s="71"/>
      <c r="H9" s="71"/>
      <c r="I9" s="71"/>
      <c r="J9" s="71"/>
    </row>
    <row r="10" spans="1:10" x14ac:dyDescent="0.25">
      <c r="D10" s="72"/>
      <c r="E10" s="72"/>
      <c r="F10" s="72"/>
      <c r="G10" s="72"/>
      <c r="H10" s="72"/>
      <c r="I10" s="72"/>
      <c r="J10" s="72"/>
    </row>
    <row r="11" spans="1:10" x14ac:dyDescent="0.25">
      <c r="D11" s="2" t="s">
        <v>10</v>
      </c>
      <c r="E11" s="2">
        <v>0</v>
      </c>
      <c r="F11" s="9">
        <v>196000</v>
      </c>
      <c r="G11" s="9">
        <v>262080</v>
      </c>
      <c r="H11" s="9">
        <v>302848</v>
      </c>
      <c r="I11" s="9">
        <v>346458.11200000002</v>
      </c>
      <c r="J11" s="9">
        <v>294804.35712</v>
      </c>
    </row>
    <row r="12" spans="1:10" x14ac:dyDescent="0.25">
      <c r="D12" s="2" t="s">
        <v>9</v>
      </c>
      <c r="E12" s="2">
        <v>0</v>
      </c>
      <c r="F12" s="9">
        <v>-98000</v>
      </c>
      <c r="G12" s="9">
        <v>-133560</v>
      </c>
      <c r="H12" s="9">
        <v>-157304</v>
      </c>
      <c r="I12" s="9">
        <v>-183416.46400000004</v>
      </c>
      <c r="J12" s="9">
        <v>-159072.09696000002</v>
      </c>
    </row>
    <row r="13" spans="1:10" x14ac:dyDescent="0.25">
      <c r="D13" s="3" t="s">
        <v>8</v>
      </c>
      <c r="E13" s="2">
        <v>0</v>
      </c>
      <c r="F13" s="10">
        <f>SUM(F11:F12)</f>
        <v>98000</v>
      </c>
      <c r="G13" s="10">
        <f t="shared" ref="G13:J13" si="2">SUM(G11:G12)</f>
        <v>128520</v>
      </c>
      <c r="H13" s="10">
        <f t="shared" si="2"/>
        <v>145544</v>
      </c>
      <c r="I13" s="10">
        <f t="shared" si="2"/>
        <v>163041.64799999999</v>
      </c>
      <c r="J13" s="10">
        <f t="shared" si="2"/>
        <v>135732.26015999998</v>
      </c>
    </row>
    <row r="14" spans="1:10" x14ac:dyDescent="0.25">
      <c r="D14" s="2" t="s">
        <v>11</v>
      </c>
      <c r="E14" s="2">
        <v>0</v>
      </c>
      <c r="F14" s="9">
        <v>-40000</v>
      </c>
      <c r="G14" s="9">
        <v>-40000</v>
      </c>
      <c r="H14" s="9">
        <v>-40000</v>
      </c>
      <c r="I14" s="9">
        <v>-40000</v>
      </c>
      <c r="J14" s="9">
        <v>-40000</v>
      </c>
    </row>
    <row r="15" spans="1:10" x14ac:dyDescent="0.25">
      <c r="D15" s="2" t="s">
        <v>14</v>
      </c>
      <c r="E15" s="2">
        <v>0</v>
      </c>
      <c r="F15" s="9">
        <v>-38000</v>
      </c>
      <c r="G15" s="9">
        <v>-38000</v>
      </c>
      <c r="H15" s="9">
        <v>-38000</v>
      </c>
      <c r="I15" s="9">
        <v>-38000</v>
      </c>
      <c r="J15" s="9">
        <v>-38000</v>
      </c>
    </row>
    <row r="16" spans="1:10" x14ac:dyDescent="0.25">
      <c r="D16" s="3" t="s">
        <v>12</v>
      </c>
      <c r="E16" s="2">
        <v>0</v>
      </c>
      <c r="F16" s="10">
        <f>SUM(F13:F15)</f>
        <v>20000</v>
      </c>
      <c r="G16" s="10">
        <f t="shared" ref="G16:J16" si="3">SUM(G13:G15)</f>
        <v>50520</v>
      </c>
      <c r="H16" s="10">
        <f t="shared" si="3"/>
        <v>67544</v>
      </c>
      <c r="I16" s="10">
        <f t="shared" si="3"/>
        <v>85041.647999999986</v>
      </c>
      <c r="J16" s="10">
        <f t="shared" si="3"/>
        <v>57732.260159999976</v>
      </c>
    </row>
    <row r="17" spans="4:10" x14ac:dyDescent="0.25">
      <c r="D17" s="2" t="s">
        <v>13</v>
      </c>
      <c r="E17" s="2">
        <v>0</v>
      </c>
      <c r="F17" s="9">
        <f>-F16*34%</f>
        <v>-6800.0000000000009</v>
      </c>
      <c r="G17" s="9">
        <f t="shared" ref="G17:J17" si="4">-G16*34%</f>
        <v>-17176.800000000003</v>
      </c>
      <c r="H17" s="9">
        <f t="shared" si="4"/>
        <v>-22964.960000000003</v>
      </c>
      <c r="I17" s="9">
        <f t="shared" si="4"/>
        <v>-28914.160319999999</v>
      </c>
      <c r="J17" s="9">
        <f t="shared" si="4"/>
        <v>-19628.968454399994</v>
      </c>
    </row>
    <row r="18" spans="4:10" x14ac:dyDescent="0.25">
      <c r="D18" s="3" t="s">
        <v>15</v>
      </c>
      <c r="E18" s="13">
        <v>0</v>
      </c>
      <c r="F18" s="10">
        <f>SUM(F16:F17)</f>
        <v>13200</v>
      </c>
      <c r="G18" s="10">
        <f t="shared" ref="G18:J18" si="5">SUM(G16:G17)</f>
        <v>33343.199999999997</v>
      </c>
      <c r="H18" s="10">
        <f t="shared" si="5"/>
        <v>44579.039999999994</v>
      </c>
      <c r="I18" s="10">
        <f t="shared" si="5"/>
        <v>56127.487679999991</v>
      </c>
      <c r="J18" s="10">
        <f t="shared" si="5"/>
        <v>38103.291705599986</v>
      </c>
    </row>
    <row r="19" spans="4:10" x14ac:dyDescent="0.25">
      <c r="D19" s="2" t="s">
        <v>17</v>
      </c>
      <c r="E19" s="13">
        <v>0</v>
      </c>
      <c r="F19" s="12">
        <f>-F14</f>
        <v>40000</v>
      </c>
      <c r="G19" s="12">
        <f t="shared" ref="G19:J19" si="6">-G14</f>
        <v>40000</v>
      </c>
      <c r="H19" s="12">
        <f t="shared" si="6"/>
        <v>40000</v>
      </c>
      <c r="I19" s="12">
        <f t="shared" si="6"/>
        <v>40000</v>
      </c>
      <c r="J19" s="12">
        <f t="shared" si="6"/>
        <v>40000</v>
      </c>
    </row>
    <row r="20" spans="4:10" x14ac:dyDescent="0.25">
      <c r="D20" s="2" t="s">
        <v>18</v>
      </c>
      <c r="E20" s="11">
        <v>-200000</v>
      </c>
      <c r="F20" s="9">
        <v>0</v>
      </c>
      <c r="G20" s="9">
        <v>0</v>
      </c>
      <c r="H20" s="9">
        <v>0</v>
      </c>
      <c r="I20" s="9">
        <v>0</v>
      </c>
      <c r="J20" s="9">
        <v>0</v>
      </c>
    </row>
    <row r="21" spans="4:10" x14ac:dyDescent="0.25">
      <c r="D21" s="14" t="s">
        <v>21</v>
      </c>
      <c r="E21" s="16">
        <v>-19600</v>
      </c>
      <c r="F21" s="16">
        <v>-6608</v>
      </c>
      <c r="G21" s="16">
        <v>-4076.8000000000029</v>
      </c>
      <c r="H21" s="16">
        <v>-4361.0112000000008</v>
      </c>
      <c r="I21" s="17">
        <v>5165.3754880000015</v>
      </c>
      <c r="J21" s="17">
        <v>29480.435712000002</v>
      </c>
    </row>
    <row r="22" spans="4:10" x14ac:dyDescent="0.25">
      <c r="D22" s="3" t="s">
        <v>20</v>
      </c>
      <c r="E22" s="18">
        <f>SUM(E18:E21)</f>
        <v>-219600</v>
      </c>
      <c r="F22" s="19">
        <f t="shared" ref="F22:J22" si="7">SUM(F18:F21)</f>
        <v>46592</v>
      </c>
      <c r="G22" s="19">
        <f t="shared" si="7"/>
        <v>69266.399999999994</v>
      </c>
      <c r="H22" s="19">
        <f t="shared" si="7"/>
        <v>80218.0288</v>
      </c>
      <c r="I22" s="19">
        <f t="shared" si="7"/>
        <v>101292.863168</v>
      </c>
      <c r="J22" s="19">
        <f t="shared" si="7"/>
        <v>107583.72741759999</v>
      </c>
    </row>
    <row r="23" spans="4:10" x14ac:dyDescent="0.25">
      <c r="D23" s="14" t="s">
        <v>22</v>
      </c>
      <c r="E23" s="15">
        <v>0</v>
      </c>
      <c r="F23" s="15">
        <v>0</v>
      </c>
      <c r="G23" s="15">
        <v>0</v>
      </c>
      <c r="H23" s="15">
        <v>0</v>
      </c>
      <c r="I23" s="15">
        <v>0</v>
      </c>
      <c r="J23" s="17">
        <v>23099.999999999996</v>
      </c>
    </row>
    <row r="24" spans="4:10" x14ac:dyDescent="0.25">
      <c r="D24" s="3" t="s">
        <v>23</v>
      </c>
      <c r="E24" s="18">
        <f>SUM(E22:E23)</f>
        <v>-219600</v>
      </c>
      <c r="F24" s="19">
        <f t="shared" ref="F24:J24" si="8">SUM(F22:F23)</f>
        <v>46592</v>
      </c>
      <c r="G24" s="19">
        <f t="shared" si="8"/>
        <v>69266.399999999994</v>
      </c>
      <c r="H24" s="19">
        <f t="shared" si="8"/>
        <v>80218.0288</v>
      </c>
      <c r="I24" s="19">
        <f t="shared" si="8"/>
        <v>101292.863168</v>
      </c>
      <c r="J24" s="19">
        <f t="shared" si="8"/>
        <v>130683.72741759999</v>
      </c>
    </row>
    <row r="25" spans="4:10" x14ac:dyDescent="0.25">
      <c r="D25" s="26">
        <f>NPV(15%,F24:J24)+E24</f>
        <v>48922.220620647538</v>
      </c>
      <c r="F25"/>
    </row>
    <row r="26" spans="4:10" x14ac:dyDescent="0.25">
      <c r="D26" s="71" t="s">
        <v>30</v>
      </c>
      <c r="E26" s="71"/>
      <c r="F26" s="71"/>
      <c r="G26" s="71"/>
      <c r="H26" s="71"/>
      <c r="I26" s="71"/>
      <c r="J26" s="71"/>
    </row>
    <row r="27" spans="4:10" x14ac:dyDescent="0.25">
      <c r="D27" s="72"/>
      <c r="E27" s="72"/>
      <c r="F27" s="72"/>
      <c r="G27" s="72"/>
      <c r="H27" s="72"/>
      <c r="I27" s="72"/>
      <c r="J27" s="72"/>
    </row>
    <row r="28" spans="4:10" x14ac:dyDescent="0.25">
      <c r="D28" s="2" t="s">
        <v>10</v>
      </c>
      <c r="E28" s="2">
        <v>0</v>
      </c>
      <c r="F28" s="9">
        <v>196000</v>
      </c>
      <c r="G28" s="9">
        <v>262080</v>
      </c>
      <c r="H28" s="9">
        <v>302848</v>
      </c>
      <c r="I28" s="9">
        <v>346458.11200000002</v>
      </c>
      <c r="J28" s="9">
        <v>294804.35712</v>
      </c>
    </row>
    <row r="29" spans="4:10" x14ac:dyDescent="0.25">
      <c r="D29" s="2" t="s">
        <v>9</v>
      </c>
      <c r="E29" s="2">
        <v>0</v>
      </c>
      <c r="F29" s="9">
        <v>-98000</v>
      </c>
      <c r="G29" s="9">
        <v>-133560</v>
      </c>
      <c r="H29" s="9">
        <v>-157304</v>
      </c>
      <c r="I29" s="9">
        <v>-183416.46400000004</v>
      </c>
      <c r="J29" s="9">
        <v>-159072.09696000002</v>
      </c>
    </row>
    <row r="30" spans="4:10" x14ac:dyDescent="0.25">
      <c r="D30" s="3" t="s">
        <v>8</v>
      </c>
      <c r="E30" s="2">
        <v>0</v>
      </c>
      <c r="F30" s="10">
        <f>SUM(F28:F29)</f>
        <v>98000</v>
      </c>
      <c r="G30" s="10">
        <f t="shared" ref="G30:J30" si="9">SUM(G28:G29)</f>
        <v>128520</v>
      </c>
      <c r="H30" s="10">
        <f t="shared" si="9"/>
        <v>145544</v>
      </c>
      <c r="I30" s="10">
        <f t="shared" si="9"/>
        <v>163041.64799999999</v>
      </c>
      <c r="J30" s="10">
        <f t="shared" si="9"/>
        <v>135732.26015999998</v>
      </c>
    </row>
    <row r="31" spans="4:10" x14ac:dyDescent="0.25">
      <c r="D31" s="2" t="s">
        <v>11</v>
      </c>
      <c r="E31" s="2">
        <v>0</v>
      </c>
      <c r="F31" s="9">
        <v>-60000</v>
      </c>
      <c r="G31" s="9">
        <v>-70000</v>
      </c>
      <c r="H31" s="9">
        <v>-70000</v>
      </c>
      <c r="I31" s="9">
        <v>0</v>
      </c>
      <c r="J31" s="9">
        <v>0</v>
      </c>
    </row>
    <row r="32" spans="4:10" x14ac:dyDescent="0.25">
      <c r="D32" s="2" t="s">
        <v>14</v>
      </c>
      <c r="E32" s="2">
        <v>0</v>
      </c>
      <c r="F32" s="9">
        <v>-38000</v>
      </c>
      <c r="G32" s="9">
        <v>-38000</v>
      </c>
      <c r="H32" s="9">
        <v>-38000</v>
      </c>
      <c r="I32" s="9">
        <v>-38000</v>
      </c>
      <c r="J32" s="9">
        <v>-38000</v>
      </c>
    </row>
    <row r="33" spans="4:10" x14ac:dyDescent="0.25">
      <c r="D33" s="3" t="s">
        <v>12</v>
      </c>
      <c r="E33" s="2">
        <v>0</v>
      </c>
      <c r="F33" s="10">
        <f>SUM(F30:F32)</f>
        <v>0</v>
      </c>
      <c r="G33" s="10">
        <f t="shared" ref="G33:J33" si="10">SUM(G30:G32)</f>
        <v>20520</v>
      </c>
      <c r="H33" s="10">
        <f t="shared" si="10"/>
        <v>37544</v>
      </c>
      <c r="I33" s="10">
        <f t="shared" si="10"/>
        <v>125041.64799999999</v>
      </c>
      <c r="J33" s="10">
        <f t="shared" si="10"/>
        <v>97732.260159999976</v>
      </c>
    </row>
    <row r="34" spans="4:10" x14ac:dyDescent="0.25">
      <c r="D34" s="2" t="s">
        <v>13</v>
      </c>
      <c r="E34" s="2">
        <v>0</v>
      </c>
      <c r="F34" s="9">
        <f>-F33*34%</f>
        <v>0</v>
      </c>
      <c r="G34" s="9">
        <f t="shared" ref="G34:J34" si="11">-G33*34%</f>
        <v>-6976.8</v>
      </c>
      <c r="H34" s="9">
        <f t="shared" si="11"/>
        <v>-12764.960000000001</v>
      </c>
      <c r="I34" s="9">
        <f t="shared" si="11"/>
        <v>-42514.160319999995</v>
      </c>
      <c r="J34" s="9">
        <f t="shared" si="11"/>
        <v>-33228.968454399997</v>
      </c>
    </row>
    <row r="35" spans="4:10" x14ac:dyDescent="0.25">
      <c r="D35" s="3" t="s">
        <v>15</v>
      </c>
      <c r="E35" s="13">
        <v>0</v>
      </c>
      <c r="F35" s="10">
        <f>SUM(F33:F34)</f>
        <v>0</v>
      </c>
      <c r="G35" s="10">
        <f t="shared" ref="G35:J35" si="12">SUM(G33:G34)</f>
        <v>13543.2</v>
      </c>
      <c r="H35" s="10">
        <f t="shared" si="12"/>
        <v>24779.040000000001</v>
      </c>
      <c r="I35" s="10">
        <f t="shared" si="12"/>
        <v>82527.487679999991</v>
      </c>
      <c r="J35" s="10">
        <f t="shared" si="12"/>
        <v>64503.291705599979</v>
      </c>
    </row>
    <row r="36" spans="4:10" x14ac:dyDescent="0.25">
      <c r="D36" s="2" t="s">
        <v>17</v>
      </c>
      <c r="E36" s="13">
        <v>0</v>
      </c>
      <c r="F36" s="12">
        <f>-F31</f>
        <v>60000</v>
      </c>
      <c r="G36" s="12">
        <f t="shared" ref="G36:J36" si="13">-G31</f>
        <v>70000</v>
      </c>
      <c r="H36" s="12">
        <f t="shared" si="13"/>
        <v>70000</v>
      </c>
      <c r="I36" s="12">
        <f t="shared" si="13"/>
        <v>0</v>
      </c>
      <c r="J36" s="12">
        <f t="shared" si="13"/>
        <v>0</v>
      </c>
    </row>
    <row r="37" spans="4:10" x14ac:dyDescent="0.25">
      <c r="D37" s="2" t="s">
        <v>18</v>
      </c>
      <c r="E37" s="11">
        <v>-200000</v>
      </c>
      <c r="F37" s="9">
        <v>0</v>
      </c>
      <c r="G37" s="9">
        <v>0</v>
      </c>
      <c r="H37" s="9">
        <v>0</v>
      </c>
      <c r="I37" s="9">
        <v>0</v>
      </c>
      <c r="J37" s="9">
        <v>0</v>
      </c>
    </row>
    <row r="38" spans="4:10" x14ac:dyDescent="0.25">
      <c r="D38" s="14" t="s">
        <v>21</v>
      </c>
      <c r="E38" s="16">
        <v>-19600</v>
      </c>
      <c r="F38" s="16">
        <v>-6608</v>
      </c>
      <c r="G38" s="16">
        <v>-4076.8000000000029</v>
      </c>
      <c r="H38" s="16">
        <v>-4361.0112000000008</v>
      </c>
      <c r="I38" s="17">
        <v>5165.3754880000015</v>
      </c>
      <c r="J38" s="17">
        <v>29480.435712000002</v>
      </c>
    </row>
    <row r="39" spans="4:10" x14ac:dyDescent="0.25">
      <c r="D39" s="3" t="s">
        <v>20</v>
      </c>
      <c r="E39" s="18">
        <f>SUM(E35:E38)</f>
        <v>-219600</v>
      </c>
      <c r="F39" s="19">
        <f t="shared" ref="F39:J39" si="14">SUM(F35:F38)</f>
        <v>53392</v>
      </c>
      <c r="G39" s="19">
        <f t="shared" si="14"/>
        <v>79466.399999999994</v>
      </c>
      <c r="H39" s="19">
        <f t="shared" si="14"/>
        <v>90418.0288</v>
      </c>
      <c r="I39" s="19">
        <f t="shared" si="14"/>
        <v>87692.863167999996</v>
      </c>
      <c r="J39" s="19">
        <f t="shared" si="14"/>
        <v>93983.727417599977</v>
      </c>
    </row>
    <row r="40" spans="4:10" x14ac:dyDescent="0.25">
      <c r="D40" s="14" t="s">
        <v>22</v>
      </c>
      <c r="E40" s="15">
        <v>0</v>
      </c>
      <c r="F40" s="15">
        <v>0</v>
      </c>
      <c r="G40" s="15">
        <v>0</v>
      </c>
      <c r="H40" s="15">
        <v>0</v>
      </c>
      <c r="I40" s="15">
        <v>0</v>
      </c>
      <c r="J40" s="17">
        <v>23099.999999999996</v>
      </c>
    </row>
    <row r="41" spans="4:10" x14ac:dyDescent="0.25">
      <c r="D41" s="3" t="s">
        <v>23</v>
      </c>
      <c r="E41" s="18">
        <f>SUM(E39:E40)</f>
        <v>-219600</v>
      </c>
      <c r="F41" s="19">
        <f t="shared" ref="F41:J41" si="15">SUM(F39:F40)</f>
        <v>53392</v>
      </c>
      <c r="G41" s="19">
        <f t="shared" si="15"/>
        <v>79466.399999999994</v>
      </c>
      <c r="H41" s="19">
        <f t="shared" si="15"/>
        <v>90418.0288</v>
      </c>
      <c r="I41" s="19">
        <f t="shared" si="15"/>
        <v>87692.863167999996</v>
      </c>
      <c r="J41" s="19">
        <f t="shared" si="15"/>
        <v>117083.72741759998</v>
      </c>
    </row>
    <row r="42" spans="4:10" x14ac:dyDescent="0.25">
      <c r="D42" s="26">
        <f>NPV(15%,F41:J41)+E41</f>
        <v>54717.147336019902</v>
      </c>
    </row>
    <row r="44" spans="4:10" x14ac:dyDescent="0.25">
      <c r="D44" s="71" t="s">
        <v>31</v>
      </c>
      <c r="E44" s="71"/>
      <c r="F44" s="71"/>
      <c r="G44" s="71"/>
      <c r="H44" s="71"/>
      <c r="I44" s="71"/>
      <c r="J44" s="71"/>
    </row>
    <row r="45" spans="4:10" x14ac:dyDescent="0.25">
      <c r="D45" s="72"/>
      <c r="E45" s="72"/>
      <c r="F45" s="72"/>
      <c r="G45" s="72"/>
      <c r="H45" s="72"/>
      <c r="I45" s="72"/>
      <c r="J45" s="72"/>
    </row>
    <row r="46" spans="4:10" x14ac:dyDescent="0.25">
      <c r="D46" s="2" t="s">
        <v>10</v>
      </c>
      <c r="E46" s="2">
        <v>0</v>
      </c>
      <c r="F46" s="9">
        <v>196000</v>
      </c>
      <c r="G46" s="9">
        <v>262080</v>
      </c>
      <c r="H46" s="9">
        <v>302848</v>
      </c>
      <c r="I46" s="9">
        <v>346458.11200000002</v>
      </c>
      <c r="J46" s="9">
        <v>294804.35712</v>
      </c>
    </row>
    <row r="47" spans="4:10" x14ac:dyDescent="0.25">
      <c r="D47" s="2" t="s">
        <v>9</v>
      </c>
      <c r="E47" s="2">
        <v>0</v>
      </c>
      <c r="F47" s="9">
        <v>-98000</v>
      </c>
      <c r="G47" s="9">
        <v>-133560</v>
      </c>
      <c r="H47" s="9">
        <v>-157304</v>
      </c>
      <c r="I47" s="9">
        <v>-183416.46400000004</v>
      </c>
      <c r="J47" s="9">
        <v>-159072.09696000002</v>
      </c>
    </row>
    <row r="48" spans="4:10" x14ac:dyDescent="0.25">
      <c r="D48" s="3" t="s">
        <v>8</v>
      </c>
      <c r="E48" s="2">
        <v>0</v>
      </c>
      <c r="F48" s="10">
        <f>SUM(F46:F47)</f>
        <v>98000</v>
      </c>
      <c r="G48" s="10">
        <f t="shared" ref="G48:J48" si="16">SUM(G46:G47)</f>
        <v>128520</v>
      </c>
      <c r="H48" s="10">
        <f t="shared" si="16"/>
        <v>145544</v>
      </c>
      <c r="I48" s="10">
        <f t="shared" si="16"/>
        <v>163041.64799999999</v>
      </c>
      <c r="J48" s="10">
        <f t="shared" si="16"/>
        <v>135732.26015999998</v>
      </c>
    </row>
    <row r="49" spans="4:10" x14ac:dyDescent="0.25">
      <c r="D49" s="2" t="s">
        <v>11</v>
      </c>
      <c r="E49" s="2">
        <v>0</v>
      </c>
      <c r="F49" s="9">
        <v>-200000</v>
      </c>
      <c r="G49" s="9">
        <v>0</v>
      </c>
      <c r="H49" s="9">
        <v>0</v>
      </c>
      <c r="I49" s="9">
        <v>0</v>
      </c>
      <c r="J49" s="9">
        <v>0</v>
      </c>
    </row>
    <row r="50" spans="4:10" x14ac:dyDescent="0.25">
      <c r="D50" s="2" t="s">
        <v>14</v>
      </c>
      <c r="E50" s="2">
        <v>0</v>
      </c>
      <c r="F50" s="9">
        <v>-38000</v>
      </c>
      <c r="G50" s="9">
        <v>-38000</v>
      </c>
      <c r="H50" s="9">
        <v>-38000</v>
      </c>
      <c r="I50" s="9">
        <v>-38000</v>
      </c>
      <c r="J50" s="9">
        <v>-38000</v>
      </c>
    </row>
    <row r="51" spans="4:10" x14ac:dyDescent="0.25">
      <c r="D51" s="3" t="s">
        <v>12</v>
      </c>
      <c r="E51" s="2">
        <v>0</v>
      </c>
      <c r="F51" s="10">
        <f>SUM(F48:F50)</f>
        <v>-140000</v>
      </c>
      <c r="G51" s="10">
        <f>SUM(G48:G50)</f>
        <v>90520</v>
      </c>
      <c r="H51" s="10">
        <f>SUM(H48:H50)</f>
        <v>107544</v>
      </c>
      <c r="I51" s="10">
        <f>SUM(I48:I50)</f>
        <v>125041.64799999999</v>
      </c>
      <c r="J51" s="10">
        <f>SUM(J48:J50)</f>
        <v>97732.260159999976</v>
      </c>
    </row>
    <row r="52" spans="4:10" x14ac:dyDescent="0.25">
      <c r="D52" s="2" t="s">
        <v>32</v>
      </c>
      <c r="E52" s="2">
        <v>0</v>
      </c>
      <c r="F52" s="9">
        <v>0</v>
      </c>
      <c r="G52" s="27">
        <f>-G51*30%</f>
        <v>-27156</v>
      </c>
      <c r="H52" s="27">
        <f>-G62</f>
        <v>-20444</v>
      </c>
      <c r="I52" s="9">
        <v>0</v>
      </c>
      <c r="J52" s="9">
        <v>0</v>
      </c>
    </row>
    <row r="53" spans="4:10" x14ac:dyDescent="0.25">
      <c r="D53" s="2" t="s">
        <v>13</v>
      </c>
      <c r="E53" s="2">
        <v>0</v>
      </c>
      <c r="F53" s="27">
        <f>-SUM(F51:F52)*34%</f>
        <v>47600</v>
      </c>
      <c r="G53" s="9">
        <f t="shared" ref="G53:J53" si="17">-SUM(G51:G52)*34%</f>
        <v>-21543.760000000002</v>
      </c>
      <c r="H53" s="9">
        <f t="shared" si="17"/>
        <v>-29614.000000000004</v>
      </c>
      <c r="I53" s="9">
        <f t="shared" si="17"/>
        <v>-42514.160319999995</v>
      </c>
      <c r="J53" s="9">
        <f t="shared" si="17"/>
        <v>-33228.968454399997</v>
      </c>
    </row>
    <row r="54" spans="4:10" x14ac:dyDescent="0.25">
      <c r="D54" s="3" t="s">
        <v>15</v>
      </c>
      <c r="E54" s="13">
        <v>0</v>
      </c>
      <c r="F54" s="10">
        <f>SUM(F51,F53)</f>
        <v>-92400</v>
      </c>
      <c r="G54" s="10">
        <f>SUM(G51,G53)</f>
        <v>68976.239999999991</v>
      </c>
      <c r="H54" s="10">
        <f>SUM(H51,H53)</f>
        <v>77930</v>
      </c>
      <c r="I54" s="10">
        <f>SUM(I51,I53)</f>
        <v>82527.487679999991</v>
      </c>
      <c r="J54" s="10">
        <f>SUM(J51,J53)</f>
        <v>64503.291705599979</v>
      </c>
    </row>
    <row r="55" spans="4:10" x14ac:dyDescent="0.25">
      <c r="D55" s="2" t="s">
        <v>17</v>
      </c>
      <c r="E55" s="13">
        <v>0</v>
      </c>
      <c r="F55" s="12">
        <f>-F49</f>
        <v>200000</v>
      </c>
      <c r="G55" s="12">
        <f>-G49</f>
        <v>0</v>
      </c>
      <c r="H55" s="12">
        <f>-H49</f>
        <v>0</v>
      </c>
      <c r="I55" s="12">
        <f>-I49</f>
        <v>0</v>
      </c>
      <c r="J55" s="12">
        <f>-J49</f>
        <v>0</v>
      </c>
    </row>
    <row r="56" spans="4:10" x14ac:dyDescent="0.25">
      <c r="D56" s="2" t="s">
        <v>18</v>
      </c>
      <c r="E56" s="11">
        <v>-200000</v>
      </c>
      <c r="F56" s="9">
        <v>0</v>
      </c>
      <c r="G56" s="9">
        <v>0</v>
      </c>
      <c r="H56" s="9">
        <v>0</v>
      </c>
      <c r="I56" s="9">
        <v>0</v>
      </c>
      <c r="J56" s="9">
        <v>0</v>
      </c>
    </row>
    <row r="57" spans="4:10" x14ac:dyDescent="0.25">
      <c r="D57" s="14" t="s">
        <v>21</v>
      </c>
      <c r="E57" s="16">
        <v>-19600</v>
      </c>
      <c r="F57" s="16">
        <v>-6608</v>
      </c>
      <c r="G57" s="16">
        <v>-4076.8000000000029</v>
      </c>
      <c r="H57" s="16">
        <v>-4361.0112000000008</v>
      </c>
      <c r="I57" s="17">
        <v>5165.3754880000015</v>
      </c>
      <c r="J57" s="17">
        <v>29480.435712000002</v>
      </c>
    </row>
    <row r="58" spans="4:10" x14ac:dyDescent="0.25">
      <c r="D58" s="3" t="s">
        <v>20</v>
      </c>
      <c r="E58" s="18">
        <f>SUM(E54:E57)</f>
        <v>-219600</v>
      </c>
      <c r="F58" s="19">
        <f t="shared" ref="F58:J58" si="18">SUM(F54:F57)</f>
        <v>100992</v>
      </c>
      <c r="G58" s="19">
        <f t="shared" si="18"/>
        <v>64899.439999999988</v>
      </c>
      <c r="H58" s="19">
        <f t="shared" si="18"/>
        <v>73568.988799999992</v>
      </c>
      <c r="I58" s="19">
        <f t="shared" si="18"/>
        <v>87692.863167999996</v>
      </c>
      <c r="J58" s="19">
        <f t="shared" si="18"/>
        <v>93983.727417599977</v>
      </c>
    </row>
    <row r="59" spans="4:10" x14ac:dyDescent="0.25">
      <c r="D59" s="14" t="s">
        <v>22</v>
      </c>
      <c r="E59" s="15">
        <v>0</v>
      </c>
      <c r="F59" s="15">
        <v>0</v>
      </c>
      <c r="G59" s="15">
        <v>0</v>
      </c>
      <c r="H59" s="15">
        <v>0</v>
      </c>
      <c r="I59" s="15">
        <v>0</v>
      </c>
      <c r="J59" s="17">
        <v>23099.999999999996</v>
      </c>
    </row>
    <row r="60" spans="4:10" x14ac:dyDescent="0.25">
      <c r="D60" s="3" t="s">
        <v>23</v>
      </c>
      <c r="E60" s="18">
        <f>SUM(E58:E59)</f>
        <v>-219600</v>
      </c>
      <c r="F60" s="19">
        <f t="shared" ref="F60:J60" si="19">SUM(F58:F59)</f>
        <v>100992</v>
      </c>
      <c r="G60" s="19">
        <f t="shared" si="19"/>
        <v>64899.439999999988</v>
      </c>
      <c r="H60" s="19">
        <f t="shared" si="19"/>
        <v>73568.988799999992</v>
      </c>
      <c r="I60" s="19">
        <f t="shared" si="19"/>
        <v>87692.863167999996</v>
      </c>
      <c r="J60" s="19">
        <f t="shared" si="19"/>
        <v>117083.72741759998</v>
      </c>
    </row>
    <row r="61" spans="4:10" x14ac:dyDescent="0.25">
      <c r="D61" s="26">
        <f>NPV(15%,F60:J60)+E60</f>
        <v>74015.219827184512</v>
      </c>
    </row>
    <row r="62" spans="4:10" x14ac:dyDescent="0.25">
      <c r="D62" s="2" t="s">
        <v>39</v>
      </c>
      <c r="F62" s="1">
        <f>F53</f>
        <v>47600</v>
      </c>
      <c r="G62" s="28">
        <f>F62+G52</f>
        <v>20444</v>
      </c>
      <c r="H62" s="28">
        <f>G62+H52</f>
        <v>0</v>
      </c>
    </row>
    <row r="65" spans="4:10" ht="15" customHeight="1" x14ac:dyDescent="0.25">
      <c r="D65" s="73" t="s">
        <v>40</v>
      </c>
      <c r="E65" s="73"/>
      <c r="F65" s="73"/>
      <c r="G65" s="73"/>
      <c r="H65" s="73"/>
      <c r="I65" s="73"/>
      <c r="J65" s="73"/>
    </row>
    <row r="66" spans="4:10" x14ac:dyDescent="0.25">
      <c r="D66" s="73"/>
      <c r="E66" s="73"/>
      <c r="F66" s="73"/>
      <c r="G66" s="73"/>
      <c r="H66" s="73"/>
      <c r="I66" s="73"/>
      <c r="J66" s="73"/>
    </row>
    <row r="67" spans="4:10" x14ac:dyDescent="0.25">
      <c r="D67" s="73"/>
      <c r="E67" s="73"/>
      <c r="F67" s="73"/>
      <c r="G67" s="73"/>
      <c r="H67" s="73"/>
      <c r="I67" s="73"/>
      <c r="J67" s="73"/>
    </row>
    <row r="68" spans="4:10" x14ac:dyDescent="0.25">
      <c r="D68" s="73"/>
      <c r="E68" s="73"/>
      <c r="F68" s="73"/>
      <c r="G68" s="73"/>
      <c r="H68" s="73"/>
      <c r="I68" s="73"/>
      <c r="J68" s="73"/>
    </row>
    <row r="69" spans="4:10" x14ac:dyDescent="0.25">
      <c r="D69" s="73"/>
      <c r="E69" s="73"/>
      <c r="F69" s="73"/>
      <c r="G69" s="73"/>
      <c r="H69" s="73"/>
      <c r="I69" s="73"/>
      <c r="J69" s="73"/>
    </row>
    <row r="70" spans="4:10" x14ac:dyDescent="0.25">
      <c r="D70" s="73"/>
      <c r="E70" s="73"/>
      <c r="F70" s="73"/>
      <c r="G70" s="73"/>
      <c r="H70" s="73"/>
      <c r="I70" s="73"/>
      <c r="J70" s="73"/>
    </row>
    <row r="71" spans="4:10" x14ac:dyDescent="0.25">
      <c r="D71" s="73"/>
      <c r="E71" s="73"/>
      <c r="F71" s="73"/>
      <c r="G71" s="73"/>
      <c r="H71" s="73"/>
      <c r="I71" s="73"/>
      <c r="J71" s="73"/>
    </row>
    <row r="72" spans="4:10" x14ac:dyDescent="0.25">
      <c r="D72" s="73"/>
      <c r="E72" s="73"/>
      <c r="F72" s="73"/>
      <c r="G72" s="73"/>
      <c r="H72" s="73"/>
      <c r="I72" s="73"/>
      <c r="J72" s="73"/>
    </row>
    <row r="73" spans="4:10" x14ac:dyDescent="0.25">
      <c r="D73" s="73"/>
      <c r="E73" s="73"/>
      <c r="F73" s="73"/>
      <c r="G73" s="73"/>
      <c r="H73" s="73"/>
      <c r="I73" s="73"/>
      <c r="J73" s="73"/>
    </row>
    <row r="74" spans="4:10" x14ac:dyDescent="0.25">
      <c r="D74" s="73"/>
      <c r="E74" s="73"/>
      <c r="F74" s="73"/>
      <c r="G74" s="73"/>
      <c r="H74" s="73"/>
      <c r="I74" s="73"/>
      <c r="J74" s="73"/>
    </row>
    <row r="75" spans="4:10" x14ac:dyDescent="0.25">
      <c r="D75" s="73"/>
      <c r="E75" s="73"/>
      <c r="F75" s="73"/>
      <c r="G75" s="73"/>
      <c r="H75" s="73"/>
      <c r="I75" s="73"/>
      <c r="J75" s="73"/>
    </row>
  </sheetData>
  <mergeCells count="5">
    <mergeCell ref="A2:B2"/>
    <mergeCell ref="D9:J10"/>
    <mergeCell ref="D26:J27"/>
    <mergeCell ref="D44:J45"/>
    <mergeCell ref="D65:J75"/>
  </mergeCells>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851B9-EF0F-4D6D-A0A4-9B95AE0EACD7}">
  <dimension ref="A2:DA101"/>
  <sheetViews>
    <sheetView showGridLines="0" tabSelected="1" topLeftCell="C66" zoomScale="130" zoomScaleNormal="130" workbookViewId="0">
      <selection activeCell="L75" sqref="L75"/>
    </sheetView>
  </sheetViews>
  <sheetFormatPr defaultColWidth="14.5703125" defaultRowHeight="15" x14ac:dyDescent="0.25"/>
  <cols>
    <col min="1" max="1" width="29.42578125" customWidth="1"/>
    <col min="2" max="2" width="12.85546875" customWidth="1"/>
    <col min="3" max="3" width="7" customWidth="1"/>
    <col min="4" max="4" width="34.7109375" style="1" bestFit="1" customWidth="1"/>
    <col min="5" max="5" width="12.7109375" style="1" customWidth="1"/>
    <col min="6" max="6" width="13.5703125" style="1" bestFit="1" customWidth="1"/>
    <col min="7" max="9" width="13.5703125" bestFit="1" customWidth="1"/>
    <col min="10" max="10" width="24.140625" bestFit="1" customWidth="1"/>
  </cols>
  <sheetData>
    <row r="2" spans="1:10" x14ac:dyDescent="0.25">
      <c r="A2" s="69" t="s">
        <v>24</v>
      </c>
      <c r="B2" s="70"/>
    </row>
    <row r="3" spans="1:10" x14ac:dyDescent="0.25">
      <c r="A3" s="21" t="s">
        <v>25</v>
      </c>
      <c r="B3" s="22">
        <v>0.34</v>
      </c>
      <c r="C3" s="20"/>
      <c r="D3" s="4"/>
      <c r="E3" s="5" t="s">
        <v>16</v>
      </c>
      <c r="F3" s="5" t="s">
        <v>0</v>
      </c>
      <c r="G3" s="5" t="s">
        <v>1</v>
      </c>
      <c r="H3" s="6" t="s">
        <v>2</v>
      </c>
      <c r="I3" s="6" t="s">
        <v>3</v>
      </c>
      <c r="J3" s="6" t="s">
        <v>4</v>
      </c>
    </row>
    <row r="4" spans="1:10" x14ac:dyDescent="0.25">
      <c r="A4" s="21" t="s">
        <v>11</v>
      </c>
      <c r="B4" s="23">
        <f>1/5</f>
        <v>0.2</v>
      </c>
      <c r="D4" s="2" t="s">
        <v>5</v>
      </c>
      <c r="E4" s="2">
        <v>0</v>
      </c>
      <c r="F4" s="7">
        <f>7000</f>
        <v>7000</v>
      </c>
      <c r="G4" s="7">
        <v>9000</v>
      </c>
      <c r="H4" s="7">
        <v>10000</v>
      </c>
      <c r="I4" s="7">
        <v>11000</v>
      </c>
      <c r="J4" s="7">
        <v>9000</v>
      </c>
    </row>
    <row r="5" spans="1:10" x14ac:dyDescent="0.25">
      <c r="A5" s="21" t="s">
        <v>26</v>
      </c>
      <c r="B5" s="24">
        <v>200000</v>
      </c>
      <c r="D5" s="2" t="s">
        <v>6</v>
      </c>
      <c r="E5" s="2">
        <v>0</v>
      </c>
      <c r="F5" s="8">
        <v>28</v>
      </c>
      <c r="G5" s="8">
        <f>F5*1.04</f>
        <v>29.12</v>
      </c>
      <c r="H5" s="8">
        <f t="shared" ref="H5:J5" si="0">G5*1.04</f>
        <v>30.284800000000001</v>
      </c>
      <c r="I5" s="8">
        <f t="shared" si="0"/>
        <v>31.496192000000001</v>
      </c>
      <c r="J5" s="8">
        <f t="shared" si="0"/>
        <v>32.756039680000001</v>
      </c>
    </row>
    <row r="6" spans="1:10" x14ac:dyDescent="0.25">
      <c r="A6" s="21" t="s">
        <v>27</v>
      </c>
      <c r="B6" s="24">
        <v>-38000</v>
      </c>
      <c r="D6" s="2" t="s">
        <v>7</v>
      </c>
      <c r="E6" s="2">
        <v>0</v>
      </c>
      <c r="F6" s="8">
        <v>14</v>
      </c>
      <c r="G6" s="8">
        <f>F6*1.06</f>
        <v>14.84</v>
      </c>
      <c r="H6" s="8">
        <f t="shared" ref="H6:J6" si="1">G6*1.06</f>
        <v>15.730400000000001</v>
      </c>
      <c r="I6" s="8">
        <f t="shared" si="1"/>
        <v>16.674224000000002</v>
      </c>
      <c r="J6" s="8">
        <f t="shared" si="1"/>
        <v>17.674677440000004</v>
      </c>
    </row>
    <row r="7" spans="1:10" x14ac:dyDescent="0.25">
      <c r="A7" s="21" t="s">
        <v>28</v>
      </c>
      <c r="B7" s="25">
        <f>35000*(1-34%)</f>
        <v>23099.999999999996</v>
      </c>
      <c r="D7" s="2" t="s">
        <v>19</v>
      </c>
      <c r="E7" s="9">
        <f>-F11*10%</f>
        <v>-19600</v>
      </c>
      <c r="F7" s="9">
        <f>-G11*10%</f>
        <v>-26208</v>
      </c>
      <c r="G7" s="9">
        <f>-H11*10%</f>
        <v>-30284.800000000003</v>
      </c>
      <c r="H7" s="9">
        <f>-I11*10%</f>
        <v>-34645.811200000004</v>
      </c>
      <c r="I7" s="9">
        <f>-J11*10%</f>
        <v>-29480.435712000002</v>
      </c>
      <c r="J7" s="9">
        <v>0</v>
      </c>
    </row>
    <row r="8" spans="1:10" x14ac:dyDescent="0.25">
      <c r="D8"/>
      <c r="E8"/>
      <c r="F8"/>
    </row>
    <row r="9" spans="1:10" x14ac:dyDescent="0.25">
      <c r="D9" s="71" t="s">
        <v>29</v>
      </c>
      <c r="E9" s="71"/>
      <c r="F9" s="71"/>
      <c r="G9" s="71"/>
      <c r="H9" s="71"/>
      <c r="I9" s="71"/>
      <c r="J9" s="71"/>
    </row>
    <row r="10" spans="1:10" x14ac:dyDescent="0.25">
      <c r="D10" s="72"/>
      <c r="E10" s="72"/>
      <c r="F10" s="72"/>
      <c r="G10" s="72"/>
      <c r="H10" s="72"/>
      <c r="I10" s="72"/>
      <c r="J10" s="72"/>
    </row>
    <row r="11" spans="1:10" x14ac:dyDescent="0.25">
      <c r="D11" s="2" t="s">
        <v>10</v>
      </c>
      <c r="E11" s="2">
        <v>0</v>
      </c>
      <c r="F11" s="9">
        <v>196000</v>
      </c>
      <c r="G11" s="9">
        <v>262080</v>
      </c>
      <c r="H11" s="9">
        <v>302848</v>
      </c>
      <c r="I11" s="9">
        <v>346458.11200000002</v>
      </c>
      <c r="J11" s="9">
        <v>294804.35712</v>
      </c>
    </row>
    <row r="12" spans="1:10" x14ac:dyDescent="0.25">
      <c r="D12" s="2" t="s">
        <v>9</v>
      </c>
      <c r="E12" s="2">
        <v>0</v>
      </c>
      <c r="F12" s="9">
        <v>-98000</v>
      </c>
      <c r="G12" s="9">
        <v>-133560</v>
      </c>
      <c r="H12" s="9">
        <v>-157304</v>
      </c>
      <c r="I12" s="9">
        <v>-183416.46400000004</v>
      </c>
      <c r="J12" s="9">
        <v>-159072.09696000002</v>
      </c>
    </row>
    <row r="13" spans="1:10" x14ac:dyDescent="0.25">
      <c r="D13" s="3" t="s">
        <v>8</v>
      </c>
      <c r="E13" s="2">
        <v>0</v>
      </c>
      <c r="F13" s="10">
        <f>SUM(F11:F12)</f>
        <v>98000</v>
      </c>
      <c r="G13" s="10">
        <f t="shared" ref="G13:J13" si="2">SUM(G11:G12)</f>
        <v>128520</v>
      </c>
      <c r="H13" s="10">
        <f t="shared" si="2"/>
        <v>145544</v>
      </c>
      <c r="I13" s="10">
        <f t="shared" si="2"/>
        <v>163041.64799999999</v>
      </c>
      <c r="J13" s="10">
        <f t="shared" si="2"/>
        <v>135732.26015999998</v>
      </c>
    </row>
    <row r="14" spans="1:10" x14ac:dyDescent="0.25">
      <c r="D14" s="2" t="s">
        <v>11</v>
      </c>
      <c r="E14" s="2">
        <v>0</v>
      </c>
      <c r="F14" s="9">
        <v>-40000</v>
      </c>
      <c r="G14" s="9">
        <v>-40000</v>
      </c>
      <c r="H14" s="9">
        <v>-40000</v>
      </c>
      <c r="I14" s="9">
        <v>-40000</v>
      </c>
      <c r="J14" s="9">
        <v>-40000</v>
      </c>
    </row>
    <row r="15" spans="1:10" x14ac:dyDescent="0.25">
      <c r="D15" s="2" t="s">
        <v>14</v>
      </c>
      <c r="E15" s="2">
        <v>0</v>
      </c>
      <c r="F15" s="9">
        <v>-38000</v>
      </c>
      <c r="G15" s="9">
        <v>-38000</v>
      </c>
      <c r="H15" s="9">
        <v>-38000</v>
      </c>
      <c r="I15" s="9">
        <v>-38000</v>
      </c>
      <c r="J15" s="9">
        <v>-38000</v>
      </c>
    </row>
    <row r="16" spans="1:10" x14ac:dyDescent="0.25">
      <c r="D16" s="3" t="s">
        <v>12</v>
      </c>
      <c r="E16" s="2">
        <v>0</v>
      </c>
      <c r="F16" s="10">
        <f>SUM(F13:F15)</f>
        <v>20000</v>
      </c>
      <c r="G16" s="10">
        <f t="shared" ref="G16:J16" si="3">SUM(G13:G15)</f>
        <v>50520</v>
      </c>
      <c r="H16" s="10">
        <f t="shared" si="3"/>
        <v>67544</v>
      </c>
      <c r="I16" s="10">
        <f t="shared" si="3"/>
        <v>85041.647999999986</v>
      </c>
      <c r="J16" s="10">
        <f t="shared" si="3"/>
        <v>57732.260159999976</v>
      </c>
    </row>
    <row r="17" spans="4:15" x14ac:dyDescent="0.25">
      <c r="D17" s="2" t="s">
        <v>13</v>
      </c>
      <c r="E17" s="2">
        <v>0</v>
      </c>
      <c r="F17" s="9">
        <f>-F16*34%</f>
        <v>-6800.0000000000009</v>
      </c>
      <c r="G17" s="9">
        <f t="shared" ref="G17:J17" si="4">-G16*34%</f>
        <v>-17176.800000000003</v>
      </c>
      <c r="H17" s="9">
        <f t="shared" si="4"/>
        <v>-22964.960000000003</v>
      </c>
      <c r="I17" s="9">
        <f t="shared" si="4"/>
        <v>-28914.160319999999</v>
      </c>
      <c r="J17" s="9">
        <f t="shared" si="4"/>
        <v>-19628.968454399994</v>
      </c>
    </row>
    <row r="18" spans="4:15" x14ac:dyDescent="0.25">
      <c r="D18" s="3" t="s">
        <v>15</v>
      </c>
      <c r="E18" s="13">
        <v>0</v>
      </c>
      <c r="F18" s="10">
        <f>SUM(F16:F17)</f>
        <v>13200</v>
      </c>
      <c r="G18" s="10">
        <f t="shared" ref="G18:J18" si="5">SUM(G16:G17)</f>
        <v>33343.199999999997</v>
      </c>
      <c r="H18" s="10">
        <f t="shared" si="5"/>
        <v>44579.039999999994</v>
      </c>
      <c r="I18" s="10">
        <f t="shared" si="5"/>
        <v>56127.487679999991</v>
      </c>
      <c r="J18" s="10">
        <f t="shared" si="5"/>
        <v>38103.291705599986</v>
      </c>
    </row>
    <row r="19" spans="4:15" x14ac:dyDescent="0.25">
      <c r="D19" s="2" t="s">
        <v>17</v>
      </c>
      <c r="E19" s="13">
        <v>0</v>
      </c>
      <c r="F19" s="12">
        <f>-F14</f>
        <v>40000</v>
      </c>
      <c r="G19" s="12">
        <f t="shared" ref="G19:J19" si="6">-G14</f>
        <v>40000</v>
      </c>
      <c r="H19" s="12">
        <f t="shared" si="6"/>
        <v>40000</v>
      </c>
      <c r="I19" s="12">
        <f t="shared" si="6"/>
        <v>40000</v>
      </c>
      <c r="J19" s="12">
        <f t="shared" si="6"/>
        <v>40000</v>
      </c>
    </row>
    <row r="20" spans="4:15" x14ac:dyDescent="0.25">
      <c r="D20" s="2" t="s">
        <v>18</v>
      </c>
      <c r="E20" s="11">
        <v>-200000</v>
      </c>
      <c r="F20" s="9">
        <v>0</v>
      </c>
      <c r="G20" s="9">
        <v>0</v>
      </c>
      <c r="H20" s="9">
        <v>0</v>
      </c>
      <c r="I20" s="9">
        <v>0</v>
      </c>
      <c r="J20" s="9">
        <v>0</v>
      </c>
    </row>
    <row r="21" spans="4:15" x14ac:dyDescent="0.25">
      <c r="D21" s="14" t="s">
        <v>21</v>
      </c>
      <c r="E21" s="16">
        <v>-19600</v>
      </c>
      <c r="F21" s="16">
        <v>-6608</v>
      </c>
      <c r="G21" s="16">
        <v>-4076.8000000000029</v>
      </c>
      <c r="H21" s="16">
        <v>-4361.0112000000008</v>
      </c>
      <c r="I21" s="17">
        <v>5165.3754880000015</v>
      </c>
      <c r="J21" s="17">
        <v>29480.435712000002</v>
      </c>
    </row>
    <row r="22" spans="4:15" x14ac:dyDescent="0.25">
      <c r="D22" s="3" t="s">
        <v>20</v>
      </c>
      <c r="E22" s="18">
        <f>SUM(E18:E21)</f>
        <v>-219600</v>
      </c>
      <c r="F22" s="19">
        <f t="shared" ref="F22:J22" si="7">SUM(F18:F21)</f>
        <v>46592</v>
      </c>
      <c r="G22" s="19">
        <f t="shared" si="7"/>
        <v>69266.399999999994</v>
      </c>
      <c r="H22" s="19">
        <f t="shared" si="7"/>
        <v>80218.0288</v>
      </c>
      <c r="I22" s="19">
        <f t="shared" si="7"/>
        <v>101292.863168</v>
      </c>
      <c r="J22" s="19">
        <f t="shared" si="7"/>
        <v>107583.72741759999</v>
      </c>
    </row>
    <row r="23" spans="4:15" x14ac:dyDescent="0.25">
      <c r="D23" s="14" t="s">
        <v>22</v>
      </c>
      <c r="E23" s="15">
        <v>0</v>
      </c>
      <c r="F23" s="15">
        <v>0</v>
      </c>
      <c r="G23" s="15">
        <v>0</v>
      </c>
      <c r="H23" s="15">
        <v>0</v>
      </c>
      <c r="I23" s="15">
        <v>0</v>
      </c>
      <c r="J23" s="17">
        <v>23099.999999999996</v>
      </c>
      <c r="K23" t="s">
        <v>44</v>
      </c>
      <c r="L23" t="s">
        <v>45</v>
      </c>
      <c r="M23" t="s">
        <v>50</v>
      </c>
      <c r="N23" t="s">
        <v>155</v>
      </c>
      <c r="O23" t="s">
        <v>156</v>
      </c>
    </row>
    <row r="24" spans="4:15" x14ac:dyDescent="0.25">
      <c r="D24" s="3" t="s">
        <v>23</v>
      </c>
      <c r="E24" s="18">
        <f>SUM(E22:E23)</f>
        <v>-219600</v>
      </c>
      <c r="F24" s="19">
        <f t="shared" ref="F24:J24" si="8">SUM(F22:F23)</f>
        <v>46592</v>
      </c>
      <c r="G24" s="19">
        <f t="shared" si="8"/>
        <v>69266.399999999994</v>
      </c>
      <c r="H24" s="19">
        <f t="shared" si="8"/>
        <v>80218.0288</v>
      </c>
      <c r="I24" s="19">
        <f t="shared" si="8"/>
        <v>101292.863168</v>
      </c>
      <c r="J24" s="19">
        <f t="shared" si="8"/>
        <v>130683.72741759999</v>
      </c>
      <c r="K24" s="48">
        <f>J24</f>
        <v>130683.72741759999</v>
      </c>
      <c r="L24" s="48">
        <f>K24</f>
        <v>130683.72741759999</v>
      </c>
      <c r="M24" s="48">
        <f>L24</f>
        <v>130683.72741759999</v>
      </c>
      <c r="O24" s="48">
        <f>M24</f>
        <v>130683.72741759999</v>
      </c>
    </row>
    <row r="25" spans="4:15" x14ac:dyDescent="0.25">
      <c r="D25" s="26">
        <f>NPV(15%,F24:J24)+E24</f>
        <v>48922.220620647538</v>
      </c>
      <c r="F25"/>
    </row>
    <row r="26" spans="4:15" x14ac:dyDescent="0.25">
      <c r="D26" s="71" t="s">
        <v>153</v>
      </c>
      <c r="E26" s="71"/>
      <c r="F26" s="71"/>
      <c r="G26" s="71"/>
      <c r="H26" s="71"/>
      <c r="I26" s="71"/>
      <c r="J26" s="71"/>
    </row>
    <row r="27" spans="4:15" x14ac:dyDescent="0.25">
      <c r="D27" s="72"/>
      <c r="E27" s="72"/>
      <c r="F27" s="72"/>
      <c r="G27" s="72"/>
      <c r="H27" s="72"/>
      <c r="I27" s="72"/>
      <c r="J27" s="72"/>
    </row>
    <row r="28" spans="4:15" x14ac:dyDescent="0.25">
      <c r="D28" s="2" t="s">
        <v>10</v>
      </c>
      <c r="E28" s="2">
        <v>0</v>
      </c>
      <c r="F28" s="9">
        <v>196000</v>
      </c>
      <c r="G28" s="9">
        <v>262080</v>
      </c>
      <c r="H28" s="9">
        <v>302848</v>
      </c>
      <c r="I28" s="9">
        <v>346458.11200000002</v>
      </c>
      <c r="J28" s="9">
        <v>294804.35712</v>
      </c>
    </row>
    <row r="29" spans="4:15" x14ac:dyDescent="0.25">
      <c r="D29" s="2" t="s">
        <v>9</v>
      </c>
      <c r="E29" s="2">
        <v>0</v>
      </c>
      <c r="F29" s="9">
        <v>-98000</v>
      </c>
      <c r="G29" s="9">
        <v>-133560</v>
      </c>
      <c r="H29" s="9">
        <v>-157304</v>
      </c>
      <c r="I29" s="9">
        <v>-183416.46400000004</v>
      </c>
      <c r="J29" s="9">
        <v>-159072.09696000002</v>
      </c>
    </row>
    <row r="30" spans="4:15" x14ac:dyDescent="0.25">
      <c r="D30" s="3" t="s">
        <v>8</v>
      </c>
      <c r="E30" s="2">
        <v>0</v>
      </c>
      <c r="F30" s="10">
        <f>SUM(F28:F29)</f>
        <v>98000</v>
      </c>
      <c r="G30" s="10">
        <f t="shared" ref="G30:J30" si="9">SUM(G28:G29)</f>
        <v>128520</v>
      </c>
      <c r="H30" s="10">
        <f t="shared" si="9"/>
        <v>145544</v>
      </c>
      <c r="I30" s="10">
        <f t="shared" si="9"/>
        <v>163041.64799999999</v>
      </c>
      <c r="J30" s="10">
        <f t="shared" si="9"/>
        <v>135732.26015999998</v>
      </c>
    </row>
    <row r="31" spans="4:15" x14ac:dyDescent="0.25">
      <c r="D31" s="2" t="s">
        <v>11</v>
      </c>
      <c r="E31" s="2">
        <v>0</v>
      </c>
      <c r="F31" s="9">
        <v>-40000</v>
      </c>
      <c r="G31" s="9">
        <v>-40000</v>
      </c>
      <c r="H31" s="9">
        <v>-40000</v>
      </c>
      <c r="I31" s="9">
        <v>-40000</v>
      </c>
      <c r="J31" s="9">
        <v>-40000</v>
      </c>
    </row>
    <row r="32" spans="4:15" x14ac:dyDescent="0.25">
      <c r="D32" s="2" t="s">
        <v>14</v>
      </c>
      <c r="E32" s="2">
        <v>0</v>
      </c>
      <c r="F32" s="9">
        <v>-38000</v>
      </c>
      <c r="G32" s="9">
        <v>-38000</v>
      </c>
      <c r="H32" s="9">
        <v>-38000</v>
      </c>
      <c r="I32" s="9">
        <v>-38000</v>
      </c>
      <c r="J32" s="9">
        <v>-38000</v>
      </c>
    </row>
    <row r="33" spans="4:105" x14ac:dyDescent="0.25">
      <c r="D33" s="3" t="s">
        <v>12</v>
      </c>
      <c r="E33" s="2">
        <v>0</v>
      </c>
      <c r="F33" s="10">
        <f>SUM(F30:F32)</f>
        <v>20000</v>
      </c>
      <c r="G33" s="10">
        <f t="shared" ref="G33:J33" si="10">SUM(G30:G32)</f>
        <v>50520</v>
      </c>
      <c r="H33" s="10">
        <f t="shared" si="10"/>
        <v>67544</v>
      </c>
      <c r="I33" s="10">
        <f t="shared" si="10"/>
        <v>85041.647999999986</v>
      </c>
      <c r="J33" s="10">
        <f t="shared" si="10"/>
        <v>57732.260159999976</v>
      </c>
    </row>
    <row r="34" spans="4:105" x14ac:dyDescent="0.25">
      <c r="D34" s="2" t="s">
        <v>13</v>
      </c>
      <c r="E34" s="2">
        <v>0</v>
      </c>
      <c r="F34" s="9">
        <f>-F33*34%</f>
        <v>-6800.0000000000009</v>
      </c>
      <c r="G34" s="9">
        <f t="shared" ref="G34:J34" si="11">-G33*34%</f>
        <v>-17176.800000000003</v>
      </c>
      <c r="H34" s="9">
        <f t="shared" si="11"/>
        <v>-22964.960000000003</v>
      </c>
      <c r="I34" s="9">
        <f t="shared" si="11"/>
        <v>-28914.160319999999</v>
      </c>
      <c r="J34" s="9">
        <f t="shared" si="11"/>
        <v>-19628.968454399994</v>
      </c>
    </row>
    <row r="35" spans="4:105" x14ac:dyDescent="0.25">
      <c r="D35" s="3" t="s">
        <v>15</v>
      </c>
      <c r="E35" s="13">
        <v>0</v>
      </c>
      <c r="F35" s="10">
        <f>SUM(F33:F34)</f>
        <v>13200</v>
      </c>
      <c r="G35" s="10">
        <f t="shared" ref="G35:J35" si="12">SUM(G33:G34)</f>
        <v>33343.199999999997</v>
      </c>
      <c r="H35" s="10">
        <f t="shared" si="12"/>
        <v>44579.039999999994</v>
      </c>
      <c r="I35" s="10">
        <f t="shared" si="12"/>
        <v>56127.487679999991</v>
      </c>
      <c r="J35" s="10">
        <f t="shared" si="12"/>
        <v>38103.291705599986</v>
      </c>
    </row>
    <row r="36" spans="4:105" x14ac:dyDescent="0.25">
      <c r="D36" s="2" t="s">
        <v>17</v>
      </c>
      <c r="E36" s="13">
        <v>0</v>
      </c>
      <c r="F36" s="12">
        <f>-F31</f>
        <v>40000</v>
      </c>
      <c r="G36" s="12">
        <f t="shared" ref="G36:J36" si="13">-G31</f>
        <v>40000</v>
      </c>
      <c r="H36" s="12">
        <f t="shared" si="13"/>
        <v>40000</v>
      </c>
      <c r="I36" s="12">
        <f t="shared" si="13"/>
        <v>40000</v>
      </c>
      <c r="J36" s="12">
        <f t="shared" si="13"/>
        <v>40000</v>
      </c>
    </row>
    <row r="37" spans="4:105" x14ac:dyDescent="0.25">
      <c r="D37" s="2" t="s">
        <v>18</v>
      </c>
      <c r="E37" s="11">
        <v>-200000</v>
      </c>
      <c r="F37" s="9">
        <v>0</v>
      </c>
      <c r="G37" s="9">
        <v>0</v>
      </c>
      <c r="H37" s="9">
        <v>0</v>
      </c>
      <c r="I37" s="9">
        <v>0</v>
      </c>
      <c r="J37" s="9">
        <v>0</v>
      </c>
    </row>
    <row r="38" spans="4:105" x14ac:dyDescent="0.25">
      <c r="D38" s="14" t="s">
        <v>21</v>
      </c>
      <c r="E38" s="16">
        <v>-19600</v>
      </c>
      <c r="F38" s="16">
        <v>-6608</v>
      </c>
      <c r="G38" s="16">
        <v>-4076.8000000000029</v>
      </c>
      <c r="H38" s="16">
        <v>-4361.0112000000008</v>
      </c>
      <c r="I38" s="17">
        <v>5165.3754880000015</v>
      </c>
      <c r="J38" s="17">
        <v>29480.435712000002</v>
      </c>
      <c r="K38" s="33">
        <v>6</v>
      </c>
      <c r="L38" s="33">
        <v>7</v>
      </c>
      <c r="M38" s="33">
        <v>8</v>
      </c>
      <c r="N38" s="33">
        <v>9</v>
      </c>
      <c r="O38" s="33">
        <v>10</v>
      </c>
      <c r="P38" s="33">
        <v>11</v>
      </c>
      <c r="Q38" s="33">
        <v>12</v>
      </c>
      <c r="R38" s="33">
        <v>13</v>
      </c>
      <c r="S38" s="33">
        <v>14</v>
      </c>
      <c r="T38" s="33">
        <v>15</v>
      </c>
      <c r="U38" s="33">
        <v>16</v>
      </c>
      <c r="V38" s="33">
        <v>17</v>
      </c>
      <c r="W38" s="33">
        <v>18</v>
      </c>
      <c r="X38" s="33">
        <v>19</v>
      </c>
      <c r="Y38" s="33">
        <v>20</v>
      </c>
      <c r="Z38" s="33">
        <v>21</v>
      </c>
      <c r="AA38" s="33">
        <v>22</v>
      </c>
      <c r="AB38" s="33">
        <v>23</v>
      </c>
      <c r="AC38" s="33">
        <v>24</v>
      </c>
      <c r="AD38" s="33">
        <v>25</v>
      </c>
      <c r="AE38" s="33">
        <v>26</v>
      </c>
      <c r="AF38" s="33">
        <v>27</v>
      </c>
      <c r="AG38" s="33">
        <v>28</v>
      </c>
      <c r="AH38" s="33">
        <v>29</v>
      </c>
      <c r="AI38" s="33">
        <v>30</v>
      </c>
      <c r="AJ38" s="33">
        <v>31</v>
      </c>
      <c r="AK38" s="33">
        <v>32</v>
      </c>
      <c r="AL38" s="33">
        <v>33</v>
      </c>
      <c r="AM38" s="33">
        <v>34</v>
      </c>
      <c r="AN38" s="33">
        <v>35</v>
      </c>
      <c r="AO38" s="33">
        <v>36</v>
      </c>
      <c r="AP38" s="33">
        <v>37</v>
      </c>
      <c r="AQ38" s="33">
        <v>38</v>
      </c>
      <c r="AR38" s="33">
        <v>39</v>
      </c>
      <c r="AS38" s="33">
        <v>40</v>
      </c>
      <c r="AT38" s="33">
        <v>41</v>
      </c>
      <c r="AU38" s="33">
        <v>42</v>
      </c>
      <c r="AV38" s="33">
        <v>43</v>
      </c>
      <c r="AW38" s="33">
        <v>44</v>
      </c>
      <c r="AX38" s="33">
        <v>45</v>
      </c>
      <c r="AY38" s="33">
        <v>46</v>
      </c>
      <c r="AZ38" s="33">
        <v>47</v>
      </c>
      <c r="BA38" s="33">
        <v>48</v>
      </c>
      <c r="BB38" s="33">
        <v>49</v>
      </c>
      <c r="BC38" s="33">
        <v>50</v>
      </c>
      <c r="BD38" s="33">
        <v>51</v>
      </c>
      <c r="BE38" s="33">
        <v>52</v>
      </c>
      <c r="BF38" s="33">
        <v>53</v>
      </c>
      <c r="BG38" s="33">
        <v>54</v>
      </c>
      <c r="BH38" s="33">
        <v>55</v>
      </c>
      <c r="BI38" s="33">
        <v>56</v>
      </c>
      <c r="BJ38" s="33">
        <v>57</v>
      </c>
      <c r="BK38" s="33">
        <v>58</v>
      </c>
      <c r="BL38" s="33">
        <v>59</v>
      </c>
      <c r="BM38" s="33">
        <v>60</v>
      </c>
      <c r="BN38" s="33">
        <v>61</v>
      </c>
      <c r="BO38" s="33">
        <v>62</v>
      </c>
      <c r="BP38" s="33">
        <v>63</v>
      </c>
      <c r="BQ38" s="33">
        <v>64</v>
      </c>
      <c r="BR38" s="33">
        <v>65</v>
      </c>
      <c r="BS38" s="33">
        <v>66</v>
      </c>
      <c r="BT38" s="33">
        <v>67</v>
      </c>
      <c r="BU38" s="33">
        <v>68</v>
      </c>
      <c r="BV38" s="33">
        <v>69</v>
      </c>
      <c r="BW38" s="33">
        <v>70</v>
      </c>
      <c r="BX38" s="33">
        <v>71</v>
      </c>
      <c r="BY38" s="33">
        <v>72</v>
      </c>
      <c r="BZ38" s="33">
        <v>73</v>
      </c>
      <c r="CA38" s="33">
        <v>74</v>
      </c>
      <c r="CB38" s="33">
        <v>75</v>
      </c>
      <c r="CC38" s="33">
        <v>76</v>
      </c>
      <c r="CD38" s="33">
        <v>77</v>
      </c>
      <c r="CE38" s="33">
        <v>78</v>
      </c>
      <c r="CF38" s="33">
        <v>79</v>
      </c>
      <c r="CG38" s="33">
        <v>80</v>
      </c>
      <c r="CH38" s="33">
        <v>81</v>
      </c>
      <c r="CI38" s="33">
        <v>82</v>
      </c>
      <c r="CJ38" s="33">
        <v>83</v>
      </c>
      <c r="CK38" s="33">
        <v>84</v>
      </c>
      <c r="CL38" s="33">
        <v>85</v>
      </c>
      <c r="CM38" s="33">
        <v>86</v>
      </c>
      <c r="CN38" s="33">
        <v>87</v>
      </c>
      <c r="CO38" s="33">
        <v>88</v>
      </c>
      <c r="CP38" s="33">
        <v>89</v>
      </c>
      <c r="CQ38" s="33">
        <v>90</v>
      </c>
      <c r="CR38" s="33">
        <v>91</v>
      </c>
      <c r="CS38" s="33">
        <v>92</v>
      </c>
      <c r="CT38" s="33">
        <v>93</v>
      </c>
      <c r="CU38" s="33">
        <v>94</v>
      </c>
      <c r="CV38" s="33">
        <v>95</v>
      </c>
      <c r="CW38" s="33">
        <v>96</v>
      </c>
      <c r="CX38" s="33">
        <v>97</v>
      </c>
      <c r="CY38" s="33">
        <v>98</v>
      </c>
      <c r="CZ38" s="33">
        <v>99</v>
      </c>
      <c r="DA38" s="33">
        <v>100</v>
      </c>
    </row>
    <row r="39" spans="4:105" x14ac:dyDescent="0.25">
      <c r="D39" s="3" t="s">
        <v>20</v>
      </c>
      <c r="E39" s="18">
        <f>SUM(E35:E38)</f>
        <v>-219600</v>
      </c>
      <c r="F39" s="19">
        <f t="shared" ref="F39:J39" si="14">SUM(F35:F38)</f>
        <v>46592</v>
      </c>
      <c r="G39" s="19">
        <f t="shared" si="14"/>
        <v>69266.399999999994</v>
      </c>
      <c r="H39" s="19">
        <f t="shared" si="14"/>
        <v>80218.0288</v>
      </c>
      <c r="I39" s="19">
        <f t="shared" si="14"/>
        <v>101292.863168</v>
      </c>
      <c r="J39" s="19">
        <f t="shared" si="14"/>
        <v>107583.72741759999</v>
      </c>
      <c r="K39" s="32" t="s">
        <v>44</v>
      </c>
      <c r="L39" s="32" t="s">
        <v>45</v>
      </c>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32"/>
      <c r="AM39" s="32"/>
      <c r="AN39" s="32"/>
      <c r="AO39" s="32"/>
      <c r="AP39" s="32"/>
      <c r="AQ39" s="32"/>
      <c r="AR39" s="32"/>
      <c r="AS39" s="32"/>
      <c r="AT39" s="32"/>
      <c r="AU39" s="32"/>
      <c r="AV39" s="32"/>
      <c r="AW39" s="32"/>
      <c r="AX39" s="32"/>
      <c r="AY39" s="32"/>
      <c r="AZ39" s="32"/>
      <c r="BA39" s="32"/>
      <c r="BB39" s="32"/>
      <c r="BC39" s="32"/>
      <c r="BD39" s="32"/>
      <c r="BE39" s="32"/>
      <c r="BF39" s="32"/>
      <c r="BG39" s="32"/>
      <c r="BH39" s="32"/>
      <c r="BI39" s="32"/>
      <c r="BJ39" s="32"/>
      <c r="BK39" s="32"/>
      <c r="BL39" s="32"/>
      <c r="BM39" s="32"/>
      <c r="BN39" s="32"/>
      <c r="BO39" s="32"/>
      <c r="BP39" s="32"/>
      <c r="BQ39" s="32"/>
      <c r="BR39" s="32"/>
      <c r="BS39" s="32"/>
      <c r="BT39" s="32"/>
      <c r="BU39" s="32"/>
      <c r="BV39" s="32"/>
      <c r="BW39" s="32"/>
      <c r="BX39" s="32"/>
      <c r="BY39" s="32"/>
      <c r="BZ39" s="32"/>
      <c r="CA39" s="32"/>
      <c r="CB39" s="32"/>
      <c r="CC39" s="32"/>
      <c r="CD39" s="32"/>
      <c r="CE39" s="32"/>
      <c r="CF39" s="32"/>
      <c r="CG39" s="32"/>
      <c r="CH39" s="32"/>
      <c r="CI39" s="32"/>
      <c r="CJ39" s="32"/>
      <c r="CK39" s="32"/>
      <c r="CL39" s="32"/>
      <c r="CM39" s="32"/>
      <c r="CN39" s="32"/>
      <c r="CO39" s="32"/>
      <c r="CP39" s="32"/>
      <c r="CQ39" s="32"/>
      <c r="CR39" s="32"/>
      <c r="CS39" s="32"/>
      <c r="CT39" s="32"/>
      <c r="CU39" s="32"/>
      <c r="CV39" s="32"/>
      <c r="CW39" s="32"/>
      <c r="CX39" s="32"/>
      <c r="CY39" s="32"/>
      <c r="CZ39" s="32"/>
      <c r="DA39" s="32"/>
    </row>
    <row r="40" spans="4:105" x14ac:dyDescent="0.25">
      <c r="D40" s="3" t="s">
        <v>23</v>
      </c>
      <c r="E40" s="18">
        <f t="shared" ref="E40:J40" si="15">SUM(E39:E39)</f>
        <v>-219600</v>
      </c>
      <c r="F40" s="19">
        <f t="shared" si="15"/>
        <v>46592</v>
      </c>
      <c r="G40" s="19">
        <f t="shared" si="15"/>
        <v>69266.399999999994</v>
      </c>
      <c r="H40" s="19">
        <f t="shared" si="15"/>
        <v>80218.0288</v>
      </c>
      <c r="I40" s="19">
        <f t="shared" si="15"/>
        <v>101292.863168</v>
      </c>
      <c r="J40" s="19">
        <f t="shared" si="15"/>
        <v>107583.72741759999</v>
      </c>
      <c r="K40" s="19">
        <f>J40</f>
        <v>107583.72741759999</v>
      </c>
      <c r="L40" s="19">
        <f t="shared" ref="L40:BW40" si="16">K40</f>
        <v>107583.72741759999</v>
      </c>
      <c r="M40" s="19">
        <f t="shared" si="16"/>
        <v>107583.72741759999</v>
      </c>
      <c r="N40" s="19">
        <f t="shared" si="16"/>
        <v>107583.72741759999</v>
      </c>
      <c r="O40" s="19">
        <f t="shared" si="16"/>
        <v>107583.72741759999</v>
      </c>
      <c r="P40" s="19">
        <f t="shared" si="16"/>
        <v>107583.72741759999</v>
      </c>
      <c r="Q40" s="19">
        <f t="shared" si="16"/>
        <v>107583.72741759999</v>
      </c>
      <c r="R40" s="19">
        <f t="shared" si="16"/>
        <v>107583.72741759999</v>
      </c>
      <c r="S40" s="19">
        <f t="shared" si="16"/>
        <v>107583.72741759999</v>
      </c>
      <c r="T40" s="19">
        <f t="shared" si="16"/>
        <v>107583.72741759999</v>
      </c>
      <c r="U40" s="19">
        <f t="shared" si="16"/>
        <v>107583.72741759999</v>
      </c>
      <c r="V40" s="19">
        <f t="shared" si="16"/>
        <v>107583.72741759999</v>
      </c>
      <c r="W40" s="19">
        <f t="shared" si="16"/>
        <v>107583.72741759999</v>
      </c>
      <c r="X40" s="19">
        <f t="shared" si="16"/>
        <v>107583.72741759999</v>
      </c>
      <c r="Y40" s="19">
        <f t="shared" si="16"/>
        <v>107583.72741759999</v>
      </c>
      <c r="Z40" s="19">
        <f t="shared" si="16"/>
        <v>107583.72741759999</v>
      </c>
      <c r="AA40" s="19">
        <f t="shared" si="16"/>
        <v>107583.72741759999</v>
      </c>
      <c r="AB40" s="19">
        <f t="shared" si="16"/>
        <v>107583.72741759999</v>
      </c>
      <c r="AC40" s="19">
        <f t="shared" si="16"/>
        <v>107583.72741759999</v>
      </c>
      <c r="AD40" s="19">
        <f t="shared" si="16"/>
        <v>107583.72741759999</v>
      </c>
      <c r="AE40" s="19">
        <f t="shared" si="16"/>
        <v>107583.72741759999</v>
      </c>
      <c r="AF40" s="19">
        <f t="shared" si="16"/>
        <v>107583.72741759999</v>
      </c>
      <c r="AG40" s="19">
        <f t="shared" si="16"/>
        <v>107583.72741759999</v>
      </c>
      <c r="AH40" s="19">
        <f t="shared" si="16"/>
        <v>107583.72741759999</v>
      </c>
      <c r="AI40" s="19">
        <f t="shared" si="16"/>
        <v>107583.72741759999</v>
      </c>
      <c r="AJ40" s="19">
        <f t="shared" si="16"/>
        <v>107583.72741759999</v>
      </c>
      <c r="AK40" s="19">
        <f t="shared" si="16"/>
        <v>107583.72741759999</v>
      </c>
      <c r="AL40" s="19">
        <f t="shared" si="16"/>
        <v>107583.72741759999</v>
      </c>
      <c r="AM40" s="19">
        <f t="shared" si="16"/>
        <v>107583.72741759999</v>
      </c>
      <c r="AN40" s="19">
        <f t="shared" si="16"/>
        <v>107583.72741759999</v>
      </c>
      <c r="AO40" s="19">
        <f t="shared" si="16"/>
        <v>107583.72741759999</v>
      </c>
      <c r="AP40" s="19">
        <f t="shared" si="16"/>
        <v>107583.72741759999</v>
      </c>
      <c r="AQ40" s="19">
        <f t="shared" si="16"/>
        <v>107583.72741759999</v>
      </c>
      <c r="AR40" s="19">
        <f t="shared" si="16"/>
        <v>107583.72741759999</v>
      </c>
      <c r="AS40" s="19">
        <f t="shared" si="16"/>
        <v>107583.72741759999</v>
      </c>
      <c r="AT40" s="19">
        <f t="shared" si="16"/>
        <v>107583.72741759999</v>
      </c>
      <c r="AU40" s="19">
        <f t="shared" si="16"/>
        <v>107583.72741759999</v>
      </c>
      <c r="AV40" s="19">
        <f t="shared" si="16"/>
        <v>107583.72741759999</v>
      </c>
      <c r="AW40" s="19">
        <f t="shared" si="16"/>
        <v>107583.72741759999</v>
      </c>
      <c r="AX40" s="19">
        <f t="shared" si="16"/>
        <v>107583.72741759999</v>
      </c>
      <c r="AY40" s="19">
        <f t="shared" si="16"/>
        <v>107583.72741759999</v>
      </c>
      <c r="AZ40" s="19">
        <f t="shared" si="16"/>
        <v>107583.72741759999</v>
      </c>
      <c r="BA40" s="19">
        <f t="shared" si="16"/>
        <v>107583.72741759999</v>
      </c>
      <c r="BB40" s="19">
        <f t="shared" si="16"/>
        <v>107583.72741759999</v>
      </c>
      <c r="BC40" s="19">
        <f t="shared" si="16"/>
        <v>107583.72741759999</v>
      </c>
      <c r="BD40" s="19">
        <f t="shared" si="16"/>
        <v>107583.72741759999</v>
      </c>
      <c r="BE40" s="19">
        <f t="shared" si="16"/>
        <v>107583.72741759999</v>
      </c>
      <c r="BF40" s="19">
        <f t="shared" si="16"/>
        <v>107583.72741759999</v>
      </c>
      <c r="BG40" s="19">
        <f t="shared" si="16"/>
        <v>107583.72741759999</v>
      </c>
      <c r="BH40" s="19">
        <f t="shared" si="16"/>
        <v>107583.72741759999</v>
      </c>
      <c r="BI40" s="19">
        <f t="shared" si="16"/>
        <v>107583.72741759999</v>
      </c>
      <c r="BJ40" s="19">
        <f t="shared" si="16"/>
        <v>107583.72741759999</v>
      </c>
      <c r="BK40" s="19">
        <f t="shared" si="16"/>
        <v>107583.72741759999</v>
      </c>
      <c r="BL40" s="19">
        <f t="shared" si="16"/>
        <v>107583.72741759999</v>
      </c>
      <c r="BM40" s="19">
        <f t="shared" si="16"/>
        <v>107583.72741759999</v>
      </c>
      <c r="BN40" s="19">
        <f t="shared" si="16"/>
        <v>107583.72741759999</v>
      </c>
      <c r="BO40" s="19">
        <f t="shared" si="16"/>
        <v>107583.72741759999</v>
      </c>
      <c r="BP40" s="19">
        <f t="shared" si="16"/>
        <v>107583.72741759999</v>
      </c>
      <c r="BQ40" s="19">
        <f t="shared" si="16"/>
        <v>107583.72741759999</v>
      </c>
      <c r="BR40" s="19">
        <f t="shared" si="16"/>
        <v>107583.72741759999</v>
      </c>
      <c r="BS40" s="19">
        <f t="shared" si="16"/>
        <v>107583.72741759999</v>
      </c>
      <c r="BT40" s="19">
        <f t="shared" si="16"/>
        <v>107583.72741759999</v>
      </c>
      <c r="BU40" s="19">
        <f t="shared" si="16"/>
        <v>107583.72741759999</v>
      </c>
      <c r="BV40" s="19">
        <f t="shared" si="16"/>
        <v>107583.72741759999</v>
      </c>
      <c r="BW40" s="19">
        <f t="shared" si="16"/>
        <v>107583.72741759999</v>
      </c>
      <c r="BX40" s="19">
        <f t="shared" ref="BX40:DA40" si="17">BW40</f>
        <v>107583.72741759999</v>
      </c>
      <c r="BY40" s="19">
        <f t="shared" si="17"/>
        <v>107583.72741759999</v>
      </c>
      <c r="BZ40" s="19">
        <f t="shared" si="17"/>
        <v>107583.72741759999</v>
      </c>
      <c r="CA40" s="19">
        <f t="shared" si="17"/>
        <v>107583.72741759999</v>
      </c>
      <c r="CB40" s="19">
        <f t="shared" si="17"/>
        <v>107583.72741759999</v>
      </c>
      <c r="CC40" s="19">
        <f t="shared" si="17"/>
        <v>107583.72741759999</v>
      </c>
      <c r="CD40" s="19">
        <f t="shared" si="17"/>
        <v>107583.72741759999</v>
      </c>
      <c r="CE40" s="19">
        <f t="shared" si="17"/>
        <v>107583.72741759999</v>
      </c>
      <c r="CF40" s="19">
        <f t="shared" si="17"/>
        <v>107583.72741759999</v>
      </c>
      <c r="CG40" s="19">
        <f t="shared" si="17"/>
        <v>107583.72741759999</v>
      </c>
      <c r="CH40" s="19">
        <f t="shared" si="17"/>
        <v>107583.72741759999</v>
      </c>
      <c r="CI40" s="19">
        <f t="shared" si="17"/>
        <v>107583.72741759999</v>
      </c>
      <c r="CJ40" s="19">
        <f t="shared" si="17"/>
        <v>107583.72741759999</v>
      </c>
      <c r="CK40" s="19">
        <f t="shared" si="17"/>
        <v>107583.72741759999</v>
      </c>
      <c r="CL40" s="19">
        <f t="shared" si="17"/>
        <v>107583.72741759999</v>
      </c>
      <c r="CM40" s="19">
        <f t="shared" si="17"/>
        <v>107583.72741759999</v>
      </c>
      <c r="CN40" s="19">
        <f t="shared" si="17"/>
        <v>107583.72741759999</v>
      </c>
      <c r="CO40" s="19">
        <f t="shared" si="17"/>
        <v>107583.72741759999</v>
      </c>
      <c r="CP40" s="19">
        <f t="shared" si="17"/>
        <v>107583.72741759999</v>
      </c>
      <c r="CQ40" s="19">
        <f t="shared" si="17"/>
        <v>107583.72741759999</v>
      </c>
      <c r="CR40" s="19">
        <f t="shared" si="17"/>
        <v>107583.72741759999</v>
      </c>
      <c r="CS40" s="19">
        <f t="shared" si="17"/>
        <v>107583.72741759999</v>
      </c>
      <c r="CT40" s="19">
        <f t="shared" si="17"/>
        <v>107583.72741759999</v>
      </c>
      <c r="CU40" s="19">
        <f t="shared" si="17"/>
        <v>107583.72741759999</v>
      </c>
      <c r="CV40" s="19">
        <f t="shared" si="17"/>
        <v>107583.72741759999</v>
      </c>
      <c r="CW40" s="19">
        <f t="shared" si="17"/>
        <v>107583.72741759999</v>
      </c>
      <c r="CX40" s="19">
        <f t="shared" si="17"/>
        <v>107583.72741759999</v>
      </c>
      <c r="CY40" s="19">
        <f t="shared" si="17"/>
        <v>107583.72741759999</v>
      </c>
      <c r="CZ40" s="19">
        <f t="shared" si="17"/>
        <v>107583.72741759999</v>
      </c>
      <c r="DA40" s="19">
        <f t="shared" si="17"/>
        <v>107583.72741759999</v>
      </c>
    </row>
    <row r="41" spans="4:105" x14ac:dyDescent="0.25">
      <c r="D41" s="26">
        <f>NPV(15%,F40:J40)+E40</f>
        <v>37437.438035257044</v>
      </c>
      <c r="E41" s="1" t="s">
        <v>41</v>
      </c>
      <c r="F41"/>
      <c r="K41" s="29">
        <f>K40/(1+15%)^K38</f>
        <v>46511.414233655203</v>
      </c>
      <c r="L41" s="29">
        <f t="shared" ref="L41:BW41" si="18">L40/(1+15%)^L38</f>
        <v>40444.708029265406</v>
      </c>
      <c r="M41" s="29">
        <f t="shared" si="18"/>
        <v>35169.311329796008</v>
      </c>
      <c r="N41" s="29">
        <f t="shared" si="18"/>
        <v>30582.009851996532</v>
      </c>
      <c r="O41" s="29">
        <f t="shared" si="18"/>
        <v>26593.052045214376</v>
      </c>
      <c r="P41" s="29">
        <f t="shared" si="18"/>
        <v>23124.393082795112</v>
      </c>
      <c r="Q41" s="29">
        <f t="shared" si="18"/>
        <v>20108.167898082709</v>
      </c>
      <c r="R41" s="29">
        <f t="shared" si="18"/>
        <v>17485.363389637139</v>
      </c>
      <c r="S41" s="29">
        <f t="shared" si="18"/>
        <v>15204.663817075772</v>
      </c>
      <c r="T41" s="29">
        <f t="shared" si="18"/>
        <v>13221.446797457196</v>
      </c>
      <c r="U41" s="29">
        <f t="shared" si="18"/>
        <v>11496.910258658434</v>
      </c>
      <c r="V41" s="29">
        <f t="shared" si="18"/>
        <v>9997.3132683986387</v>
      </c>
      <c r="W41" s="29">
        <f t="shared" si="18"/>
        <v>8693.3158855640359</v>
      </c>
      <c r="X41" s="29">
        <f t="shared" si="18"/>
        <v>7559.4051178817699</v>
      </c>
      <c r="Y41" s="29">
        <f t="shared" si="18"/>
        <v>6573.395754679801</v>
      </c>
      <c r="Z41" s="29">
        <f t="shared" si="18"/>
        <v>5715.9963084172177</v>
      </c>
      <c r="AA41" s="29">
        <f t="shared" si="18"/>
        <v>4970.4315725367114</v>
      </c>
      <c r="AB41" s="29">
        <f t="shared" si="18"/>
        <v>4322.1144109014895</v>
      </c>
      <c r="AC41" s="29">
        <f t="shared" si="18"/>
        <v>3758.360357305643</v>
      </c>
      <c r="AD41" s="29">
        <f t="shared" si="18"/>
        <v>3268.1394411353422</v>
      </c>
      <c r="AE41" s="29">
        <f t="shared" si="18"/>
        <v>2841.8603835959498</v>
      </c>
      <c r="AF41" s="29">
        <f t="shared" si="18"/>
        <v>2471.1829422573478</v>
      </c>
      <c r="AG41" s="29">
        <f t="shared" si="18"/>
        <v>2148.8547323976941</v>
      </c>
      <c r="AH41" s="29">
        <f t="shared" si="18"/>
        <v>1868.569332519734</v>
      </c>
      <c r="AI41" s="29">
        <f t="shared" si="18"/>
        <v>1624.8428978432469</v>
      </c>
      <c r="AJ41" s="29">
        <f t="shared" si="18"/>
        <v>1412.9068676897803</v>
      </c>
      <c r="AK41" s="29">
        <f t="shared" si="18"/>
        <v>1228.6146675563309</v>
      </c>
      <c r="AL41" s="29">
        <f t="shared" si="18"/>
        <v>1068.3605804837662</v>
      </c>
      <c r="AM41" s="29">
        <f t="shared" si="18"/>
        <v>929.00920042066628</v>
      </c>
      <c r="AN41" s="29">
        <f t="shared" si="18"/>
        <v>807.83408732231862</v>
      </c>
      <c r="AO41" s="29">
        <f t="shared" si="18"/>
        <v>702.46442375853792</v>
      </c>
      <c r="AP41" s="29">
        <f t="shared" si="18"/>
        <v>610.83862935525042</v>
      </c>
      <c r="AQ41" s="29">
        <f t="shared" si="18"/>
        <v>531.16402552630473</v>
      </c>
      <c r="AR41" s="29">
        <f t="shared" si="18"/>
        <v>461.88176132722162</v>
      </c>
      <c r="AS41" s="29">
        <f t="shared" si="18"/>
        <v>401.636314197584</v>
      </c>
      <c r="AT41" s="29">
        <f t="shared" si="18"/>
        <v>349.24896886746438</v>
      </c>
      <c r="AU41" s="29">
        <f t="shared" si="18"/>
        <v>303.69475553692558</v>
      </c>
      <c r="AV41" s="29">
        <f t="shared" si="18"/>
        <v>264.08239611906572</v>
      </c>
      <c r="AW41" s="29">
        <f t="shared" si="18"/>
        <v>229.63686619049199</v>
      </c>
      <c r="AX41" s="29">
        <f t="shared" si="18"/>
        <v>199.68423146999305</v>
      </c>
      <c r="AY41" s="29">
        <f t="shared" si="18"/>
        <v>173.63846214782004</v>
      </c>
      <c r="AZ41" s="29">
        <f t="shared" si="18"/>
        <v>150.98996708506095</v>
      </c>
      <c r="BA41" s="29">
        <f t="shared" si="18"/>
        <v>131.29562355222694</v>
      </c>
      <c r="BB41" s="29">
        <f t="shared" si="18"/>
        <v>114.17010743671906</v>
      </c>
      <c r="BC41" s="29">
        <f t="shared" si="18"/>
        <v>99.278354292799207</v>
      </c>
      <c r="BD41" s="29">
        <f t="shared" si="18"/>
        <v>86.329003732868884</v>
      </c>
      <c r="BE41" s="29">
        <f t="shared" si="18"/>
        <v>75.068698898146863</v>
      </c>
      <c r="BF41" s="29">
        <f t="shared" si="18"/>
        <v>65.277129476649449</v>
      </c>
      <c r="BG41" s="29">
        <f t="shared" si="18"/>
        <v>56.762721284042996</v>
      </c>
      <c r="BH41" s="29">
        <f t="shared" si="18"/>
        <v>49.358888073080877</v>
      </c>
      <c r="BI41" s="29">
        <f t="shared" si="18"/>
        <v>42.920772237461634</v>
      </c>
      <c r="BJ41" s="29">
        <f t="shared" si="18"/>
        <v>37.322410641270992</v>
      </c>
      <c r="BK41" s="29">
        <f t="shared" si="18"/>
        <v>32.454270122844342</v>
      </c>
      <c r="BL41" s="29">
        <f t="shared" si="18"/>
        <v>28.221104454647257</v>
      </c>
      <c r="BM41" s="29">
        <f t="shared" si="18"/>
        <v>24.540090830128051</v>
      </c>
      <c r="BN41" s="29">
        <f t="shared" si="18"/>
        <v>21.339209417502655</v>
      </c>
      <c r="BO41" s="29">
        <f t="shared" si="18"/>
        <v>18.555834276089264</v>
      </c>
      <c r="BP41" s="29">
        <f t="shared" si="18"/>
        <v>16.135508066164583</v>
      </c>
      <c r="BQ41" s="29">
        <f t="shared" si="18"/>
        <v>14.030876579273553</v>
      </c>
      <c r="BR41" s="29">
        <f t="shared" si="18"/>
        <v>12.200762242846567</v>
      </c>
      <c r="BS41" s="29">
        <f t="shared" si="18"/>
        <v>10.609358472040496</v>
      </c>
      <c r="BT41" s="29">
        <f t="shared" si="18"/>
        <v>9.2255291061221723</v>
      </c>
      <c r="BU41" s="29">
        <f t="shared" si="18"/>
        <v>8.0221992227149315</v>
      </c>
      <c r="BV41" s="29">
        <f t="shared" si="18"/>
        <v>6.9758254110564621</v>
      </c>
      <c r="BW41" s="29">
        <f t="shared" si="18"/>
        <v>6.0659351400490982</v>
      </c>
      <c r="BX41" s="29">
        <f t="shared" ref="BX41:DA41" si="19">BX40/(1+15%)^BX38</f>
        <v>5.2747262087383469</v>
      </c>
      <c r="BY41" s="29">
        <f t="shared" si="19"/>
        <v>4.586718442381172</v>
      </c>
      <c r="BZ41" s="29">
        <f t="shared" si="19"/>
        <v>3.9884508194618888</v>
      </c>
      <c r="CA41" s="29">
        <f t="shared" si="19"/>
        <v>3.468218103879904</v>
      </c>
      <c r="CB41" s="29">
        <f t="shared" si="19"/>
        <v>3.0158418294607858</v>
      </c>
      <c r="CC41" s="29">
        <f t="shared" si="19"/>
        <v>2.6224711560528577</v>
      </c>
      <c r="CD41" s="29">
        <f t="shared" si="19"/>
        <v>2.2804097009155284</v>
      </c>
      <c r="CE41" s="29">
        <f t="shared" si="19"/>
        <v>1.9829649573178509</v>
      </c>
      <c r="CF41" s="29">
        <f t="shared" si="19"/>
        <v>1.7243173541894359</v>
      </c>
      <c r="CG41" s="29">
        <f t="shared" si="19"/>
        <v>1.499406394947336</v>
      </c>
      <c r="CH41" s="29">
        <f t="shared" si="19"/>
        <v>1.3038316477802923</v>
      </c>
      <c r="CI41" s="29">
        <f t="shared" si="19"/>
        <v>1.1337666502437327</v>
      </c>
      <c r="CJ41" s="29">
        <f t="shared" si="19"/>
        <v>0.98588404369020222</v>
      </c>
      <c r="CK41" s="29">
        <f t="shared" si="19"/>
        <v>0.85729047277408899</v>
      </c>
      <c r="CL41" s="29">
        <f t="shared" si="19"/>
        <v>0.74546997632529488</v>
      </c>
      <c r="CM41" s="29">
        <f t="shared" si="19"/>
        <v>0.64823476202199548</v>
      </c>
      <c r="CN41" s="29">
        <f t="shared" si="19"/>
        <v>0.56368240175825701</v>
      </c>
      <c r="CO41" s="29">
        <f t="shared" si="19"/>
        <v>0.49015861022457141</v>
      </c>
      <c r="CP41" s="29">
        <f t="shared" si="19"/>
        <v>0.42622487845614909</v>
      </c>
      <c r="CQ41" s="29">
        <f t="shared" si="19"/>
        <v>0.37063032909230353</v>
      </c>
      <c r="CR41" s="29">
        <f t="shared" si="19"/>
        <v>0.32228724268895964</v>
      </c>
      <c r="CS41" s="29">
        <f t="shared" si="19"/>
        <v>0.28024977625126929</v>
      </c>
      <c r="CT41" s="29">
        <f t="shared" si="19"/>
        <v>0.24369545760979938</v>
      </c>
      <c r="CU41" s="29">
        <f t="shared" si="19"/>
        <v>0.21190909357373858</v>
      </c>
      <c r="CV41" s="29">
        <f t="shared" si="19"/>
        <v>0.18426877702064232</v>
      </c>
      <c r="CW41" s="29">
        <f t="shared" si="19"/>
        <v>0.16023371914838466</v>
      </c>
      <c r="CX41" s="29">
        <f t="shared" si="19"/>
        <v>0.13933366882468232</v>
      </c>
      <c r="CY41" s="29">
        <f t="shared" si="19"/>
        <v>0.12115971202146288</v>
      </c>
      <c r="CZ41" s="29">
        <f t="shared" si="19"/>
        <v>0.10535627132301123</v>
      </c>
      <c r="DA41" s="29">
        <f t="shared" si="19"/>
        <v>9.1614148976531501E-2</v>
      </c>
    </row>
    <row r="42" spans="4:105" x14ac:dyDescent="0.25">
      <c r="D42" s="47">
        <f>SUM(K41:DA41)</f>
        <v>356586.89836369676</v>
      </c>
      <c r="E42" s="1" t="s">
        <v>42</v>
      </c>
      <c r="L42" s="29">
        <f>L41+K41</f>
        <v>86956.122262920602</v>
      </c>
      <c r="M42" s="29">
        <f>M41+L42</f>
        <v>122125.43359271661</v>
      </c>
      <c r="N42" s="29">
        <f>N41+M42</f>
        <v>152707.44344471314</v>
      </c>
      <c r="O42" s="29">
        <f>O41+N42</f>
        <v>179300.4954899275</v>
      </c>
      <c r="P42" s="29">
        <f>P41+O42</f>
        <v>202424.88857272262</v>
      </c>
      <c r="Q42" s="29">
        <f t="shared" ref="Q42:AJ42" si="20">Q41+P42</f>
        <v>222533.05647080531</v>
      </c>
      <c r="R42" s="29">
        <f t="shared" si="20"/>
        <v>240018.41986044246</v>
      </c>
      <c r="S42" s="29">
        <f t="shared" si="20"/>
        <v>255223.08367751824</v>
      </c>
      <c r="T42" s="29">
        <f t="shared" si="20"/>
        <v>268444.53047497541</v>
      </c>
      <c r="U42" s="29">
        <f t="shared" si="20"/>
        <v>279941.44073363382</v>
      </c>
      <c r="V42" s="29">
        <f t="shared" si="20"/>
        <v>289938.75400203245</v>
      </c>
      <c r="W42" s="29">
        <f t="shared" si="20"/>
        <v>298632.06988759647</v>
      </c>
      <c r="X42" s="29">
        <f t="shared" si="20"/>
        <v>306191.47500547825</v>
      </c>
      <c r="Y42" s="29">
        <f t="shared" si="20"/>
        <v>312764.87076015805</v>
      </c>
      <c r="Z42" s="29">
        <f t="shared" si="20"/>
        <v>318480.86706857529</v>
      </c>
      <c r="AA42" s="29">
        <f t="shared" si="20"/>
        <v>323451.29864111199</v>
      </c>
      <c r="AB42" s="29">
        <f t="shared" si="20"/>
        <v>327773.41305201349</v>
      </c>
      <c r="AC42" s="29">
        <f t="shared" si="20"/>
        <v>331531.77340931911</v>
      </c>
      <c r="AD42" s="29">
        <f t="shared" si="20"/>
        <v>334799.91285045445</v>
      </c>
      <c r="AE42" s="29">
        <f t="shared" si="20"/>
        <v>337641.77323405037</v>
      </c>
      <c r="AF42" s="29">
        <f t="shared" si="20"/>
        <v>340112.95617630769</v>
      </c>
      <c r="AG42" s="29">
        <f t="shared" si="20"/>
        <v>342261.8109087054</v>
      </c>
      <c r="AH42" s="29">
        <f t="shared" si="20"/>
        <v>344130.38024122512</v>
      </c>
      <c r="AI42" s="29">
        <f t="shared" si="20"/>
        <v>345755.22313906834</v>
      </c>
      <c r="AJ42" s="29">
        <f t="shared" si="20"/>
        <v>347168.13000675815</v>
      </c>
      <c r="AK42" s="29">
        <f t="shared" ref="AK42" si="21">AK41+AJ42</f>
        <v>348396.74467431445</v>
      </c>
      <c r="AL42" s="29">
        <f t="shared" ref="AL42" si="22">AL41+AK42</f>
        <v>349465.1052547982</v>
      </c>
      <c r="AM42" s="29">
        <f t="shared" ref="AM42" si="23">AM41+AL42</f>
        <v>350394.11445521883</v>
      </c>
      <c r="AN42" s="29">
        <f t="shared" ref="AN42" si="24">AN41+AM42</f>
        <v>351201.94854254113</v>
      </c>
      <c r="AO42" s="29">
        <f t="shared" ref="AO42" si="25">AO41+AN42</f>
        <v>351904.41296629969</v>
      </c>
      <c r="AP42" s="29">
        <f t="shared" ref="AP42" si="26">AP41+AO42</f>
        <v>352515.25159565493</v>
      </c>
      <c r="AQ42" s="29">
        <f t="shared" ref="AQ42" si="27">AQ41+AP42</f>
        <v>353046.41562118125</v>
      </c>
      <c r="AR42" s="29">
        <f t="shared" ref="AR42" si="28">AR41+AQ42</f>
        <v>353508.29738250846</v>
      </c>
      <c r="AS42" s="29">
        <f t="shared" ref="AS42" si="29">AS41+AR42</f>
        <v>353909.93369670602</v>
      </c>
      <c r="AT42" s="29">
        <f t="shared" ref="AT42" si="30">AT41+AS42</f>
        <v>354259.18266557349</v>
      </c>
      <c r="AU42" s="29">
        <f t="shared" ref="AU42" si="31">AU41+AT42</f>
        <v>354562.8774211104</v>
      </c>
      <c r="AV42" s="29">
        <f t="shared" ref="AV42" si="32">AV41+AU42</f>
        <v>354826.95981722948</v>
      </c>
      <c r="AW42" s="29">
        <f t="shared" ref="AW42" si="33">AW41+AV42</f>
        <v>355056.59668341995</v>
      </c>
      <c r="AX42" s="29">
        <f t="shared" ref="AX42" si="34">AX41+AW42</f>
        <v>355256.28091488994</v>
      </c>
      <c r="AY42" s="29">
        <f t="shared" ref="AY42" si="35">AY41+AX42</f>
        <v>355429.91937703773</v>
      </c>
      <c r="AZ42" s="29">
        <f t="shared" ref="AZ42" si="36">AZ41+AY42</f>
        <v>355580.9093441228</v>
      </c>
      <c r="BA42" s="29">
        <f t="shared" ref="BA42" si="37">BA41+AZ42</f>
        <v>355712.20496767503</v>
      </c>
      <c r="BB42" s="29">
        <f t="shared" ref="BB42" si="38">BB41+BA42</f>
        <v>355826.37507511175</v>
      </c>
      <c r="BC42" s="29">
        <f t="shared" ref="BC42" si="39">BC41+BB42</f>
        <v>355925.65342940454</v>
      </c>
      <c r="BD42" s="29">
        <f t="shared" ref="BD42" si="40">BD41+BC42</f>
        <v>356011.98243313743</v>
      </c>
      <c r="BE42" s="29">
        <f t="shared" ref="BE42" si="41">BE41+BD42</f>
        <v>356087.05113203556</v>
      </c>
      <c r="BF42" s="29">
        <f t="shared" ref="BF42" si="42">BF41+BE42</f>
        <v>356152.32826151222</v>
      </c>
      <c r="BG42" s="29">
        <f t="shared" ref="BG42" si="43">BG41+BF42</f>
        <v>356209.09098279628</v>
      </c>
      <c r="BH42" s="29">
        <f t="shared" ref="BH42" si="44">BH41+BG42</f>
        <v>356258.44987086934</v>
      </c>
      <c r="BI42" s="29">
        <f t="shared" ref="BI42" si="45">BI41+BH42</f>
        <v>356301.37064310681</v>
      </c>
      <c r="BJ42" s="29">
        <f t="shared" ref="BJ42" si="46">BJ41+BI42</f>
        <v>356338.69305374811</v>
      </c>
      <c r="BK42" s="29">
        <f t="shared" ref="BK42" si="47">BK41+BJ42</f>
        <v>356371.14732387097</v>
      </c>
      <c r="BL42" s="29">
        <f t="shared" ref="BL42" si="48">BL41+BK42</f>
        <v>356399.36842832563</v>
      </c>
      <c r="BM42" s="29">
        <f t="shared" ref="BM42" si="49">BM41+BL42</f>
        <v>356423.90851915575</v>
      </c>
      <c r="BN42" s="29">
        <f t="shared" ref="BN42" si="50">BN41+BM42</f>
        <v>356445.24772857327</v>
      </c>
      <c r="BO42" s="29">
        <f t="shared" ref="BO42" si="51">BO41+BN42</f>
        <v>356463.80356284935</v>
      </c>
      <c r="BP42" s="29">
        <f t="shared" ref="BP42" si="52">BP41+BO42</f>
        <v>356479.93907091551</v>
      </c>
      <c r="BQ42" s="29">
        <f t="shared" ref="BQ42" si="53">BQ41+BP42</f>
        <v>356493.9699474948</v>
      </c>
      <c r="BR42" s="29">
        <f t="shared" ref="BR42" si="54">BR41+BQ42</f>
        <v>356506.17070973763</v>
      </c>
      <c r="BS42" s="29">
        <f t="shared" ref="BS42" si="55">BS41+BR42</f>
        <v>356516.78006820969</v>
      </c>
      <c r="BT42" s="29">
        <f t="shared" ref="BT42" si="56">BT41+BS42</f>
        <v>356526.00559731579</v>
      </c>
      <c r="BU42" s="29">
        <f t="shared" ref="BU42" si="57">BU41+BT42</f>
        <v>356534.02779653849</v>
      </c>
      <c r="BV42" s="29">
        <f t="shared" ref="BV42" si="58">BV41+BU42</f>
        <v>356541.00362194952</v>
      </c>
      <c r="BW42" s="29">
        <f t="shared" ref="BW42" si="59">BW41+BV42</f>
        <v>356547.06955708959</v>
      </c>
      <c r="BX42" s="29">
        <f t="shared" ref="BX42" si="60">BX41+BW42</f>
        <v>356552.34428329836</v>
      </c>
      <c r="BY42" s="29">
        <f t="shared" ref="BY42" si="61">BY41+BX42</f>
        <v>356556.93100174074</v>
      </c>
      <c r="BZ42" s="29">
        <f t="shared" ref="BZ42" si="62">BZ41+BY42</f>
        <v>356560.91945256019</v>
      </c>
      <c r="CA42" s="29">
        <f t="shared" ref="CA42" si="63">CA41+BZ42</f>
        <v>356564.38767066406</v>
      </c>
      <c r="CB42" s="29">
        <f t="shared" ref="CB42" si="64">CB41+CA42</f>
        <v>356567.40351249353</v>
      </c>
      <c r="CC42" s="29">
        <f t="shared" ref="CC42" si="65">CC41+CB42</f>
        <v>356570.0259836496</v>
      </c>
      <c r="CD42" s="29">
        <f t="shared" ref="CD42" si="66">CD41+CC42</f>
        <v>356572.30639335053</v>
      </c>
      <c r="CE42" s="29">
        <f t="shared" ref="CE42" si="67">CE41+CD42</f>
        <v>356574.28935830784</v>
      </c>
      <c r="CF42" s="29">
        <f t="shared" ref="CF42" si="68">CF41+CE42</f>
        <v>356576.01367566205</v>
      </c>
      <c r="CG42" s="29">
        <f t="shared" ref="CG42" si="69">CG41+CF42</f>
        <v>356577.513082057</v>
      </c>
      <c r="CH42" s="29">
        <f t="shared" ref="CH42" si="70">CH41+CG42</f>
        <v>356578.8169137048</v>
      </c>
      <c r="CI42" s="29">
        <f t="shared" ref="CI42" si="71">CI41+CH42</f>
        <v>356579.95068035502</v>
      </c>
      <c r="CJ42" s="29">
        <f t="shared" ref="CJ42" si="72">CJ41+CI42</f>
        <v>356580.9365643987</v>
      </c>
      <c r="CK42" s="29">
        <f t="shared" ref="CK42" si="73">CK41+CJ42</f>
        <v>356581.79385487147</v>
      </c>
      <c r="CL42" s="29">
        <f t="shared" ref="CL42" si="74">CL41+CK42</f>
        <v>356582.53932484781</v>
      </c>
      <c r="CM42" s="29">
        <f t="shared" ref="CM42" si="75">CM41+CL42</f>
        <v>356583.18755960983</v>
      </c>
      <c r="CN42" s="29">
        <f t="shared" ref="CN42" si="76">CN41+CM42</f>
        <v>356583.75124201161</v>
      </c>
      <c r="CO42" s="29">
        <f t="shared" ref="CO42" si="77">CO41+CN42</f>
        <v>356584.24140062183</v>
      </c>
      <c r="CP42" s="29">
        <f t="shared" ref="CP42" si="78">CP41+CO42</f>
        <v>356584.6676255003</v>
      </c>
      <c r="CQ42" s="29">
        <f t="shared" ref="CQ42" si="79">CQ41+CP42</f>
        <v>356585.03825582936</v>
      </c>
      <c r="CR42" s="29">
        <f t="shared" ref="CR42" si="80">CR41+CQ42</f>
        <v>356585.36054307205</v>
      </c>
      <c r="CS42" s="29">
        <f t="shared" ref="CS42" si="81">CS41+CR42</f>
        <v>356585.64079284831</v>
      </c>
      <c r="CT42" s="29">
        <f t="shared" ref="CT42" si="82">CT41+CS42</f>
        <v>356585.88448830589</v>
      </c>
      <c r="CU42" s="29">
        <f t="shared" ref="CU42" si="83">CU41+CT42</f>
        <v>356586.09639739944</v>
      </c>
      <c r="CV42" s="29">
        <f t="shared" ref="CV42" si="84">CV41+CU42</f>
        <v>356586.28066617646</v>
      </c>
      <c r="CW42" s="29">
        <f t="shared" ref="CW42" si="85">CW41+CV42</f>
        <v>356586.44089989562</v>
      </c>
      <c r="CX42" s="29">
        <f t="shared" ref="CX42" si="86">CX41+CW42</f>
        <v>356586.58023356443</v>
      </c>
      <c r="CY42" s="29">
        <f t="shared" ref="CY42" si="87">CY41+CX42</f>
        <v>356586.70139327645</v>
      </c>
      <c r="CZ42" s="29">
        <f t="shared" ref="CZ42" si="88">CZ41+CY42</f>
        <v>356586.80674954777</v>
      </c>
      <c r="DA42" s="29">
        <f t="shared" ref="DA42" si="89">DA41+CZ42</f>
        <v>356586.89836369676</v>
      </c>
    </row>
    <row r="43" spans="4:105" x14ac:dyDescent="0.25">
      <c r="D43" s="1">
        <f>(J40/15%)/(1+15%)^5</f>
        <v>356587.50912468991</v>
      </c>
      <c r="E43" s="1" t="s">
        <v>43</v>
      </c>
      <c r="H43" s="29">
        <f>K40/15%</f>
        <v>717224.84945066669</v>
      </c>
      <c r="I43" t="s">
        <v>157</v>
      </c>
    </row>
    <row r="44" spans="4:105" x14ac:dyDescent="0.25">
      <c r="D44" s="34">
        <f>D41+D42</f>
        <v>394024.3363989538</v>
      </c>
      <c r="E44" s="34" t="s">
        <v>46</v>
      </c>
      <c r="H44" s="49">
        <f>H43/(1+15%)^5</f>
        <v>356587.50912468991</v>
      </c>
      <c r="I44" t="s">
        <v>158</v>
      </c>
    </row>
    <row r="45" spans="4:105" x14ac:dyDescent="0.25">
      <c r="D45" s="34">
        <f>D41+D43</f>
        <v>394024.94715994695</v>
      </c>
      <c r="E45" s="34" t="s">
        <v>47</v>
      </c>
    </row>
    <row r="46" spans="4:105" x14ac:dyDescent="0.25">
      <c r="D46" s="34"/>
      <c r="E46" s="34"/>
    </row>
    <row r="47" spans="4:105" x14ac:dyDescent="0.25">
      <c r="D47" s="34"/>
      <c r="E47" s="34"/>
    </row>
    <row r="48" spans="4:105" x14ac:dyDescent="0.25">
      <c r="D48" s="75" t="s">
        <v>48</v>
      </c>
      <c r="E48" s="75"/>
      <c r="F48" s="75"/>
      <c r="G48" s="75"/>
      <c r="H48" s="75"/>
      <c r="I48" s="75"/>
      <c r="J48" s="75"/>
    </row>
    <row r="49" spans="4:10" x14ac:dyDescent="0.25">
      <c r="D49" s="75"/>
      <c r="E49" s="75"/>
      <c r="F49" s="75"/>
      <c r="G49" s="75"/>
      <c r="H49" s="75"/>
      <c r="I49" s="75"/>
      <c r="J49" s="75"/>
    </row>
    <row r="50" spans="4:10" x14ac:dyDescent="0.25">
      <c r="D50" s="75"/>
      <c r="E50" s="75"/>
      <c r="F50" s="75"/>
      <c r="G50" s="75"/>
      <c r="H50" s="75"/>
      <c r="I50" s="75"/>
      <c r="J50" s="75"/>
    </row>
    <row r="51" spans="4:10" x14ac:dyDescent="0.25">
      <c r="D51" s="75"/>
      <c r="E51" s="75"/>
      <c r="F51" s="75"/>
      <c r="G51" s="75"/>
      <c r="H51" s="75"/>
      <c r="I51" s="75"/>
      <c r="J51" s="75"/>
    </row>
    <row r="52" spans="4:10" x14ac:dyDescent="0.25">
      <c r="D52" s="75"/>
      <c r="E52" s="75"/>
      <c r="F52" s="75"/>
      <c r="G52" s="75"/>
      <c r="H52" s="75"/>
      <c r="I52" s="75"/>
      <c r="J52" s="75"/>
    </row>
    <row r="53" spans="4:10" x14ac:dyDescent="0.25">
      <c r="D53" s="75"/>
      <c r="E53" s="75"/>
      <c r="F53" s="75"/>
      <c r="G53" s="75"/>
      <c r="H53" s="75"/>
      <c r="I53" s="75"/>
      <c r="J53" s="75"/>
    </row>
    <row r="54" spans="4:10" x14ac:dyDescent="0.25">
      <c r="D54" s="75"/>
      <c r="E54" s="75"/>
      <c r="F54" s="75"/>
      <c r="G54" s="75"/>
      <c r="H54" s="75"/>
      <c r="I54" s="75"/>
      <c r="J54" s="75"/>
    </row>
    <row r="55" spans="4:10" x14ac:dyDescent="0.25">
      <c r="D55" s="75"/>
      <c r="E55" s="75"/>
      <c r="F55" s="75"/>
      <c r="G55" s="75"/>
      <c r="H55" s="75"/>
      <c r="I55" s="75"/>
      <c r="J55" s="75"/>
    </row>
    <row r="56" spans="4:10" x14ac:dyDescent="0.25">
      <c r="D56" s="75"/>
      <c r="E56" s="75"/>
      <c r="F56" s="75"/>
      <c r="G56" s="75"/>
      <c r="H56" s="75"/>
      <c r="I56" s="75"/>
      <c r="J56" s="75"/>
    </row>
    <row r="57" spans="4:10" x14ac:dyDescent="0.25">
      <c r="D57" s="75"/>
      <c r="E57" s="75"/>
      <c r="F57" s="75"/>
      <c r="G57" s="75"/>
      <c r="H57" s="75"/>
      <c r="I57" s="75"/>
      <c r="J57" s="75"/>
    </row>
    <row r="58" spans="4:10" x14ac:dyDescent="0.25">
      <c r="D58" s="75"/>
      <c r="E58" s="75"/>
      <c r="F58" s="75"/>
      <c r="G58" s="75"/>
      <c r="H58" s="75"/>
      <c r="I58" s="75"/>
      <c r="J58" s="75"/>
    </row>
    <row r="59" spans="4:10" x14ac:dyDescent="0.25">
      <c r="D59" s="75"/>
      <c r="E59" s="75"/>
      <c r="F59" s="75"/>
      <c r="G59" s="75"/>
      <c r="H59" s="75"/>
      <c r="I59" s="75"/>
      <c r="J59" s="75"/>
    </row>
    <row r="60" spans="4:10" x14ac:dyDescent="0.25">
      <c r="D60" s="75"/>
      <c r="E60" s="75"/>
      <c r="F60" s="75"/>
      <c r="G60" s="75"/>
      <c r="H60" s="75"/>
      <c r="I60" s="75"/>
      <c r="J60" s="75"/>
    </row>
    <row r="61" spans="4:10" x14ac:dyDescent="0.25">
      <c r="D61" s="75"/>
      <c r="E61" s="75"/>
      <c r="F61" s="75"/>
      <c r="G61" s="75"/>
      <c r="H61" s="75"/>
      <c r="I61" s="75"/>
      <c r="J61" s="75"/>
    </row>
    <row r="62" spans="4:10" x14ac:dyDescent="0.25">
      <c r="D62" s="75"/>
      <c r="E62" s="75"/>
      <c r="F62" s="75"/>
      <c r="G62" s="75"/>
      <c r="H62" s="75"/>
      <c r="I62" s="75"/>
      <c r="J62" s="75"/>
    </row>
    <row r="63" spans="4:10" x14ac:dyDescent="0.25">
      <c r="D63" s="34"/>
      <c r="E63" s="34"/>
    </row>
    <row r="64" spans="4:10" x14ac:dyDescent="0.25">
      <c r="D64" s="34"/>
      <c r="E64" s="34"/>
    </row>
    <row r="65" spans="4:105" x14ac:dyDescent="0.25">
      <c r="D65" s="71" t="s">
        <v>154</v>
      </c>
      <c r="E65" s="71"/>
      <c r="F65" s="71"/>
      <c r="G65" s="71"/>
      <c r="H65" s="71"/>
      <c r="I65" s="71"/>
      <c r="J65" s="71"/>
    </row>
    <row r="66" spans="4:105" x14ac:dyDescent="0.25">
      <c r="D66" s="72"/>
      <c r="E66" s="72"/>
      <c r="F66" s="72"/>
      <c r="G66" s="72"/>
      <c r="H66" s="72"/>
      <c r="I66" s="72"/>
      <c r="J66" s="72"/>
    </row>
    <row r="67" spans="4:105" x14ac:dyDescent="0.25">
      <c r="D67" s="2" t="s">
        <v>10</v>
      </c>
      <c r="E67" s="2">
        <v>0</v>
      </c>
      <c r="F67" s="9">
        <v>196000</v>
      </c>
      <c r="G67" s="9">
        <v>262080</v>
      </c>
      <c r="H67" s="9">
        <v>302848</v>
      </c>
      <c r="I67" s="9">
        <v>346458.11200000002</v>
      </c>
      <c r="J67" s="9">
        <v>294804.35712</v>
      </c>
    </row>
    <row r="68" spans="4:105" x14ac:dyDescent="0.25">
      <c r="D68" s="2" t="s">
        <v>9</v>
      </c>
      <c r="E68" s="2">
        <v>0</v>
      </c>
      <c r="F68" s="9">
        <v>-98000</v>
      </c>
      <c r="G68" s="9">
        <v>-133560</v>
      </c>
      <c r="H68" s="9">
        <v>-157304</v>
      </c>
      <c r="I68" s="9">
        <v>-183416.46400000004</v>
      </c>
      <c r="J68" s="9">
        <v>-159072.09696000002</v>
      </c>
    </row>
    <row r="69" spans="4:105" x14ac:dyDescent="0.25">
      <c r="D69" s="3" t="s">
        <v>8</v>
      </c>
      <c r="E69" s="2">
        <v>0</v>
      </c>
      <c r="F69" s="10">
        <f>SUM(F67:F68)</f>
        <v>98000</v>
      </c>
      <c r="G69" s="10">
        <f t="shared" ref="G69:J69" si="90">SUM(G67:G68)</f>
        <v>128520</v>
      </c>
      <c r="H69" s="10">
        <f t="shared" si="90"/>
        <v>145544</v>
      </c>
      <c r="I69" s="10">
        <f t="shared" si="90"/>
        <v>163041.64799999999</v>
      </c>
      <c r="J69" s="10">
        <f t="shared" si="90"/>
        <v>135732.26015999998</v>
      </c>
    </row>
    <row r="70" spans="4:105" x14ac:dyDescent="0.25">
      <c r="D70" s="2" t="s">
        <v>11</v>
      </c>
      <c r="E70" s="2">
        <v>0</v>
      </c>
      <c r="F70" s="9">
        <v>-40000</v>
      </c>
      <c r="G70" s="9">
        <v>-40000</v>
      </c>
      <c r="H70" s="9">
        <v>-40000</v>
      </c>
      <c r="I70" s="9">
        <v>-40000</v>
      </c>
      <c r="J70" s="9">
        <v>-40000</v>
      </c>
    </row>
    <row r="71" spans="4:105" x14ac:dyDescent="0.25">
      <c r="D71" s="2" t="s">
        <v>14</v>
      </c>
      <c r="E71" s="2">
        <v>0</v>
      </c>
      <c r="F71" s="9">
        <v>-38000</v>
      </c>
      <c r="G71" s="9">
        <v>-38000</v>
      </c>
      <c r="H71" s="9">
        <v>-38000</v>
      </c>
      <c r="I71" s="9">
        <v>-38000</v>
      </c>
      <c r="J71" s="9">
        <v>-38000</v>
      </c>
    </row>
    <row r="72" spans="4:105" x14ac:dyDescent="0.25">
      <c r="D72" s="3" t="s">
        <v>12</v>
      </c>
      <c r="E72" s="2">
        <v>0</v>
      </c>
      <c r="F72" s="10">
        <f>SUM(F69:F71)</f>
        <v>20000</v>
      </c>
      <c r="G72" s="10">
        <f t="shared" ref="G72:J72" si="91">SUM(G69:G71)</f>
        <v>50520</v>
      </c>
      <c r="H72" s="10">
        <f t="shared" si="91"/>
        <v>67544</v>
      </c>
      <c r="I72" s="10">
        <f t="shared" si="91"/>
        <v>85041.647999999986</v>
      </c>
      <c r="J72" s="10">
        <f t="shared" si="91"/>
        <v>57732.260159999976</v>
      </c>
    </row>
    <row r="73" spans="4:105" x14ac:dyDescent="0.25">
      <c r="D73" s="2" t="s">
        <v>13</v>
      </c>
      <c r="E73" s="2">
        <v>0</v>
      </c>
      <c r="F73" s="9">
        <f>-F72*34%</f>
        <v>-6800.0000000000009</v>
      </c>
      <c r="G73" s="9">
        <f t="shared" ref="G73:J73" si="92">-G72*34%</f>
        <v>-17176.800000000003</v>
      </c>
      <c r="H73" s="9">
        <f t="shared" si="92"/>
        <v>-22964.960000000003</v>
      </c>
      <c r="I73" s="9">
        <f t="shared" si="92"/>
        <v>-28914.160319999999</v>
      </c>
      <c r="J73" s="9">
        <f t="shared" si="92"/>
        <v>-19628.968454399994</v>
      </c>
    </row>
    <row r="74" spans="4:105" x14ac:dyDescent="0.25">
      <c r="D74" s="3" t="s">
        <v>15</v>
      </c>
      <c r="E74" s="13">
        <v>0</v>
      </c>
      <c r="F74" s="10">
        <f>SUM(F72:F73)</f>
        <v>13200</v>
      </c>
      <c r="G74" s="10">
        <f t="shared" ref="G74:J74" si="93">SUM(G72:G73)</f>
        <v>33343.199999999997</v>
      </c>
      <c r="H74" s="10">
        <f t="shared" si="93"/>
        <v>44579.039999999994</v>
      </c>
      <c r="I74" s="10">
        <f t="shared" si="93"/>
        <v>56127.487679999991</v>
      </c>
      <c r="J74" s="10">
        <f t="shared" si="93"/>
        <v>38103.291705599986</v>
      </c>
    </row>
    <row r="75" spans="4:105" x14ac:dyDescent="0.25">
      <c r="D75" s="2" t="s">
        <v>17</v>
      </c>
      <c r="E75" s="13">
        <v>0</v>
      </c>
      <c r="F75" s="12">
        <f>-F70</f>
        <v>40000</v>
      </c>
      <c r="G75" s="12">
        <f t="shared" ref="G75:J75" si="94">-G70</f>
        <v>40000</v>
      </c>
      <c r="H75" s="12">
        <f t="shared" si="94"/>
        <v>40000</v>
      </c>
      <c r="I75" s="12">
        <f t="shared" si="94"/>
        <v>40000</v>
      </c>
      <c r="J75" s="12">
        <f t="shared" si="94"/>
        <v>40000</v>
      </c>
    </row>
    <row r="76" spans="4:105" x14ac:dyDescent="0.25">
      <c r="D76" s="2" t="s">
        <v>18</v>
      </c>
      <c r="E76" s="11">
        <v>-200000</v>
      </c>
      <c r="F76" s="9">
        <v>0</v>
      </c>
      <c r="G76" s="9">
        <v>0</v>
      </c>
      <c r="H76" s="9">
        <v>0</v>
      </c>
      <c r="I76" s="9">
        <v>0</v>
      </c>
      <c r="J76" s="9">
        <v>0</v>
      </c>
    </row>
    <row r="77" spans="4:105" x14ac:dyDescent="0.25">
      <c r="D77" s="14" t="s">
        <v>21</v>
      </c>
      <c r="E77" s="16">
        <v>-19600</v>
      </c>
      <c r="F77" s="16">
        <v>-6608</v>
      </c>
      <c r="G77" s="16">
        <v>-4076.8000000000029</v>
      </c>
      <c r="H77" s="16">
        <v>-4361.0112000000008</v>
      </c>
      <c r="I77" s="17">
        <v>5165.3754880000015</v>
      </c>
      <c r="J77" s="17">
        <v>29480.435712000002</v>
      </c>
      <c r="K77" s="33">
        <v>6</v>
      </c>
      <c r="L77" s="33">
        <v>7</v>
      </c>
      <c r="M77" s="33">
        <v>8</v>
      </c>
      <c r="N77" s="33">
        <v>9</v>
      </c>
      <c r="O77" s="33">
        <v>10</v>
      </c>
      <c r="P77" s="33">
        <v>11</v>
      </c>
      <c r="Q77" s="33">
        <v>12</v>
      </c>
      <c r="R77" s="33">
        <v>13</v>
      </c>
      <c r="S77" s="33">
        <v>14</v>
      </c>
      <c r="T77" s="33">
        <v>15</v>
      </c>
      <c r="U77" s="33">
        <v>16</v>
      </c>
      <c r="V77" s="33">
        <v>17</v>
      </c>
      <c r="W77" s="33">
        <v>18</v>
      </c>
      <c r="X77" s="33">
        <v>19</v>
      </c>
      <c r="Y77" s="33">
        <v>20</v>
      </c>
      <c r="Z77" s="33">
        <v>21</v>
      </c>
      <c r="AA77" s="33">
        <v>22</v>
      </c>
      <c r="AB77" s="33">
        <v>23</v>
      </c>
      <c r="AC77" s="33">
        <v>24</v>
      </c>
      <c r="AD77" s="33">
        <v>25</v>
      </c>
      <c r="AE77" s="33">
        <v>26</v>
      </c>
      <c r="AF77" s="33">
        <v>27</v>
      </c>
      <c r="AG77" s="33">
        <v>28</v>
      </c>
      <c r="AH77" s="33">
        <v>29</v>
      </c>
      <c r="AI77" s="33">
        <v>30</v>
      </c>
      <c r="AJ77" s="33">
        <v>31</v>
      </c>
      <c r="AK77" s="33">
        <v>32</v>
      </c>
      <c r="AL77" s="33">
        <v>33</v>
      </c>
      <c r="AM77" s="33">
        <v>34</v>
      </c>
      <c r="AN77" s="33">
        <v>35</v>
      </c>
      <c r="AO77" s="33">
        <v>36</v>
      </c>
      <c r="AP77" s="33">
        <v>37</v>
      </c>
      <c r="AQ77" s="33">
        <v>38</v>
      </c>
      <c r="AR77" s="33">
        <v>39</v>
      </c>
      <c r="AS77" s="33">
        <v>40</v>
      </c>
      <c r="AT77" s="33">
        <v>41</v>
      </c>
      <c r="AU77" s="33">
        <v>42</v>
      </c>
      <c r="AV77" s="33">
        <v>43</v>
      </c>
      <c r="AW77" s="33">
        <v>44</v>
      </c>
      <c r="AX77" s="33">
        <v>45</v>
      </c>
      <c r="AY77" s="33">
        <v>46</v>
      </c>
      <c r="AZ77" s="33">
        <v>47</v>
      </c>
      <c r="BA77" s="33">
        <v>48</v>
      </c>
      <c r="BB77" s="33">
        <v>49</v>
      </c>
      <c r="BC77" s="33">
        <v>50</v>
      </c>
      <c r="BD77" s="33">
        <v>51</v>
      </c>
      <c r="BE77" s="33">
        <v>52</v>
      </c>
      <c r="BF77" s="33">
        <v>53</v>
      </c>
      <c r="BG77" s="33">
        <v>54</v>
      </c>
      <c r="BH77" s="33">
        <v>55</v>
      </c>
      <c r="BI77" s="33">
        <v>56</v>
      </c>
      <c r="BJ77" s="33">
        <v>57</v>
      </c>
      <c r="BK77" s="33">
        <v>58</v>
      </c>
      <c r="BL77" s="33">
        <v>59</v>
      </c>
      <c r="BM77" s="33">
        <v>60</v>
      </c>
      <c r="BN77" s="33">
        <v>61</v>
      </c>
      <c r="BO77" s="33">
        <v>62</v>
      </c>
      <c r="BP77" s="33">
        <v>63</v>
      </c>
      <c r="BQ77" s="33">
        <v>64</v>
      </c>
      <c r="BR77" s="33">
        <v>65</v>
      </c>
      <c r="BS77" s="33">
        <v>66</v>
      </c>
      <c r="BT77" s="33">
        <v>67</v>
      </c>
      <c r="BU77" s="33">
        <v>68</v>
      </c>
      <c r="BV77" s="33">
        <v>69</v>
      </c>
      <c r="BW77" s="33">
        <v>70</v>
      </c>
      <c r="BX77" s="33">
        <v>71</v>
      </c>
      <c r="BY77" s="33">
        <v>72</v>
      </c>
      <c r="BZ77" s="33">
        <v>73</v>
      </c>
      <c r="CA77" s="33">
        <v>74</v>
      </c>
      <c r="CB77" s="33">
        <v>75</v>
      </c>
      <c r="CC77" s="33">
        <v>76</v>
      </c>
      <c r="CD77" s="33">
        <v>77</v>
      </c>
      <c r="CE77" s="33">
        <v>78</v>
      </c>
      <c r="CF77" s="33">
        <v>79</v>
      </c>
      <c r="CG77" s="33">
        <v>80</v>
      </c>
      <c r="CH77" s="33">
        <v>81</v>
      </c>
      <c r="CI77" s="33">
        <v>82</v>
      </c>
      <c r="CJ77" s="33">
        <v>83</v>
      </c>
      <c r="CK77" s="33">
        <v>84</v>
      </c>
      <c r="CL77" s="33">
        <v>85</v>
      </c>
      <c r="CM77" s="33">
        <v>86</v>
      </c>
      <c r="CN77" s="33">
        <v>87</v>
      </c>
      <c r="CO77" s="33">
        <v>88</v>
      </c>
      <c r="CP77" s="33">
        <v>89</v>
      </c>
      <c r="CQ77" s="33">
        <v>90</v>
      </c>
      <c r="CR77" s="33">
        <v>91</v>
      </c>
      <c r="CS77" s="33">
        <v>92</v>
      </c>
      <c r="CT77" s="33">
        <v>93</v>
      </c>
      <c r="CU77" s="33">
        <v>94</v>
      </c>
      <c r="CV77" s="33">
        <v>95</v>
      </c>
      <c r="CW77" s="33">
        <v>96</v>
      </c>
      <c r="CX77" s="33">
        <v>97</v>
      </c>
      <c r="CY77" s="33">
        <v>98</v>
      </c>
      <c r="CZ77" s="33">
        <v>99</v>
      </c>
      <c r="DA77" s="33">
        <v>100</v>
      </c>
    </row>
    <row r="78" spans="4:105" x14ac:dyDescent="0.25">
      <c r="D78" s="3" t="s">
        <v>20</v>
      </c>
      <c r="E78" s="18">
        <f>SUM(E74:E77)</f>
        <v>-219600</v>
      </c>
      <c r="F78" s="19">
        <f t="shared" ref="F78:J78" si="95">SUM(F74:F77)</f>
        <v>46592</v>
      </c>
      <c r="G78" s="19">
        <f t="shared" si="95"/>
        <v>69266.399999999994</v>
      </c>
      <c r="H78" s="19">
        <f t="shared" si="95"/>
        <v>80218.0288</v>
      </c>
      <c r="I78" s="19">
        <f t="shared" si="95"/>
        <v>101292.863168</v>
      </c>
      <c r="J78" s="19">
        <f t="shared" si="95"/>
        <v>107583.72741759999</v>
      </c>
      <c r="K78" s="32" t="s">
        <v>44</v>
      </c>
      <c r="L78" s="32" t="s">
        <v>45</v>
      </c>
      <c r="M78" s="32" t="s">
        <v>50</v>
      </c>
      <c r="N78" s="32" t="s">
        <v>51</v>
      </c>
      <c r="O78" s="32" t="s">
        <v>52</v>
      </c>
      <c r="P78" s="32" t="s">
        <v>53</v>
      </c>
      <c r="Q78" s="32" t="s">
        <v>54</v>
      </c>
      <c r="R78" s="32" t="s">
        <v>55</v>
      </c>
      <c r="S78" s="32" t="s">
        <v>56</v>
      </c>
      <c r="T78" s="32" t="s">
        <v>57</v>
      </c>
      <c r="U78" s="32" t="s">
        <v>58</v>
      </c>
      <c r="V78" s="32" t="s">
        <v>59</v>
      </c>
      <c r="W78" s="32" t="s">
        <v>60</v>
      </c>
      <c r="X78" s="32" t="s">
        <v>61</v>
      </c>
      <c r="Y78" s="32" t="s">
        <v>62</v>
      </c>
      <c r="Z78" s="32" t="s">
        <v>63</v>
      </c>
      <c r="AA78" s="32" t="s">
        <v>64</v>
      </c>
      <c r="AB78" s="32" t="s">
        <v>65</v>
      </c>
      <c r="AC78" s="32" t="s">
        <v>66</v>
      </c>
      <c r="AD78" s="32" t="s">
        <v>67</v>
      </c>
      <c r="AE78" s="32" t="s">
        <v>68</v>
      </c>
      <c r="AF78" s="32" t="s">
        <v>69</v>
      </c>
      <c r="AG78" s="32" t="s">
        <v>70</v>
      </c>
      <c r="AH78" s="32" t="s">
        <v>71</v>
      </c>
      <c r="AI78" s="32" t="s">
        <v>72</v>
      </c>
      <c r="AJ78" s="32" t="s">
        <v>73</v>
      </c>
      <c r="AK78" s="32" t="s">
        <v>74</v>
      </c>
      <c r="AL78" s="32" t="s">
        <v>75</v>
      </c>
      <c r="AM78" s="32" t="s">
        <v>76</v>
      </c>
      <c r="AN78" s="32" t="s">
        <v>77</v>
      </c>
      <c r="AO78" s="32" t="s">
        <v>78</v>
      </c>
      <c r="AP78" s="32" t="s">
        <v>79</v>
      </c>
      <c r="AQ78" s="32" t="s">
        <v>80</v>
      </c>
      <c r="AR78" s="32" t="s">
        <v>81</v>
      </c>
      <c r="AS78" s="32" t="s">
        <v>82</v>
      </c>
      <c r="AT78" s="32" t="s">
        <v>83</v>
      </c>
      <c r="AU78" s="32" t="s">
        <v>84</v>
      </c>
      <c r="AV78" s="32" t="s">
        <v>85</v>
      </c>
      <c r="AW78" s="32" t="s">
        <v>86</v>
      </c>
      <c r="AX78" s="32" t="s">
        <v>87</v>
      </c>
      <c r="AY78" s="32" t="s">
        <v>88</v>
      </c>
      <c r="AZ78" s="32" t="s">
        <v>89</v>
      </c>
      <c r="BA78" s="32" t="s">
        <v>90</v>
      </c>
      <c r="BB78" s="32" t="s">
        <v>91</v>
      </c>
      <c r="BC78" s="32" t="s">
        <v>92</v>
      </c>
      <c r="BD78" s="32" t="s">
        <v>93</v>
      </c>
      <c r="BE78" s="32" t="s">
        <v>94</v>
      </c>
      <c r="BF78" s="32" t="s">
        <v>95</v>
      </c>
      <c r="BG78" s="32" t="s">
        <v>96</v>
      </c>
      <c r="BH78" s="32" t="s">
        <v>97</v>
      </c>
      <c r="BI78" s="32" t="s">
        <v>98</v>
      </c>
      <c r="BJ78" s="32" t="s">
        <v>99</v>
      </c>
      <c r="BK78" s="32" t="s">
        <v>100</v>
      </c>
      <c r="BL78" s="32" t="s">
        <v>101</v>
      </c>
      <c r="BM78" s="32" t="s">
        <v>102</v>
      </c>
      <c r="BN78" s="32" t="s">
        <v>103</v>
      </c>
      <c r="BO78" s="32" t="s">
        <v>104</v>
      </c>
      <c r="BP78" s="32" t="s">
        <v>105</v>
      </c>
      <c r="BQ78" s="32" t="s">
        <v>106</v>
      </c>
      <c r="BR78" s="32" t="s">
        <v>107</v>
      </c>
      <c r="BS78" s="32" t="s">
        <v>108</v>
      </c>
      <c r="BT78" s="32" t="s">
        <v>109</v>
      </c>
      <c r="BU78" s="32" t="s">
        <v>110</v>
      </c>
      <c r="BV78" s="32" t="s">
        <v>111</v>
      </c>
      <c r="BW78" s="32" t="s">
        <v>112</v>
      </c>
      <c r="BX78" s="32" t="s">
        <v>113</v>
      </c>
      <c r="BY78" s="32" t="s">
        <v>114</v>
      </c>
      <c r="BZ78" s="32" t="s">
        <v>115</v>
      </c>
      <c r="CA78" s="32" t="s">
        <v>116</v>
      </c>
      <c r="CB78" s="32" t="s">
        <v>117</v>
      </c>
      <c r="CC78" s="32" t="s">
        <v>118</v>
      </c>
      <c r="CD78" s="32" t="s">
        <v>119</v>
      </c>
      <c r="CE78" s="32" t="s">
        <v>120</v>
      </c>
      <c r="CF78" s="32" t="s">
        <v>121</v>
      </c>
      <c r="CG78" s="32" t="s">
        <v>122</v>
      </c>
      <c r="CH78" s="32" t="s">
        <v>123</v>
      </c>
      <c r="CI78" s="32" t="s">
        <v>124</v>
      </c>
      <c r="CJ78" s="32" t="s">
        <v>125</v>
      </c>
      <c r="CK78" s="32" t="s">
        <v>126</v>
      </c>
      <c r="CL78" s="32" t="s">
        <v>127</v>
      </c>
      <c r="CM78" s="32" t="s">
        <v>128</v>
      </c>
      <c r="CN78" s="32" t="s">
        <v>129</v>
      </c>
      <c r="CO78" s="32" t="s">
        <v>130</v>
      </c>
      <c r="CP78" s="32" t="s">
        <v>131</v>
      </c>
      <c r="CQ78" s="32" t="s">
        <v>132</v>
      </c>
      <c r="CR78" s="32" t="s">
        <v>133</v>
      </c>
      <c r="CS78" s="32" t="s">
        <v>134</v>
      </c>
      <c r="CT78" s="32" t="s">
        <v>135</v>
      </c>
      <c r="CU78" s="32" t="s">
        <v>136</v>
      </c>
      <c r="CV78" s="32" t="s">
        <v>137</v>
      </c>
      <c r="CW78" s="32" t="s">
        <v>138</v>
      </c>
      <c r="CX78" s="32" t="s">
        <v>139</v>
      </c>
      <c r="CY78" s="32" t="s">
        <v>140</v>
      </c>
      <c r="CZ78" s="32" t="s">
        <v>141</v>
      </c>
      <c r="DA78" s="32" t="s">
        <v>142</v>
      </c>
    </row>
    <row r="79" spans="4:105" x14ac:dyDescent="0.25">
      <c r="D79" s="3" t="s">
        <v>23</v>
      </c>
      <c r="E79" s="18">
        <f t="shared" ref="E79:J79" si="96">SUM(E78:E78)</f>
        <v>-219600</v>
      </c>
      <c r="F79" s="19">
        <f t="shared" si="96"/>
        <v>46592</v>
      </c>
      <c r="G79" s="19">
        <f t="shared" si="96"/>
        <v>69266.399999999994</v>
      </c>
      <c r="H79" s="19">
        <f t="shared" si="96"/>
        <v>80218.0288</v>
      </c>
      <c r="I79" s="19">
        <f t="shared" si="96"/>
        <v>101292.863168</v>
      </c>
      <c r="J79" s="19">
        <f t="shared" si="96"/>
        <v>107583.72741759999</v>
      </c>
      <c r="K79" s="19">
        <f>J79*(1+$E$81)</f>
        <v>109735.401965952</v>
      </c>
      <c r="L79" s="19">
        <f>K79*(1+$E$81)</f>
        <v>111930.11000527104</v>
      </c>
      <c r="M79" s="19">
        <f>L79*(1+$E$81)</f>
        <v>114168.71220537646</v>
      </c>
      <c r="N79" s="19">
        <f t="shared" ref="N79:BY79" si="97">M79*(1+$E$81)</f>
        <v>116452.08644948399</v>
      </c>
      <c r="O79" s="19">
        <f t="shared" si="97"/>
        <v>118781.12817847368</v>
      </c>
      <c r="P79" s="19">
        <f t="shared" si="97"/>
        <v>121156.75074204315</v>
      </c>
      <c r="Q79" s="19">
        <f t="shared" si="97"/>
        <v>123579.88575688402</v>
      </c>
      <c r="R79" s="19">
        <f t="shared" si="97"/>
        <v>126051.4834720217</v>
      </c>
      <c r="S79" s="19">
        <f t="shared" si="97"/>
        <v>128572.51314146214</v>
      </c>
      <c r="T79" s="19">
        <f t="shared" si="97"/>
        <v>131143.9634042914</v>
      </c>
      <c r="U79" s="19">
        <f t="shared" si="97"/>
        <v>133766.84267237721</v>
      </c>
      <c r="V79" s="19">
        <f t="shared" si="97"/>
        <v>136442.17952582476</v>
      </c>
      <c r="W79" s="19">
        <f t="shared" si="97"/>
        <v>139171.02311634127</v>
      </c>
      <c r="X79" s="19">
        <f t="shared" si="97"/>
        <v>141954.44357866808</v>
      </c>
      <c r="Y79" s="19">
        <f t="shared" si="97"/>
        <v>144793.53245024144</v>
      </c>
      <c r="Z79" s="19">
        <f t="shared" si="97"/>
        <v>147689.40309924626</v>
      </c>
      <c r="AA79" s="19">
        <f t="shared" si="97"/>
        <v>150643.1911612312</v>
      </c>
      <c r="AB79" s="19">
        <f t="shared" si="97"/>
        <v>153656.05498445581</v>
      </c>
      <c r="AC79" s="19">
        <f t="shared" si="97"/>
        <v>156729.17608414494</v>
      </c>
      <c r="AD79" s="19">
        <f t="shared" si="97"/>
        <v>159863.75960582786</v>
      </c>
      <c r="AE79" s="19">
        <f t="shared" si="97"/>
        <v>163061.03479794442</v>
      </c>
      <c r="AF79" s="19">
        <f t="shared" si="97"/>
        <v>166322.2554939033</v>
      </c>
      <c r="AG79" s="19">
        <f t="shared" si="97"/>
        <v>169648.70060378136</v>
      </c>
      <c r="AH79" s="19">
        <f t="shared" si="97"/>
        <v>173041.67461585699</v>
      </c>
      <c r="AI79" s="19">
        <f t="shared" si="97"/>
        <v>176502.50810817414</v>
      </c>
      <c r="AJ79" s="19">
        <f t="shared" si="97"/>
        <v>180032.55827033761</v>
      </c>
      <c r="AK79" s="19">
        <f t="shared" si="97"/>
        <v>183633.20943574436</v>
      </c>
      <c r="AL79" s="19">
        <f t="shared" si="97"/>
        <v>187305.87362445926</v>
      </c>
      <c r="AM79" s="19">
        <f t="shared" si="97"/>
        <v>191051.99109694845</v>
      </c>
      <c r="AN79" s="19">
        <f t="shared" si="97"/>
        <v>194873.03091888741</v>
      </c>
      <c r="AO79" s="19">
        <f t="shared" si="97"/>
        <v>198770.49153726516</v>
      </c>
      <c r="AP79" s="19">
        <f t="shared" si="97"/>
        <v>202745.90136801047</v>
      </c>
      <c r="AQ79" s="19">
        <f t="shared" si="97"/>
        <v>206800.81939537069</v>
      </c>
      <c r="AR79" s="19">
        <f t="shared" si="97"/>
        <v>210936.8357832781</v>
      </c>
      <c r="AS79" s="19">
        <f t="shared" si="97"/>
        <v>215155.57249894366</v>
      </c>
      <c r="AT79" s="19">
        <f t="shared" si="97"/>
        <v>219458.68394892252</v>
      </c>
      <c r="AU79" s="19">
        <f t="shared" si="97"/>
        <v>223847.85762790099</v>
      </c>
      <c r="AV79" s="19">
        <f t="shared" si="97"/>
        <v>228324.81478045901</v>
      </c>
      <c r="AW79" s="19">
        <f t="shared" si="97"/>
        <v>232891.3110760682</v>
      </c>
      <c r="AX79" s="19">
        <f t="shared" si="97"/>
        <v>237549.13729758956</v>
      </c>
      <c r="AY79" s="19">
        <f t="shared" si="97"/>
        <v>242300.12004354136</v>
      </c>
      <c r="AZ79" s="19">
        <f t="shared" si="97"/>
        <v>247146.12244441221</v>
      </c>
      <c r="BA79" s="19">
        <f t="shared" si="97"/>
        <v>252089.04489330045</v>
      </c>
      <c r="BB79" s="19">
        <f t="shared" si="97"/>
        <v>257130.82579116646</v>
      </c>
      <c r="BC79" s="19">
        <f t="shared" si="97"/>
        <v>262273.4423069898</v>
      </c>
      <c r="BD79" s="19">
        <f t="shared" si="97"/>
        <v>267518.91115312959</v>
      </c>
      <c r="BE79" s="19">
        <f t="shared" si="97"/>
        <v>272869.2893761922</v>
      </c>
      <c r="BF79" s="19">
        <f t="shared" si="97"/>
        <v>278326.67516371608</v>
      </c>
      <c r="BG79" s="19">
        <f t="shared" si="97"/>
        <v>283893.20866699039</v>
      </c>
      <c r="BH79" s="19">
        <f t="shared" si="97"/>
        <v>289571.07284033019</v>
      </c>
      <c r="BI79" s="19">
        <f t="shared" si="97"/>
        <v>295362.49429713679</v>
      </c>
      <c r="BJ79" s="19">
        <f t="shared" si="97"/>
        <v>301269.74418307951</v>
      </c>
      <c r="BK79" s="19">
        <f t="shared" si="97"/>
        <v>307295.1390667411</v>
      </c>
      <c r="BL79" s="19">
        <f t="shared" si="97"/>
        <v>313441.04184807593</v>
      </c>
      <c r="BM79" s="19">
        <f t="shared" si="97"/>
        <v>319709.86268503743</v>
      </c>
      <c r="BN79" s="19">
        <f t="shared" si="97"/>
        <v>326104.05993873818</v>
      </c>
      <c r="BO79" s="19">
        <f t="shared" si="97"/>
        <v>332626.14113751292</v>
      </c>
      <c r="BP79" s="19">
        <f t="shared" si="97"/>
        <v>339278.66396026319</v>
      </c>
      <c r="BQ79" s="19">
        <f t="shared" si="97"/>
        <v>346064.23723946844</v>
      </c>
      <c r="BR79" s="19">
        <f t="shared" si="97"/>
        <v>352985.52198425779</v>
      </c>
      <c r="BS79" s="19">
        <f t="shared" si="97"/>
        <v>360045.23242394294</v>
      </c>
      <c r="BT79" s="19">
        <f t="shared" si="97"/>
        <v>367246.13707242178</v>
      </c>
      <c r="BU79" s="19">
        <f t="shared" si="97"/>
        <v>374591.05981387023</v>
      </c>
      <c r="BV79" s="19">
        <f t="shared" si="97"/>
        <v>382082.88101014763</v>
      </c>
      <c r="BW79" s="19">
        <f t="shared" si="97"/>
        <v>389724.53863035061</v>
      </c>
      <c r="BX79" s="19">
        <f t="shared" si="97"/>
        <v>397519.02940295765</v>
      </c>
      <c r="BY79" s="19">
        <f t="shared" si="97"/>
        <v>405469.40999101679</v>
      </c>
      <c r="BZ79" s="19">
        <f t="shared" ref="BZ79:DA79" si="98">BY79*(1+$E$81)</f>
        <v>413578.79819083714</v>
      </c>
      <c r="CA79" s="19">
        <f t="shared" si="98"/>
        <v>421850.37415465387</v>
      </c>
      <c r="CB79" s="19">
        <f t="shared" si="98"/>
        <v>430287.38163774693</v>
      </c>
      <c r="CC79" s="19">
        <f t="shared" si="98"/>
        <v>438893.1292705019</v>
      </c>
      <c r="CD79" s="19">
        <f t="shared" si="98"/>
        <v>447670.99185591197</v>
      </c>
      <c r="CE79" s="19">
        <f t="shared" si="98"/>
        <v>456624.41169303021</v>
      </c>
      <c r="CF79" s="19">
        <f t="shared" si="98"/>
        <v>465756.89992689085</v>
      </c>
      <c r="CG79" s="19">
        <f t="shared" si="98"/>
        <v>475072.03792542865</v>
      </c>
      <c r="CH79" s="19">
        <f t="shared" si="98"/>
        <v>484573.47868393722</v>
      </c>
      <c r="CI79" s="19">
        <f t="shared" si="98"/>
        <v>494264.94825761596</v>
      </c>
      <c r="CJ79" s="19">
        <f t="shared" si="98"/>
        <v>504150.24722276832</v>
      </c>
      <c r="CK79" s="19">
        <f t="shared" si="98"/>
        <v>514233.25216722372</v>
      </c>
      <c r="CL79" s="19">
        <f t="shared" si="98"/>
        <v>524517.91721056821</v>
      </c>
      <c r="CM79" s="19">
        <f t="shared" si="98"/>
        <v>535008.27555477957</v>
      </c>
      <c r="CN79" s="19">
        <f t="shared" si="98"/>
        <v>545708.44106587511</v>
      </c>
      <c r="CO79" s="19">
        <f t="shared" si="98"/>
        <v>556622.60988719261</v>
      </c>
      <c r="CP79" s="19">
        <f t="shared" si="98"/>
        <v>567755.06208493642</v>
      </c>
      <c r="CQ79" s="19">
        <f t="shared" si="98"/>
        <v>579110.16332663514</v>
      </c>
      <c r="CR79" s="19">
        <f t="shared" si="98"/>
        <v>590692.36659316788</v>
      </c>
      <c r="CS79" s="19">
        <f t="shared" si="98"/>
        <v>602506.21392503125</v>
      </c>
      <c r="CT79" s="19">
        <f t="shared" si="98"/>
        <v>614556.33820353192</v>
      </c>
      <c r="CU79" s="19">
        <f t="shared" si="98"/>
        <v>626847.46496760251</v>
      </c>
      <c r="CV79" s="19">
        <f t="shared" si="98"/>
        <v>639384.41426695453</v>
      </c>
      <c r="CW79" s="19">
        <f t="shared" si="98"/>
        <v>652172.10255229368</v>
      </c>
      <c r="CX79" s="19">
        <f t="shared" si="98"/>
        <v>665215.54460333951</v>
      </c>
      <c r="CY79" s="19">
        <f t="shared" si="98"/>
        <v>678519.85549540631</v>
      </c>
      <c r="CZ79" s="19">
        <f t="shared" si="98"/>
        <v>692090.25260531448</v>
      </c>
      <c r="DA79" s="19">
        <f t="shared" si="98"/>
        <v>705932.05765742075</v>
      </c>
    </row>
    <row r="80" spans="4:105" x14ac:dyDescent="0.25">
      <c r="D80" s="26">
        <f>NPV(15%,F79:J79)+E79</f>
        <v>37437.438035257044</v>
      </c>
      <c r="E80" s="1" t="s">
        <v>41</v>
      </c>
      <c r="F80"/>
      <c r="K80" s="29">
        <f>K79/(1+15%)^K77</f>
        <v>47441.642518328314</v>
      </c>
      <c r="L80" s="29">
        <f t="shared" ref="L80" si="99">L79/(1+15%)^L77</f>
        <v>42078.674233647733</v>
      </c>
      <c r="M80" s="29">
        <f t="shared" ref="M80" si="100">M79/(1+15%)^M77</f>
        <v>37321.954537670164</v>
      </c>
      <c r="N80" s="29">
        <f t="shared" ref="N80" si="101">N79/(1+15%)^N77</f>
        <v>33102.950981237889</v>
      </c>
      <c r="O80" s="29">
        <f t="shared" ref="O80" si="102">O79/(1+15%)^O77</f>
        <v>29360.878261619695</v>
      </c>
      <c r="P80" s="29">
        <f t="shared" ref="P80" si="103">P79/(1+15%)^P77</f>
        <v>26041.822458132254</v>
      </c>
      <c r="Q80" s="29">
        <f t="shared" ref="Q80" si="104">Q79/(1+15%)^Q77</f>
        <v>23097.964267212959</v>
      </c>
      <c r="R80" s="29">
        <f t="shared" ref="R80" si="105">R79/(1+15%)^R77</f>
        <v>20486.89004570193</v>
      </c>
      <c r="S80" s="29">
        <f t="shared" ref="S80" si="106">S79/(1+15%)^S77</f>
        <v>18170.980736187801</v>
      </c>
      <c r="T80" s="29">
        <f t="shared" ref="T80" si="107">T79/(1+15%)^T77</f>
        <v>16116.869870357879</v>
      </c>
      <c r="U80" s="29">
        <f t="shared" ref="U80" si="108">U79/(1+15%)^U77</f>
        <v>14294.962841534816</v>
      </c>
      <c r="V80" s="29">
        <f t="shared" ref="V80" si="109">V79/(1+15%)^V77</f>
        <v>12679.010520317839</v>
      </c>
      <c r="W80" s="29">
        <f t="shared" ref="W80" si="110">W79/(1+15%)^W77</f>
        <v>11245.731070194955</v>
      </c>
      <c r="X80" s="29">
        <f t="shared" ref="X80" si="111">X79/(1+15%)^X77</f>
        <v>9974.4745144337867</v>
      </c>
      <c r="Y80" s="29">
        <f t="shared" ref="Y80" si="112">Y79/(1+15%)^Y77</f>
        <v>8846.9252214977932</v>
      </c>
      <c r="Z80" s="29">
        <f t="shared" ref="Z80" si="113">Z79/(1+15%)^Z77</f>
        <v>7846.8380225458686</v>
      </c>
      <c r="AA80" s="29">
        <f t="shared" ref="AA80" si="114">AA79/(1+15%)^AA77</f>
        <v>6959.8041591276406</v>
      </c>
      <c r="AB80" s="29">
        <f t="shared" ref="AB80" si="115">AB79/(1+15%)^AB77</f>
        <v>6173.0436889653865</v>
      </c>
      <c r="AC80" s="29">
        <f t="shared" ref="AC80" si="116">AC79/(1+15%)^AC77</f>
        <v>5475.2213589084313</v>
      </c>
      <c r="AD80" s="29">
        <f t="shared" ref="AD80" si="117">AD79/(1+15%)^AD77</f>
        <v>4856.283292249218</v>
      </c>
      <c r="AE80" s="29">
        <f t="shared" ref="AE80" si="118">AE79/(1+15%)^AE77</f>
        <v>4307.3121374732191</v>
      </c>
      <c r="AF80" s="29">
        <f t="shared" ref="AF80" si="119">AF79/(1+15%)^AF77</f>
        <v>3820.3985914979862</v>
      </c>
      <c r="AG80" s="29">
        <f t="shared" ref="AG80" si="120">AG79/(1+15%)^AG77</f>
        <v>3388.5274463721271</v>
      </c>
      <c r="AH80" s="29">
        <f t="shared" ref="AH80" si="121">AH79/(1+15%)^AH77</f>
        <v>3005.4765176517999</v>
      </c>
      <c r="AI80" s="29">
        <f t="shared" ref="AI80" si="122">AI79/(1+15%)^AI77</f>
        <v>2665.7269982650746</v>
      </c>
      <c r="AJ80" s="29">
        <f t="shared" ref="AJ80" si="123">AJ79/(1+15%)^AJ77</f>
        <v>2364.3839462872843</v>
      </c>
      <c r="AK80" s="29">
        <f t="shared" ref="AK80" si="124">AK79/(1+15%)^AK77</f>
        <v>2097.1057610548091</v>
      </c>
      <c r="AL80" s="29">
        <f t="shared" ref="AL80" si="125">AL79/(1+15%)^AL77</f>
        <v>1860.0416315442658</v>
      </c>
      <c r="AM80" s="29">
        <f t="shared" ref="AM80" si="126">AM79/(1+15%)^AM77</f>
        <v>1649.7760558044793</v>
      </c>
      <c r="AN80" s="29">
        <f t="shared" ref="AN80" si="127">AN79/(1+15%)^AN77</f>
        <v>1463.2796321048427</v>
      </c>
      <c r="AO80" s="29">
        <f t="shared" ref="AO80" si="128">AO79/(1+15%)^AO77</f>
        <v>1297.8654128234257</v>
      </c>
      <c r="AP80" s="29">
        <f t="shared" ref="AP80" si="129">AP79/(1+15%)^AP77</f>
        <v>1151.1501922433863</v>
      </c>
      <c r="AQ80" s="29">
        <f t="shared" ref="AQ80" si="130">AQ79/(1+15%)^AQ77</f>
        <v>1021.0201705115254</v>
      </c>
      <c r="AR80" s="29">
        <f t="shared" ref="AR80" si="131">AR79/(1+15%)^AR77</f>
        <v>905.60049906239658</v>
      </c>
      <c r="AS80" s="29">
        <f t="shared" ref="AS80" si="132">AS79/(1+15%)^AS77</f>
        <v>803.22826873360395</v>
      </c>
      <c r="AT80" s="29">
        <f t="shared" ref="AT80" si="133">AT79/(1+15%)^AT77</f>
        <v>712.42855139850099</v>
      </c>
      <c r="AU80" s="29">
        <f t="shared" ref="AU80" si="134">AU79/(1+15%)^AU77</f>
        <v>631.89314993606183</v>
      </c>
      <c r="AV80" s="29">
        <f t="shared" ref="AV80" si="135">AV79/(1+15%)^AV77</f>
        <v>560.46175037807222</v>
      </c>
      <c r="AW80" s="29">
        <f t="shared" ref="AW80" si="136">AW79/(1+15%)^AW77</f>
        <v>497.10520468315985</v>
      </c>
      <c r="AX80" s="29">
        <f t="shared" ref="AX80" si="137">AX79/(1+15%)^AX77</f>
        <v>440.91070328419397</v>
      </c>
      <c r="AY80" s="29">
        <f t="shared" ref="AY80" si="138">AY79/(1+15%)^AY77</f>
        <v>391.06862378250247</v>
      </c>
      <c r="AZ80" s="29">
        <f t="shared" ref="AZ80" si="139">AZ79/(1+15%)^AZ77</f>
        <v>346.86086631143712</v>
      </c>
      <c r="BA80" s="29">
        <f t="shared" ref="BA80" si="140">BA79/(1+15%)^BA77</f>
        <v>307.65050751101381</v>
      </c>
      <c r="BB80" s="29">
        <f t="shared" ref="BB80" si="141">BB79/(1+15%)^BB77</f>
        <v>272.87262405324702</v>
      </c>
      <c r="BC80" s="29">
        <f t="shared" ref="BC80" si="142">BC79/(1+15%)^BC77</f>
        <v>242.02615350809742</v>
      </c>
      <c r="BD80" s="29">
        <f t="shared" ref="BD80" si="143">BD79/(1+15%)^BD77</f>
        <v>214.66667528544295</v>
      </c>
      <c r="BE80" s="29">
        <f t="shared" ref="BE80" si="144">BE79/(1+15%)^BE77</f>
        <v>190.40000764447984</v>
      </c>
      <c r="BF80" s="29">
        <f t="shared" ref="BF80" si="145">BF79/(1+15%)^BF77</f>
        <v>168.87652851945174</v>
      </c>
      <c r="BG80" s="29">
        <f t="shared" ref="BG80" si="146">BG79/(1+15%)^BG77</f>
        <v>149.78613833899198</v>
      </c>
      <c r="BH80" s="29">
        <f t="shared" ref="BH80" si="147">BH79/(1+15%)^BH77</f>
        <v>132.85379226588856</v>
      </c>
      <c r="BI80" s="29">
        <f t="shared" ref="BI80" si="148">BI79/(1+15%)^BI77</f>
        <v>117.8355374880055</v>
      </c>
      <c r="BJ80" s="29">
        <f t="shared" ref="BJ80" si="149">BJ79/(1+15%)^BJ77</f>
        <v>104.51499846762228</v>
      </c>
      <c r="BK80" s="29">
        <f t="shared" ref="BK80" si="150">BK79/(1+15%)^BK77</f>
        <v>92.700259510412806</v>
      </c>
      <c r="BL80" s="29">
        <f t="shared" ref="BL80" si="151">BL79/(1+15%)^BL77</f>
        <v>82.221099739670507</v>
      </c>
      <c r="BM80" s="29">
        <f t="shared" ref="BM80" si="152">BM79/(1+15%)^BM77</f>
        <v>72.926540638664264</v>
      </c>
      <c r="BN80" s="29">
        <f t="shared" ref="BN80" si="153">BN79/(1+15%)^BN77</f>
        <v>64.682670827337006</v>
      </c>
      <c r="BO80" s="29">
        <f t="shared" ref="BO80" si="154">BO79/(1+15%)^BO77</f>
        <v>57.370716733811946</v>
      </c>
      <c r="BP80" s="29">
        <f t="shared" ref="BP80" si="155">BP79/(1+15%)^BP77</f>
        <v>50.885331363902786</v>
      </c>
      <c r="BQ80" s="29">
        <f t="shared" ref="BQ80" si="156">BQ79/(1+15%)^BQ77</f>
        <v>45.133076514070311</v>
      </c>
      <c r="BR80" s="29">
        <f t="shared" ref="BR80" si="157">BR79/(1+15%)^BR77</f>
        <v>40.031076560305834</v>
      </c>
      <c r="BS80" s="29">
        <f t="shared" ref="BS80" si="158">BS79/(1+15%)^BS77</f>
        <v>35.505824427401706</v>
      </c>
      <c r="BT80" s="29">
        <f t="shared" ref="BT80" si="159">BT79/(1+15%)^BT77</f>
        <v>31.492122535608473</v>
      </c>
      <c r="BU80" s="29">
        <f t="shared" ref="BU80" si="160">BU79/(1+15%)^BU77</f>
        <v>27.932143466365776</v>
      </c>
      <c r="BV80" s="29">
        <f t="shared" ref="BV80" si="161">BV79/(1+15%)^BV77</f>
        <v>24.774596813646166</v>
      </c>
      <c r="BW80" s="29">
        <f t="shared" ref="BW80" si="162">BW79/(1+15%)^BW77</f>
        <v>21.973990217320953</v>
      </c>
      <c r="BX80" s="29">
        <f t="shared" ref="BX80" si="163">BX79/(1+15%)^BX77</f>
        <v>19.489973931884673</v>
      </c>
      <c r="BY80" s="29">
        <f t="shared" ref="BY80" si="164">BY79/(1+15%)^BY77</f>
        <v>17.286759487410755</v>
      </c>
      <c r="BZ80" s="29">
        <f t="shared" ref="BZ80" si="165">BZ79/(1+15%)^BZ77</f>
        <v>15.33260406709476</v>
      </c>
      <c r="CA80" s="29">
        <f t="shared" ref="CA80" si="166">CA79/(1+15%)^CA77</f>
        <v>13.599353172553613</v>
      </c>
      <c r="CB80" s="29">
        <f t="shared" ref="CB80" si="167">CB79/(1+15%)^CB77</f>
        <v>12.062034987830161</v>
      </c>
      <c r="CC80" s="29">
        <f t="shared" ref="CC80" si="168">CC79/(1+15%)^CC77</f>
        <v>10.698500597901537</v>
      </c>
      <c r="CD80" s="29">
        <f t="shared" ref="CD80" si="169">CD79/(1+15%)^CD77</f>
        <v>9.4891048781387557</v>
      </c>
      <c r="CE80" s="29">
        <f t="shared" ref="CE80" si="170">CE79/(1+15%)^CE77</f>
        <v>8.4164234571317653</v>
      </c>
      <c r="CF80" s="29">
        <f t="shared" ref="CF80" si="171">CF79/(1+15%)^CF77</f>
        <v>7.4650016750212203</v>
      </c>
      <c r="CG80" s="29">
        <f t="shared" ref="CG80" si="172">CG79/(1+15%)^CG77</f>
        <v>6.621131920453605</v>
      </c>
      <c r="CH80" s="29">
        <f t="shared" ref="CH80" si="173">CH79/(1+15%)^CH77</f>
        <v>5.8726561381414593</v>
      </c>
      <c r="CI80" s="29">
        <f t="shared" ref="CI80" si="174">CI79/(1+15%)^CI77</f>
        <v>5.2087906616559039</v>
      </c>
      <c r="CJ80" s="29">
        <f t="shared" ref="CJ80" si="175">CJ79/(1+15%)^CJ77</f>
        <v>4.6199708477295847</v>
      </c>
      <c r="CK80" s="29">
        <f t="shared" ref="CK80" si="176">CK79/(1+15%)^CK77</f>
        <v>4.0977132736384148</v>
      </c>
      <c r="CL80" s="29">
        <f t="shared" ref="CL80" si="177">CL79/(1+15%)^CL77</f>
        <v>3.6344935122705944</v>
      </c>
      <c r="CM80" s="29">
        <f t="shared" ref="CM80" si="178">CM79/(1+15%)^CM77</f>
        <v>3.2236377239269616</v>
      </c>
      <c r="CN80" s="29">
        <f t="shared" ref="CN80" si="179">CN79/(1+15%)^CN77</f>
        <v>2.8592265029613055</v>
      </c>
      <c r="CO80" s="29">
        <f t="shared" ref="CO80" si="180">CO79/(1+15%)^CO77</f>
        <v>2.5360095939308973</v>
      </c>
      <c r="CP80" s="29">
        <f t="shared" ref="CP80" si="181">CP79/(1+15%)^CP77</f>
        <v>2.2493302485300135</v>
      </c>
      <c r="CQ80" s="29">
        <f t="shared" ref="CQ80" si="182">CQ79/(1+15%)^CQ77</f>
        <v>1.9950581334787945</v>
      </c>
      <c r="CR80" s="29">
        <f t="shared" ref="CR80" si="183">CR79/(1+15%)^CR77</f>
        <v>1.7695298227377136</v>
      </c>
      <c r="CS80" s="29">
        <f t="shared" ref="CS80" si="184">CS79/(1+15%)^CS77</f>
        <v>1.5694960166891028</v>
      </c>
      <c r="CT80" s="29">
        <f t="shared" ref="CT80" si="185">CT79/(1+15%)^CT77</f>
        <v>1.3920747278459868</v>
      </c>
      <c r="CU80" s="29">
        <f t="shared" ref="CU80" si="186">CU79/(1+15%)^CU77</f>
        <v>1.234709758611223</v>
      </c>
      <c r="CV80" s="29">
        <f t="shared" ref="CV80" si="187">CV79/(1+15%)^CV77</f>
        <v>1.0951338728551721</v>
      </c>
      <c r="CW80" s="29">
        <f t="shared" ref="CW80" si="188">CW79/(1+15%)^CW77</f>
        <v>0.97133613070632685</v>
      </c>
      <c r="CX80" s="29">
        <f t="shared" ref="CX80" si="189">CX79/(1+15%)^CX77</f>
        <v>0.86153291593082892</v>
      </c>
      <c r="CY80" s="29">
        <f t="shared" ref="CY80" si="190">CY79/(1+15%)^CY77</f>
        <v>0.76414223847777873</v>
      </c>
      <c r="CZ80" s="29">
        <f t="shared" ref="CZ80" si="191">CZ79/(1+15%)^CZ77</f>
        <v>0.677760941954204</v>
      </c>
      <c r="DA80" s="29">
        <f t="shared" ref="DA80" si="192">DA79/(1+15%)^DA77</f>
        <v>0.60114448764633732</v>
      </c>
    </row>
    <row r="81" spans="4:105" x14ac:dyDescent="0.25">
      <c r="D81" s="31" t="s">
        <v>49</v>
      </c>
      <c r="E81" s="35">
        <v>0.02</v>
      </c>
      <c r="F81"/>
      <c r="K81" s="29"/>
      <c r="L81" s="29">
        <f>L80+K80</f>
        <v>89520.316751976046</v>
      </c>
      <c r="M81" s="29">
        <f>L81+M80</f>
        <v>126842.27128964622</v>
      </c>
      <c r="N81" s="29">
        <f>M81+N80</f>
        <v>159945.22227088411</v>
      </c>
      <c r="O81" s="29">
        <f>N81+O80</f>
        <v>189306.1005325038</v>
      </c>
      <c r="P81" s="29">
        <f t="shared" ref="P81:CA81" si="193">O81+P80</f>
        <v>215347.92299063606</v>
      </c>
      <c r="Q81" s="29">
        <f t="shared" si="193"/>
        <v>238445.88725784901</v>
      </c>
      <c r="R81" s="29">
        <f t="shared" si="193"/>
        <v>258932.77730355095</v>
      </c>
      <c r="S81" s="29">
        <f t="shared" si="193"/>
        <v>277103.75803973875</v>
      </c>
      <c r="T81" s="29">
        <f t="shared" si="193"/>
        <v>293220.62791009661</v>
      </c>
      <c r="U81" s="29">
        <f t="shared" si="193"/>
        <v>307515.59075163142</v>
      </c>
      <c r="V81" s="29">
        <f t="shared" si="193"/>
        <v>320194.60127194924</v>
      </c>
      <c r="W81" s="29">
        <f t="shared" si="193"/>
        <v>331440.33234214422</v>
      </c>
      <c r="X81" s="29">
        <f t="shared" si="193"/>
        <v>341414.80685657798</v>
      </c>
      <c r="Y81" s="29">
        <f t="shared" si="193"/>
        <v>350261.73207807576</v>
      </c>
      <c r="Z81" s="29">
        <f t="shared" si="193"/>
        <v>358108.57010062161</v>
      </c>
      <c r="AA81" s="29">
        <f t="shared" si="193"/>
        <v>365068.37425974925</v>
      </c>
      <c r="AB81" s="29">
        <f t="shared" si="193"/>
        <v>371241.41794871463</v>
      </c>
      <c r="AC81" s="29">
        <f t="shared" si="193"/>
        <v>376716.63930762309</v>
      </c>
      <c r="AD81" s="29">
        <f t="shared" si="193"/>
        <v>381572.92259987228</v>
      </c>
      <c r="AE81" s="29">
        <f t="shared" si="193"/>
        <v>385880.23473734548</v>
      </c>
      <c r="AF81" s="29">
        <f t="shared" si="193"/>
        <v>389700.63332884345</v>
      </c>
      <c r="AG81" s="29">
        <f t="shared" si="193"/>
        <v>393089.1607752156</v>
      </c>
      <c r="AH81" s="29">
        <f t="shared" si="193"/>
        <v>396094.63729286741</v>
      </c>
      <c r="AI81" s="29">
        <f t="shared" si="193"/>
        <v>398760.36429113249</v>
      </c>
      <c r="AJ81" s="29">
        <f t="shared" si="193"/>
        <v>401124.74823741976</v>
      </c>
      <c r="AK81" s="29">
        <f t="shared" si="193"/>
        <v>403221.85399847454</v>
      </c>
      <c r="AL81" s="29">
        <f t="shared" si="193"/>
        <v>405081.89563001879</v>
      </c>
      <c r="AM81" s="29">
        <f t="shared" si="193"/>
        <v>406731.67168582324</v>
      </c>
      <c r="AN81" s="29">
        <f t="shared" si="193"/>
        <v>408194.95131792809</v>
      </c>
      <c r="AO81" s="29">
        <f t="shared" si="193"/>
        <v>409492.81673075154</v>
      </c>
      <c r="AP81" s="29">
        <f t="shared" si="193"/>
        <v>410643.96692299494</v>
      </c>
      <c r="AQ81" s="29">
        <f t="shared" si="193"/>
        <v>411664.98709350644</v>
      </c>
      <c r="AR81" s="29">
        <f t="shared" si="193"/>
        <v>412570.58759256883</v>
      </c>
      <c r="AS81" s="29">
        <f t="shared" si="193"/>
        <v>413373.81586130243</v>
      </c>
      <c r="AT81" s="29">
        <f t="shared" si="193"/>
        <v>414086.24441270094</v>
      </c>
      <c r="AU81" s="29">
        <f t="shared" si="193"/>
        <v>414718.13756263698</v>
      </c>
      <c r="AV81" s="29">
        <f t="shared" si="193"/>
        <v>415278.59931301506</v>
      </c>
      <c r="AW81" s="29">
        <f t="shared" si="193"/>
        <v>415775.70451769821</v>
      </c>
      <c r="AX81" s="29">
        <f t="shared" si="193"/>
        <v>416216.61522098241</v>
      </c>
      <c r="AY81" s="29">
        <f t="shared" si="193"/>
        <v>416607.68384476489</v>
      </c>
      <c r="AZ81" s="29">
        <f t="shared" si="193"/>
        <v>416954.54471107631</v>
      </c>
      <c r="BA81" s="29">
        <f t="shared" si="193"/>
        <v>417262.19521858729</v>
      </c>
      <c r="BB81" s="29">
        <f t="shared" si="193"/>
        <v>417535.06784264056</v>
      </c>
      <c r="BC81" s="29">
        <f t="shared" si="193"/>
        <v>417777.09399614867</v>
      </c>
      <c r="BD81" s="29">
        <f t="shared" si="193"/>
        <v>417991.76067143411</v>
      </c>
      <c r="BE81" s="29">
        <f t="shared" si="193"/>
        <v>418182.1606790786</v>
      </c>
      <c r="BF81" s="29">
        <f t="shared" si="193"/>
        <v>418351.03720759804</v>
      </c>
      <c r="BG81" s="29">
        <f t="shared" si="193"/>
        <v>418500.82334593701</v>
      </c>
      <c r="BH81" s="29">
        <f t="shared" si="193"/>
        <v>418633.67713820288</v>
      </c>
      <c r="BI81" s="29">
        <f t="shared" si="193"/>
        <v>418751.51267569087</v>
      </c>
      <c r="BJ81" s="29">
        <f t="shared" si="193"/>
        <v>418856.02767415851</v>
      </c>
      <c r="BK81" s="29">
        <f t="shared" si="193"/>
        <v>418948.72793366894</v>
      </c>
      <c r="BL81" s="29">
        <f t="shared" si="193"/>
        <v>419030.9490334086</v>
      </c>
      <c r="BM81" s="29">
        <f t="shared" si="193"/>
        <v>419103.87557404727</v>
      </c>
      <c r="BN81" s="29">
        <f t="shared" si="193"/>
        <v>419168.55824487458</v>
      </c>
      <c r="BO81" s="29">
        <f t="shared" si="193"/>
        <v>419225.92896160838</v>
      </c>
      <c r="BP81" s="29">
        <f t="shared" si="193"/>
        <v>419276.81429297227</v>
      </c>
      <c r="BQ81" s="29">
        <f t="shared" si="193"/>
        <v>419321.94736948633</v>
      </c>
      <c r="BR81" s="29">
        <f t="shared" si="193"/>
        <v>419361.97844604665</v>
      </c>
      <c r="BS81" s="29">
        <f t="shared" si="193"/>
        <v>419397.48427047406</v>
      </c>
      <c r="BT81" s="29">
        <f t="shared" si="193"/>
        <v>419428.97639300965</v>
      </c>
      <c r="BU81" s="29">
        <f t="shared" si="193"/>
        <v>419456.90853647602</v>
      </c>
      <c r="BV81" s="29">
        <f t="shared" si="193"/>
        <v>419481.68313328968</v>
      </c>
      <c r="BW81" s="29">
        <f t="shared" si="193"/>
        <v>419503.657123507</v>
      </c>
      <c r="BX81" s="29">
        <f t="shared" si="193"/>
        <v>419523.14709743886</v>
      </c>
      <c r="BY81" s="29">
        <f t="shared" si="193"/>
        <v>419540.43385692628</v>
      </c>
      <c r="BZ81" s="29">
        <f t="shared" si="193"/>
        <v>419555.76646099339</v>
      </c>
      <c r="CA81" s="29">
        <f t="shared" si="193"/>
        <v>419569.36581416591</v>
      </c>
      <c r="CB81" s="29">
        <f t="shared" ref="CB81:DA81" si="194">CA81+CB80</f>
        <v>419581.42784915376</v>
      </c>
      <c r="CC81" s="29">
        <f t="shared" si="194"/>
        <v>419592.12634975166</v>
      </c>
      <c r="CD81" s="29">
        <f t="shared" si="194"/>
        <v>419601.61545462982</v>
      </c>
      <c r="CE81" s="29">
        <f t="shared" si="194"/>
        <v>419610.03187808697</v>
      </c>
      <c r="CF81" s="29">
        <f t="shared" si="194"/>
        <v>419617.49687976198</v>
      </c>
      <c r="CG81" s="29">
        <f t="shared" si="194"/>
        <v>419624.11801168241</v>
      </c>
      <c r="CH81" s="29">
        <f t="shared" si="194"/>
        <v>419629.99066782056</v>
      </c>
      <c r="CI81" s="29">
        <f t="shared" si="194"/>
        <v>419635.19945848221</v>
      </c>
      <c r="CJ81" s="29">
        <f t="shared" si="194"/>
        <v>419639.81942932995</v>
      </c>
      <c r="CK81" s="29">
        <f t="shared" si="194"/>
        <v>419643.9171426036</v>
      </c>
      <c r="CL81" s="29">
        <f t="shared" si="194"/>
        <v>419647.55163611588</v>
      </c>
      <c r="CM81" s="29">
        <f t="shared" si="194"/>
        <v>419650.77527383983</v>
      </c>
      <c r="CN81" s="29">
        <f t="shared" si="194"/>
        <v>419653.63450034277</v>
      </c>
      <c r="CO81" s="29">
        <f t="shared" si="194"/>
        <v>419656.1705099367</v>
      </c>
      <c r="CP81" s="29">
        <f t="shared" si="194"/>
        <v>419658.4198401852</v>
      </c>
      <c r="CQ81" s="29">
        <f t="shared" si="194"/>
        <v>419660.4148983187</v>
      </c>
      <c r="CR81" s="29">
        <f t="shared" si="194"/>
        <v>419662.18442814145</v>
      </c>
      <c r="CS81" s="29">
        <f t="shared" si="194"/>
        <v>419663.75392415817</v>
      </c>
      <c r="CT81" s="29">
        <f t="shared" si="194"/>
        <v>419665.14599888603</v>
      </c>
      <c r="CU81" s="29">
        <f t="shared" si="194"/>
        <v>419666.38070864463</v>
      </c>
      <c r="CV81" s="29">
        <f t="shared" si="194"/>
        <v>419667.47584251751</v>
      </c>
      <c r="CW81" s="29">
        <f t="shared" si="194"/>
        <v>419668.4471786482</v>
      </c>
      <c r="CX81" s="29">
        <f t="shared" si="194"/>
        <v>419669.30871156411</v>
      </c>
      <c r="CY81" s="29">
        <f t="shared" si="194"/>
        <v>419670.07285380259</v>
      </c>
      <c r="CZ81" s="29">
        <f t="shared" si="194"/>
        <v>419670.75061474455</v>
      </c>
      <c r="DA81" s="29">
        <f t="shared" si="194"/>
        <v>419671.35175923217</v>
      </c>
    </row>
    <row r="82" spans="4:105" x14ac:dyDescent="0.25">
      <c r="D82" s="47">
        <f>SUM(K80:DA80)</f>
        <v>419671.35175923217</v>
      </c>
      <c r="E82" s="1" t="s">
        <v>42</v>
      </c>
    </row>
    <row r="83" spans="4:105" x14ac:dyDescent="0.25">
      <c r="D83" s="1">
        <f>(K79/(15%-2%))/(1+15%)^5</f>
        <v>419676.06843136583</v>
      </c>
      <c r="E83" s="1" t="s">
        <v>43</v>
      </c>
      <c r="I83" s="50"/>
      <c r="J83" s="20"/>
      <c r="K83" s="1"/>
      <c r="L83" s="52"/>
    </row>
    <row r="84" spans="4:105" x14ac:dyDescent="0.25">
      <c r="D84" s="34">
        <f>D80+D82</f>
        <v>457108.78979448922</v>
      </c>
      <c r="E84" s="34" t="s">
        <v>46</v>
      </c>
      <c r="I84" s="50"/>
      <c r="J84" s="51"/>
      <c r="K84" s="52"/>
    </row>
    <row r="85" spans="4:105" x14ac:dyDescent="0.25">
      <c r="D85" s="34">
        <f>D80+D83</f>
        <v>457113.50646662287</v>
      </c>
      <c r="E85" s="34" t="s">
        <v>47</v>
      </c>
    </row>
    <row r="87" spans="4:105" x14ac:dyDescent="0.25">
      <c r="D87" s="74" t="s">
        <v>162</v>
      </c>
      <c r="E87" s="74"/>
      <c r="F87" s="74"/>
      <c r="G87" s="74"/>
      <c r="H87" s="74"/>
      <c r="I87" s="74"/>
      <c r="J87" s="74"/>
    </row>
    <row r="88" spans="4:105" x14ac:dyDescent="0.25">
      <c r="D88" s="74"/>
      <c r="E88" s="74"/>
      <c r="F88" s="74"/>
      <c r="G88" s="74"/>
      <c r="H88" s="74"/>
      <c r="I88" s="74"/>
      <c r="J88" s="74"/>
    </row>
    <row r="89" spans="4:105" x14ac:dyDescent="0.25">
      <c r="D89" s="74"/>
      <c r="E89" s="74"/>
      <c r="F89" s="74"/>
      <c r="G89" s="74"/>
      <c r="H89" s="74"/>
      <c r="I89" s="74"/>
      <c r="J89" s="74"/>
    </row>
    <row r="90" spans="4:105" x14ac:dyDescent="0.25">
      <c r="D90" s="74"/>
      <c r="E90" s="74"/>
      <c r="F90" s="74"/>
      <c r="G90" s="74"/>
      <c r="H90" s="74"/>
      <c r="I90" s="74"/>
      <c r="J90" s="74"/>
    </row>
    <row r="91" spans="4:105" x14ac:dyDescent="0.25">
      <c r="D91" s="74"/>
      <c r="E91" s="74"/>
      <c r="F91" s="74"/>
      <c r="G91" s="74"/>
      <c r="H91" s="74"/>
      <c r="I91" s="74"/>
      <c r="J91" s="74"/>
    </row>
    <row r="92" spans="4:105" x14ac:dyDescent="0.25">
      <c r="D92" s="74"/>
      <c r="E92" s="74"/>
      <c r="F92" s="74"/>
      <c r="G92" s="74"/>
      <c r="H92" s="74"/>
      <c r="I92" s="74"/>
      <c r="J92" s="74"/>
    </row>
    <row r="93" spans="4:105" x14ac:dyDescent="0.25">
      <c r="D93" s="74"/>
      <c r="E93" s="74"/>
      <c r="F93" s="74"/>
      <c r="G93" s="74"/>
      <c r="H93" s="74"/>
      <c r="I93" s="74"/>
      <c r="J93" s="74"/>
    </row>
    <row r="94" spans="4:105" x14ac:dyDescent="0.25">
      <c r="D94" s="74"/>
      <c r="E94" s="74"/>
      <c r="F94" s="74"/>
      <c r="G94" s="74"/>
      <c r="H94" s="74"/>
      <c r="I94" s="74"/>
      <c r="J94" s="74"/>
    </row>
    <row r="95" spans="4:105" x14ac:dyDescent="0.25">
      <c r="D95" s="74"/>
      <c r="E95" s="74"/>
      <c r="F95" s="74"/>
      <c r="G95" s="74"/>
      <c r="H95" s="74"/>
      <c r="I95" s="74"/>
      <c r="J95" s="74"/>
    </row>
    <row r="96" spans="4:105" x14ac:dyDescent="0.25">
      <c r="D96" s="74"/>
      <c r="E96" s="74"/>
      <c r="F96" s="74"/>
      <c r="G96" s="74"/>
      <c r="H96" s="74"/>
      <c r="I96" s="74"/>
      <c r="J96" s="74"/>
    </row>
    <row r="97" spans="4:10" x14ac:dyDescent="0.25">
      <c r="D97" s="74"/>
      <c r="E97" s="74"/>
      <c r="F97" s="74"/>
      <c r="G97" s="74"/>
      <c r="H97" s="74"/>
      <c r="I97" s="74"/>
      <c r="J97" s="74"/>
    </row>
    <row r="98" spans="4:10" x14ac:dyDescent="0.25">
      <c r="D98" s="74"/>
      <c r="E98" s="74"/>
      <c r="F98" s="74"/>
      <c r="G98" s="74"/>
      <c r="H98" s="74"/>
      <c r="I98" s="74"/>
      <c r="J98" s="74"/>
    </row>
    <row r="99" spans="4:10" x14ac:dyDescent="0.25">
      <c r="D99" s="74"/>
      <c r="E99" s="74"/>
      <c r="F99" s="74"/>
      <c r="G99" s="74"/>
      <c r="H99" s="74"/>
      <c r="I99" s="74"/>
      <c r="J99" s="74"/>
    </row>
    <row r="100" spans="4:10" x14ac:dyDescent="0.25">
      <c r="D100" s="74"/>
      <c r="E100" s="74"/>
      <c r="F100" s="74"/>
      <c r="G100" s="74"/>
      <c r="H100" s="74"/>
      <c r="I100" s="74"/>
      <c r="J100" s="74"/>
    </row>
    <row r="101" spans="4:10" x14ac:dyDescent="0.25">
      <c r="D101" s="74"/>
      <c r="E101" s="74"/>
      <c r="F101" s="74"/>
      <c r="G101" s="74"/>
      <c r="H101" s="74"/>
      <c r="I101" s="74"/>
      <c r="J101" s="74"/>
    </row>
  </sheetData>
  <mergeCells count="6">
    <mergeCell ref="D87:J101"/>
    <mergeCell ref="A2:B2"/>
    <mergeCell ref="D9:J10"/>
    <mergeCell ref="D26:J27"/>
    <mergeCell ref="D65:J66"/>
    <mergeCell ref="D48:J62"/>
  </mergeCells>
  <phoneticPr fontId="10" type="noConversion"/>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38900-C438-4735-82F4-5488F76EA07D}">
  <dimension ref="A2:J34"/>
  <sheetViews>
    <sheetView showGridLines="0" topLeftCell="C1" zoomScale="160" zoomScaleNormal="160" workbookViewId="0">
      <selection activeCell="F12" sqref="F12"/>
    </sheetView>
  </sheetViews>
  <sheetFormatPr defaultRowHeight="15" x14ac:dyDescent="0.25"/>
  <cols>
    <col min="1" max="1" width="29.42578125" hidden="1" customWidth="1"/>
    <col min="2" max="2" width="12.85546875" hidden="1" customWidth="1"/>
    <col min="3" max="3" width="7" customWidth="1"/>
    <col min="4" max="4" width="32.5703125" style="1" customWidth="1"/>
    <col min="5" max="5" width="12.7109375" style="1" customWidth="1"/>
    <col min="6" max="6" width="13.5703125" style="1" bestFit="1" customWidth="1"/>
    <col min="7" max="9" width="13.5703125" bestFit="1" customWidth="1"/>
    <col min="10" max="10" width="13.28515625" bestFit="1" customWidth="1"/>
    <col min="11" max="11" width="11.85546875" customWidth="1"/>
  </cols>
  <sheetData>
    <row r="2" spans="1:10" x14ac:dyDescent="0.25">
      <c r="D2" s="75" t="s">
        <v>143</v>
      </c>
      <c r="E2" s="75"/>
      <c r="F2" s="75"/>
      <c r="G2" s="75"/>
      <c r="H2" s="75"/>
      <c r="I2" s="75"/>
      <c r="J2" s="75"/>
    </row>
    <row r="3" spans="1:10" x14ac:dyDescent="0.25">
      <c r="D3" s="75"/>
      <c r="E3" s="75"/>
      <c r="F3" s="75"/>
      <c r="G3" s="75"/>
      <c r="H3" s="75"/>
      <c r="I3" s="75"/>
      <c r="J3" s="75"/>
    </row>
    <row r="4" spans="1:10" x14ac:dyDescent="0.25">
      <c r="D4" s="75"/>
      <c r="E4" s="75"/>
      <c r="F4" s="75"/>
      <c r="G4" s="75"/>
      <c r="H4" s="75"/>
      <c r="I4" s="75"/>
      <c r="J4" s="75"/>
    </row>
    <row r="5" spans="1:10" x14ac:dyDescent="0.25">
      <c r="D5" s="75"/>
      <c r="E5" s="75"/>
      <c r="F5" s="75"/>
      <c r="G5" s="75"/>
      <c r="H5" s="75"/>
      <c r="I5" s="75"/>
      <c r="J5" s="75"/>
    </row>
    <row r="6" spans="1:10" x14ac:dyDescent="0.25">
      <c r="D6" s="75"/>
      <c r="E6" s="75"/>
      <c r="F6" s="75"/>
      <c r="G6" s="75"/>
      <c r="H6" s="75"/>
      <c r="I6" s="75"/>
      <c r="J6" s="75"/>
    </row>
    <row r="7" spans="1:10" x14ac:dyDescent="0.25">
      <c r="D7" s="75"/>
      <c r="E7" s="75"/>
      <c r="F7" s="75"/>
      <c r="G7" s="75"/>
      <c r="H7" s="75"/>
      <c r="I7" s="75"/>
      <c r="J7" s="75"/>
    </row>
    <row r="9" spans="1:10" x14ac:dyDescent="0.25">
      <c r="D9" s="1" t="s">
        <v>34</v>
      </c>
      <c r="E9" s="35">
        <v>0.13803894288404192</v>
      </c>
    </row>
    <row r="10" spans="1:10" x14ac:dyDescent="0.25">
      <c r="A10" s="69" t="s">
        <v>24</v>
      </c>
      <c r="B10" s="70"/>
      <c r="D10" s="26" t="s">
        <v>33</v>
      </c>
      <c r="E10" s="26">
        <f>NPV(15%,F32:J32)+E32</f>
        <v>-3.0105875339359045E-6</v>
      </c>
    </row>
    <row r="11" spans="1:10" x14ac:dyDescent="0.25">
      <c r="A11" s="21" t="s">
        <v>25</v>
      </c>
      <c r="B11" s="22">
        <v>0.34</v>
      </c>
      <c r="C11" s="20"/>
      <c r="D11" s="4"/>
      <c r="E11" s="5" t="s">
        <v>16</v>
      </c>
      <c r="F11" s="5" t="s">
        <v>0</v>
      </c>
      <c r="G11" s="5" t="s">
        <v>1</v>
      </c>
      <c r="H11" s="6" t="s">
        <v>2</v>
      </c>
      <c r="I11" s="6" t="s">
        <v>3</v>
      </c>
      <c r="J11" s="6" t="s">
        <v>4</v>
      </c>
    </row>
    <row r="12" spans="1:10" x14ac:dyDescent="0.25">
      <c r="A12" s="21" t="s">
        <v>11</v>
      </c>
      <c r="B12" s="23">
        <f>1/5</f>
        <v>0.2</v>
      </c>
      <c r="D12" s="2" t="s">
        <v>5</v>
      </c>
      <c r="E12" s="2">
        <v>0</v>
      </c>
      <c r="F12" s="7">
        <f>7000</f>
        <v>7000</v>
      </c>
      <c r="G12" s="7">
        <v>9000</v>
      </c>
      <c r="H12" s="7">
        <v>10000</v>
      </c>
      <c r="I12" s="7">
        <v>11000</v>
      </c>
      <c r="J12" s="7">
        <v>9000</v>
      </c>
    </row>
    <row r="13" spans="1:10" x14ac:dyDescent="0.25">
      <c r="A13" s="21" t="s">
        <v>26</v>
      </c>
      <c r="B13" s="24">
        <v>200000</v>
      </c>
      <c r="D13" s="2" t="s">
        <v>6</v>
      </c>
      <c r="E13" s="2">
        <v>0</v>
      </c>
      <c r="F13" s="8">
        <v>28</v>
      </c>
      <c r="G13" s="8">
        <f>F13*1.04</f>
        <v>29.12</v>
      </c>
      <c r="H13" s="8">
        <f t="shared" ref="H13:J13" si="0">G13*1.04</f>
        <v>30.284800000000001</v>
      </c>
      <c r="I13" s="8">
        <f t="shared" si="0"/>
        <v>31.496192000000001</v>
      </c>
      <c r="J13" s="8">
        <f t="shared" si="0"/>
        <v>32.756039680000001</v>
      </c>
    </row>
    <row r="14" spans="1:10" x14ac:dyDescent="0.25">
      <c r="A14" s="21" t="s">
        <v>27</v>
      </c>
      <c r="B14" s="24">
        <v>-38000</v>
      </c>
      <c r="D14" s="2" t="s">
        <v>7</v>
      </c>
      <c r="E14" s="2">
        <v>0</v>
      </c>
      <c r="F14" s="8">
        <v>14</v>
      </c>
      <c r="G14" s="8">
        <f>F14*(1+$E$9)</f>
        <v>15.932545200376586</v>
      </c>
      <c r="H14" s="8">
        <f t="shared" ref="H14:J14" si="1">G14*(1+$E$9)</f>
        <v>18.131856897288785</v>
      </c>
      <c r="I14" s="8">
        <f t="shared" si="1"/>
        <v>20.634759255915252</v>
      </c>
      <c r="J14" s="8">
        <f t="shared" si="1"/>
        <v>23.483159610268491</v>
      </c>
    </row>
    <row r="15" spans="1:10" x14ac:dyDescent="0.25">
      <c r="A15" s="21" t="s">
        <v>28</v>
      </c>
      <c r="B15" s="25">
        <f>35000*(1-34%)</f>
        <v>23099.999999999996</v>
      </c>
      <c r="D15" s="2" t="s">
        <v>19</v>
      </c>
      <c r="E15" s="9">
        <f>-F19*10%</f>
        <v>-19600</v>
      </c>
      <c r="F15" s="9">
        <f>-G19*10%</f>
        <v>-26208</v>
      </c>
      <c r="G15" s="9">
        <f>-H19*10%</f>
        <v>-30284.800000000003</v>
      </c>
      <c r="H15" s="9">
        <f>-I19*10%</f>
        <v>-34645.811200000004</v>
      </c>
      <c r="I15" s="9">
        <f>-J19*10%</f>
        <v>-29480.435712000002</v>
      </c>
      <c r="J15" s="9">
        <v>0</v>
      </c>
    </row>
    <row r="16" spans="1:10" x14ac:dyDescent="0.25">
      <c r="D16"/>
      <c r="E16"/>
      <c r="F16"/>
    </row>
    <row r="17" spans="4:10" x14ac:dyDescent="0.25">
      <c r="D17"/>
      <c r="E17"/>
      <c r="F17"/>
    </row>
    <row r="18" spans="4:10" x14ac:dyDescent="0.25">
      <c r="D18"/>
      <c r="E18"/>
      <c r="F18"/>
    </row>
    <row r="19" spans="4:10" x14ac:dyDescent="0.25">
      <c r="D19" s="2" t="s">
        <v>10</v>
      </c>
      <c r="E19" s="2">
        <v>0</v>
      </c>
      <c r="F19" s="9">
        <f>F12*F13</f>
        <v>196000</v>
      </c>
      <c r="G19" s="9">
        <f t="shared" ref="G19:J19" si="2">G12*G13</f>
        <v>262080</v>
      </c>
      <c r="H19" s="9">
        <f t="shared" si="2"/>
        <v>302848</v>
      </c>
      <c r="I19" s="9">
        <f t="shared" si="2"/>
        <v>346458.11200000002</v>
      </c>
      <c r="J19" s="9">
        <f t="shared" si="2"/>
        <v>294804.35712</v>
      </c>
    </row>
    <row r="20" spans="4:10" x14ac:dyDescent="0.25">
      <c r="D20" s="2" t="s">
        <v>9</v>
      </c>
      <c r="E20" s="2">
        <v>0</v>
      </c>
      <c r="F20" s="9">
        <f>-F14*F12</f>
        <v>-98000</v>
      </c>
      <c r="G20" s="9">
        <f t="shared" ref="G20:J20" si="3">-G14*G12</f>
        <v>-143392.90680338928</v>
      </c>
      <c r="H20" s="9">
        <f t="shared" si="3"/>
        <v>-181318.56897288785</v>
      </c>
      <c r="I20" s="9">
        <f t="shared" si="3"/>
        <v>-226982.35181506778</v>
      </c>
      <c r="J20" s="9">
        <f t="shared" si="3"/>
        <v>-211348.43649241643</v>
      </c>
    </row>
    <row r="21" spans="4:10" x14ac:dyDescent="0.25">
      <c r="D21" s="3" t="s">
        <v>8</v>
      </c>
      <c r="E21" s="2">
        <v>0</v>
      </c>
      <c r="F21" s="10">
        <f>SUM(F19:F20)</f>
        <v>98000</v>
      </c>
      <c r="G21" s="10">
        <f t="shared" ref="G21:J21" si="4">SUM(G19:G20)</f>
        <v>118687.09319661072</v>
      </c>
      <c r="H21" s="10">
        <f t="shared" si="4"/>
        <v>121529.43102711215</v>
      </c>
      <c r="I21" s="10">
        <f t="shared" si="4"/>
        <v>119475.76018493224</v>
      </c>
      <c r="J21" s="10">
        <f t="shared" si="4"/>
        <v>83455.920627583575</v>
      </c>
    </row>
    <row r="22" spans="4:10" x14ac:dyDescent="0.25">
      <c r="D22" s="2" t="s">
        <v>11</v>
      </c>
      <c r="E22" s="2">
        <v>0</v>
      </c>
      <c r="F22" s="9">
        <f>-$B$13*$B$12</f>
        <v>-40000</v>
      </c>
      <c r="G22" s="9">
        <f t="shared" ref="G22:J22" si="5">-$B$13*$B$12</f>
        <v>-40000</v>
      </c>
      <c r="H22" s="9">
        <f t="shared" si="5"/>
        <v>-40000</v>
      </c>
      <c r="I22" s="9">
        <f t="shared" si="5"/>
        <v>-40000</v>
      </c>
      <c r="J22" s="9">
        <f t="shared" si="5"/>
        <v>-40000</v>
      </c>
    </row>
    <row r="23" spans="4:10" x14ac:dyDescent="0.25">
      <c r="D23" s="2" t="s">
        <v>14</v>
      </c>
      <c r="E23" s="2">
        <v>0</v>
      </c>
      <c r="F23" s="9">
        <f>$B$14</f>
        <v>-38000</v>
      </c>
      <c r="G23" s="9">
        <f t="shared" ref="G23:J23" si="6">$B$14</f>
        <v>-38000</v>
      </c>
      <c r="H23" s="9">
        <f t="shared" si="6"/>
        <v>-38000</v>
      </c>
      <c r="I23" s="9">
        <f t="shared" si="6"/>
        <v>-38000</v>
      </c>
      <c r="J23" s="9">
        <f t="shared" si="6"/>
        <v>-38000</v>
      </c>
    </row>
    <row r="24" spans="4:10" x14ac:dyDescent="0.25">
      <c r="D24" s="3" t="s">
        <v>12</v>
      </c>
      <c r="E24" s="2">
        <v>0</v>
      </c>
      <c r="F24" s="10">
        <f>SUM(F21:F23)</f>
        <v>20000</v>
      </c>
      <c r="G24" s="10">
        <f t="shared" ref="G24:J24" si="7">SUM(G21:G23)</f>
        <v>40687.093196610716</v>
      </c>
      <c r="H24" s="10">
        <f t="shared" si="7"/>
        <v>43529.43102711215</v>
      </c>
      <c r="I24" s="10">
        <f t="shared" si="7"/>
        <v>41475.760184932238</v>
      </c>
      <c r="J24" s="10">
        <f t="shared" si="7"/>
        <v>5455.920627583575</v>
      </c>
    </row>
    <row r="25" spans="4:10" x14ac:dyDescent="0.25">
      <c r="D25" s="2" t="s">
        <v>13</v>
      </c>
      <c r="E25" s="2">
        <v>0</v>
      </c>
      <c r="F25" s="9">
        <f>-F24*34%</f>
        <v>-6800.0000000000009</v>
      </c>
      <c r="G25" s="9">
        <f t="shared" ref="G25:J25" si="8">-G24*34%</f>
        <v>-13833.611686847644</v>
      </c>
      <c r="H25" s="9">
        <f t="shared" si="8"/>
        <v>-14800.006549218133</v>
      </c>
      <c r="I25" s="9">
        <f t="shared" si="8"/>
        <v>-14101.758462876962</v>
      </c>
      <c r="J25" s="9">
        <f t="shared" si="8"/>
        <v>-1855.0130133784157</v>
      </c>
    </row>
    <row r="26" spans="4:10" x14ac:dyDescent="0.25">
      <c r="D26" s="3" t="s">
        <v>15</v>
      </c>
      <c r="E26" s="13">
        <v>0</v>
      </c>
      <c r="F26" s="10">
        <f>SUM(F24:F25)</f>
        <v>13200</v>
      </c>
      <c r="G26" s="10">
        <f t="shared" ref="G26:J26" si="9">SUM(G24:G25)</f>
        <v>26853.481509763071</v>
      </c>
      <c r="H26" s="10">
        <f t="shared" si="9"/>
        <v>28729.424477894019</v>
      </c>
      <c r="I26" s="10">
        <f t="shared" si="9"/>
        <v>27374.001722055276</v>
      </c>
      <c r="J26" s="10">
        <f t="shared" si="9"/>
        <v>3600.907614205159</v>
      </c>
    </row>
    <row r="27" spans="4:10" x14ac:dyDescent="0.25">
      <c r="D27" s="2" t="s">
        <v>17</v>
      </c>
      <c r="E27" s="13">
        <v>0</v>
      </c>
      <c r="F27" s="12">
        <f>-F22</f>
        <v>40000</v>
      </c>
      <c r="G27" s="12">
        <f t="shared" ref="G27:J27" si="10">-G22</f>
        <v>40000</v>
      </c>
      <c r="H27" s="12">
        <f t="shared" si="10"/>
        <v>40000</v>
      </c>
      <c r="I27" s="12">
        <f t="shared" si="10"/>
        <v>40000</v>
      </c>
      <c r="J27" s="12">
        <f t="shared" si="10"/>
        <v>40000</v>
      </c>
    </row>
    <row r="28" spans="4:10" x14ac:dyDescent="0.25">
      <c r="D28" s="2" t="s">
        <v>18</v>
      </c>
      <c r="E28" s="11">
        <v>-200000</v>
      </c>
      <c r="F28" s="9">
        <v>0</v>
      </c>
      <c r="G28" s="9">
        <v>0</v>
      </c>
      <c r="H28" s="9">
        <v>0</v>
      </c>
      <c r="I28" s="9">
        <v>0</v>
      </c>
      <c r="J28" s="9">
        <v>0</v>
      </c>
    </row>
    <row r="29" spans="4:10" x14ac:dyDescent="0.25">
      <c r="D29" s="14" t="s">
        <v>21</v>
      </c>
      <c r="E29" s="16">
        <f>E15</f>
        <v>-19600</v>
      </c>
      <c r="F29" s="16">
        <f>F15-E15</f>
        <v>-6608</v>
      </c>
      <c r="G29" s="16">
        <f>G15-F15</f>
        <v>-4076.8000000000029</v>
      </c>
      <c r="H29" s="16">
        <f>H15-G15</f>
        <v>-4361.0112000000008</v>
      </c>
      <c r="I29" s="17">
        <f>I15-H15</f>
        <v>5165.3754880000015</v>
      </c>
      <c r="J29" s="17">
        <f>J15-I15</f>
        <v>29480.435712000002</v>
      </c>
    </row>
    <row r="30" spans="4:10" x14ac:dyDescent="0.25">
      <c r="D30" s="3" t="s">
        <v>20</v>
      </c>
      <c r="E30" s="18">
        <f>SUM(E26:E29)</f>
        <v>-219600</v>
      </c>
      <c r="F30" s="19">
        <f t="shared" ref="F30:J30" si="11">SUM(F26:F29)</f>
        <v>46592</v>
      </c>
      <c r="G30" s="19">
        <f t="shared" si="11"/>
        <v>62776.681509763075</v>
      </c>
      <c r="H30" s="19">
        <f t="shared" si="11"/>
        <v>64368.413277894018</v>
      </c>
      <c r="I30" s="19">
        <f t="shared" si="11"/>
        <v>72539.377210055289</v>
      </c>
      <c r="J30" s="19">
        <f t="shared" si="11"/>
        <v>73081.343326205155</v>
      </c>
    </row>
    <row r="31" spans="4:10" x14ac:dyDescent="0.25">
      <c r="D31" s="14" t="s">
        <v>22</v>
      </c>
      <c r="E31" s="15">
        <v>0</v>
      </c>
      <c r="F31" s="15">
        <v>0</v>
      </c>
      <c r="G31" s="15">
        <v>0</v>
      </c>
      <c r="H31" s="15">
        <v>0</v>
      </c>
      <c r="I31" s="15">
        <v>0</v>
      </c>
      <c r="J31" s="17">
        <f>B15</f>
        <v>23099.999999999996</v>
      </c>
    </row>
    <row r="32" spans="4:10" x14ac:dyDescent="0.25">
      <c r="D32" s="3" t="s">
        <v>23</v>
      </c>
      <c r="E32" s="18">
        <f>SUM(E30:E31)</f>
        <v>-219600</v>
      </c>
      <c r="F32" s="19">
        <f t="shared" ref="F32:J32" si="12">SUM(F30:F31)</f>
        <v>46592</v>
      </c>
      <c r="G32" s="19">
        <f t="shared" si="12"/>
        <v>62776.681509763075</v>
      </c>
      <c r="H32" s="19">
        <f t="shared" si="12"/>
        <v>64368.413277894018</v>
      </c>
      <c r="I32" s="19">
        <f t="shared" si="12"/>
        <v>72539.377210055289</v>
      </c>
      <c r="J32" s="19">
        <f t="shared" si="12"/>
        <v>96181.343326205155</v>
      </c>
    </row>
    <row r="33" spans="6:10" x14ac:dyDescent="0.25">
      <c r="F33"/>
    </row>
    <row r="34" spans="6:10" x14ac:dyDescent="0.25">
      <c r="G34" s="1"/>
      <c r="H34" s="1"/>
      <c r="I34" s="1"/>
      <c r="J34" s="1"/>
    </row>
  </sheetData>
  <mergeCells count="2">
    <mergeCell ref="A10:B10"/>
    <mergeCell ref="D2:J7"/>
  </mergeCells>
  <pageMargins left="0.511811024" right="0.511811024" top="0.78740157499999996" bottom="0.78740157499999996" header="0.31496062000000002" footer="0.3149606200000000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4C6E0-9227-4995-8579-C170ADA51F72}">
  <dimension ref="A1:J53"/>
  <sheetViews>
    <sheetView showGridLines="0" topLeftCell="C1" zoomScale="205" zoomScaleNormal="205" workbookViewId="0">
      <selection activeCell="G3" sqref="G3"/>
    </sheetView>
  </sheetViews>
  <sheetFormatPr defaultRowHeight="15" x14ac:dyDescent="0.25"/>
  <cols>
    <col min="1" max="1" width="29.42578125" hidden="1" customWidth="1"/>
    <col min="2" max="2" width="12.85546875" hidden="1" customWidth="1"/>
    <col min="3" max="3" width="7" customWidth="1"/>
    <col min="4" max="4" width="32.5703125" style="1" customWidth="1"/>
    <col min="5" max="5" width="12.7109375" style="1" customWidth="1"/>
    <col min="6" max="6" width="13.5703125" style="1" bestFit="1" customWidth="1"/>
    <col min="7" max="9" width="13.5703125" bestFit="1" customWidth="1"/>
    <col min="10" max="10" width="13.28515625" bestFit="1" customWidth="1"/>
    <col min="11" max="11" width="11.85546875" customWidth="1"/>
  </cols>
  <sheetData>
    <row r="1" spans="1:10" x14ac:dyDescent="0.25">
      <c r="D1" s="4" t="s">
        <v>149</v>
      </c>
      <c r="E1" s="57" t="s">
        <v>35</v>
      </c>
      <c r="F1" s="55" t="s">
        <v>36</v>
      </c>
      <c r="G1" s="53" t="s">
        <v>37</v>
      </c>
      <c r="H1" s="38" t="s">
        <v>150</v>
      </c>
    </row>
    <row r="2" spans="1:10" x14ac:dyDescent="0.25">
      <c r="D2" s="36" t="s">
        <v>34</v>
      </c>
      <c r="E2" s="58">
        <v>0.06</v>
      </c>
      <c r="F2" s="56">
        <v>0.1</v>
      </c>
      <c r="G2" s="54">
        <v>0.01</v>
      </c>
      <c r="H2" s="37">
        <v>0.06</v>
      </c>
    </row>
    <row r="3" spans="1:10" x14ac:dyDescent="0.25">
      <c r="D3" s="36" t="s">
        <v>148</v>
      </c>
      <c r="E3" s="58">
        <v>0.04</v>
      </c>
      <c r="F3" s="56">
        <v>0</v>
      </c>
      <c r="G3" s="54">
        <v>0.1</v>
      </c>
      <c r="H3" s="37">
        <v>0.04</v>
      </c>
    </row>
    <row r="4" spans="1:10" x14ac:dyDescent="0.25">
      <c r="D4" s="36" t="s">
        <v>146</v>
      </c>
      <c r="E4" s="58">
        <v>0.15</v>
      </c>
      <c r="F4" s="56">
        <v>0.19</v>
      </c>
      <c r="G4" s="54">
        <v>0.1</v>
      </c>
      <c r="H4" s="37">
        <v>0.15</v>
      </c>
    </row>
    <row r="5" spans="1:10" x14ac:dyDescent="0.25">
      <c r="E5" s="30"/>
      <c r="G5" s="30"/>
      <c r="H5" s="20"/>
    </row>
    <row r="6" spans="1:10" x14ac:dyDescent="0.25">
      <c r="A6" s="69" t="s">
        <v>24</v>
      </c>
      <c r="B6" s="70"/>
      <c r="D6" s="1" t="s">
        <v>33</v>
      </c>
      <c r="E6" s="1">
        <f>NPV(H4,F28:J28)+E28</f>
        <v>48922.220620647538</v>
      </c>
    </row>
    <row r="7" spans="1:10" x14ac:dyDescent="0.25">
      <c r="A7" s="21" t="s">
        <v>25</v>
      </c>
      <c r="B7" s="22">
        <v>0.34</v>
      </c>
      <c r="C7" s="20"/>
      <c r="D7" s="4"/>
      <c r="E7" s="5" t="s">
        <v>16</v>
      </c>
      <c r="F7" s="5" t="s">
        <v>0</v>
      </c>
      <c r="G7" s="5" t="s">
        <v>1</v>
      </c>
      <c r="H7" s="6" t="s">
        <v>2</v>
      </c>
      <c r="I7" s="6" t="s">
        <v>3</v>
      </c>
      <c r="J7" s="6" t="s">
        <v>4</v>
      </c>
    </row>
    <row r="8" spans="1:10" x14ac:dyDescent="0.25">
      <c r="A8" s="21" t="s">
        <v>11</v>
      </c>
      <c r="B8" s="23">
        <f>1/5</f>
        <v>0.2</v>
      </c>
      <c r="D8" s="2" t="s">
        <v>5</v>
      </c>
      <c r="E8" s="2">
        <v>0</v>
      </c>
      <c r="F8" s="7">
        <f>7000</f>
        <v>7000</v>
      </c>
      <c r="G8" s="7">
        <v>9000</v>
      </c>
      <c r="H8" s="7">
        <v>10000</v>
      </c>
      <c r="I8" s="7">
        <v>11000</v>
      </c>
      <c r="J8" s="7">
        <v>9000</v>
      </c>
    </row>
    <row r="9" spans="1:10" x14ac:dyDescent="0.25">
      <c r="A9" s="21" t="s">
        <v>26</v>
      </c>
      <c r="B9" s="24">
        <v>200000</v>
      </c>
      <c r="D9" s="2" t="s">
        <v>6</v>
      </c>
      <c r="E9" s="2">
        <v>0</v>
      </c>
      <c r="F9" s="8">
        <v>28</v>
      </c>
      <c r="G9" s="8">
        <f>F9*(1+$H$3)</f>
        <v>29.12</v>
      </c>
      <c r="H9" s="8">
        <f>G9*(1+$H$3)</f>
        <v>30.284800000000001</v>
      </c>
      <c r="I9" s="8">
        <f>H9*(1+$H$3)</f>
        <v>31.496192000000001</v>
      </c>
      <c r="J9" s="8">
        <f>I9*(1+$H$3)</f>
        <v>32.756039680000001</v>
      </c>
    </row>
    <row r="10" spans="1:10" x14ac:dyDescent="0.25">
      <c r="A10" s="21" t="s">
        <v>27</v>
      </c>
      <c r="B10" s="24">
        <v>-38000</v>
      </c>
      <c r="D10" s="2" t="s">
        <v>7</v>
      </c>
      <c r="E10" s="2">
        <v>0</v>
      </c>
      <c r="F10" s="8">
        <v>14</v>
      </c>
      <c r="G10" s="8">
        <f>F10*(1+$H$2)</f>
        <v>14.84</v>
      </c>
      <c r="H10" s="8">
        <f>G10*(1+$H$2)</f>
        <v>15.730400000000001</v>
      </c>
      <c r="I10" s="8">
        <f>H10*(1+$H$2)</f>
        <v>16.674224000000002</v>
      </c>
      <c r="J10" s="8">
        <f>I10*(1+$H$2)</f>
        <v>17.674677440000004</v>
      </c>
    </row>
    <row r="11" spans="1:10" x14ac:dyDescent="0.25">
      <c r="A11" s="21" t="s">
        <v>28</v>
      </c>
      <c r="B11" s="25">
        <f>35000*(1-34%)</f>
        <v>23099.999999999996</v>
      </c>
      <c r="D11" s="2" t="s">
        <v>19</v>
      </c>
      <c r="E11" s="9">
        <f>-F15*10%</f>
        <v>-19600</v>
      </c>
      <c r="F11" s="9">
        <f>-G15*10%</f>
        <v>-26208</v>
      </c>
      <c r="G11" s="9">
        <f>-H15*10%</f>
        <v>-30284.800000000003</v>
      </c>
      <c r="H11" s="9">
        <f>-I15*10%</f>
        <v>-34645.811200000004</v>
      </c>
      <c r="I11" s="9">
        <f>-J15*10%</f>
        <v>-29480.435712000002</v>
      </c>
      <c r="J11" s="9">
        <v>0</v>
      </c>
    </row>
    <row r="12" spans="1:10" x14ac:dyDescent="0.25">
      <c r="D12"/>
      <c r="E12"/>
      <c r="F12"/>
    </row>
    <row r="13" spans="1:10" x14ac:dyDescent="0.25">
      <c r="D13"/>
      <c r="E13"/>
      <c r="F13"/>
    </row>
    <row r="14" spans="1:10" x14ac:dyDescent="0.25">
      <c r="D14"/>
      <c r="E14"/>
      <c r="F14"/>
    </row>
    <row r="15" spans="1:10" x14ac:dyDescent="0.25">
      <c r="D15" s="2" t="s">
        <v>10</v>
      </c>
      <c r="E15" s="2">
        <v>0</v>
      </c>
      <c r="F15" s="9">
        <f>F8*F9</f>
        <v>196000</v>
      </c>
      <c r="G15" s="9">
        <f t="shared" ref="G15:J15" si="0">G8*G9</f>
        <v>262080</v>
      </c>
      <c r="H15" s="9">
        <f t="shared" si="0"/>
        <v>302848</v>
      </c>
      <c r="I15" s="9">
        <f t="shared" si="0"/>
        <v>346458.11200000002</v>
      </c>
      <c r="J15" s="9">
        <f t="shared" si="0"/>
        <v>294804.35712</v>
      </c>
    </row>
    <row r="16" spans="1:10" x14ac:dyDescent="0.25">
      <c r="D16" s="2" t="s">
        <v>9</v>
      </c>
      <c r="E16" s="2">
        <v>0</v>
      </c>
      <c r="F16" s="9">
        <f>-F10*F8</f>
        <v>-98000</v>
      </c>
      <c r="G16" s="9">
        <f t="shared" ref="G16:J16" si="1">-G10*G8</f>
        <v>-133560</v>
      </c>
      <c r="H16" s="9">
        <f t="shared" si="1"/>
        <v>-157304</v>
      </c>
      <c r="I16" s="9">
        <f t="shared" si="1"/>
        <v>-183416.46400000004</v>
      </c>
      <c r="J16" s="9">
        <f t="shared" si="1"/>
        <v>-159072.09696000002</v>
      </c>
    </row>
    <row r="17" spans="4:10" x14ac:dyDescent="0.25">
      <c r="D17" s="3" t="s">
        <v>8</v>
      </c>
      <c r="E17" s="2">
        <v>0</v>
      </c>
      <c r="F17" s="10">
        <f>SUM(F15:F16)</f>
        <v>98000</v>
      </c>
      <c r="G17" s="10">
        <f t="shared" ref="G17:J17" si="2">SUM(G15:G16)</f>
        <v>128520</v>
      </c>
      <c r="H17" s="10">
        <f t="shared" si="2"/>
        <v>145544</v>
      </c>
      <c r="I17" s="10">
        <f t="shared" si="2"/>
        <v>163041.64799999999</v>
      </c>
      <c r="J17" s="10">
        <f t="shared" si="2"/>
        <v>135732.26015999998</v>
      </c>
    </row>
    <row r="18" spans="4:10" x14ac:dyDescent="0.25">
      <c r="D18" s="2" t="s">
        <v>11</v>
      </c>
      <c r="E18" s="2">
        <v>0</v>
      </c>
      <c r="F18" s="9">
        <f>-$B$9*$B$8</f>
        <v>-40000</v>
      </c>
      <c r="G18" s="9">
        <f t="shared" ref="G18:J18" si="3">-$B$9*$B$8</f>
        <v>-40000</v>
      </c>
      <c r="H18" s="9">
        <f t="shared" si="3"/>
        <v>-40000</v>
      </c>
      <c r="I18" s="9">
        <f t="shared" si="3"/>
        <v>-40000</v>
      </c>
      <c r="J18" s="9">
        <f t="shared" si="3"/>
        <v>-40000</v>
      </c>
    </row>
    <row r="19" spans="4:10" x14ac:dyDescent="0.25">
      <c r="D19" s="2" t="s">
        <v>14</v>
      </c>
      <c r="E19" s="2">
        <v>0</v>
      </c>
      <c r="F19" s="9">
        <f>$B$10</f>
        <v>-38000</v>
      </c>
      <c r="G19" s="9">
        <f t="shared" ref="G19:J19" si="4">$B$10</f>
        <v>-38000</v>
      </c>
      <c r="H19" s="9">
        <f t="shared" si="4"/>
        <v>-38000</v>
      </c>
      <c r="I19" s="9">
        <f t="shared" si="4"/>
        <v>-38000</v>
      </c>
      <c r="J19" s="9">
        <f t="shared" si="4"/>
        <v>-38000</v>
      </c>
    </row>
    <row r="20" spans="4:10" x14ac:dyDescent="0.25">
      <c r="D20" s="3" t="s">
        <v>12</v>
      </c>
      <c r="E20" s="2">
        <v>0</v>
      </c>
      <c r="F20" s="10">
        <f>SUM(F17:F19)</f>
        <v>20000</v>
      </c>
      <c r="G20" s="10">
        <f t="shared" ref="G20:J20" si="5">SUM(G17:G19)</f>
        <v>50520</v>
      </c>
      <c r="H20" s="10">
        <f t="shared" si="5"/>
        <v>67544</v>
      </c>
      <c r="I20" s="10">
        <f t="shared" si="5"/>
        <v>85041.647999999986</v>
      </c>
      <c r="J20" s="10">
        <f t="shared" si="5"/>
        <v>57732.260159999976</v>
      </c>
    </row>
    <row r="21" spans="4:10" x14ac:dyDescent="0.25">
      <c r="D21" s="2" t="s">
        <v>13</v>
      </c>
      <c r="E21" s="2">
        <v>0</v>
      </c>
      <c r="F21" s="9">
        <f>-F20*34%</f>
        <v>-6800.0000000000009</v>
      </c>
      <c r="G21" s="9">
        <f t="shared" ref="G21:J21" si="6">-G20*34%</f>
        <v>-17176.800000000003</v>
      </c>
      <c r="H21" s="9">
        <f t="shared" si="6"/>
        <v>-22964.960000000003</v>
      </c>
      <c r="I21" s="9">
        <f t="shared" si="6"/>
        <v>-28914.160319999999</v>
      </c>
      <c r="J21" s="9">
        <f t="shared" si="6"/>
        <v>-19628.968454399994</v>
      </c>
    </row>
    <row r="22" spans="4:10" x14ac:dyDescent="0.25">
      <c r="D22" s="3" t="s">
        <v>15</v>
      </c>
      <c r="E22" s="13">
        <v>0</v>
      </c>
      <c r="F22" s="10">
        <f>SUM(F20:F21)</f>
        <v>13200</v>
      </c>
      <c r="G22" s="10">
        <f t="shared" ref="G22:J22" si="7">SUM(G20:G21)</f>
        <v>33343.199999999997</v>
      </c>
      <c r="H22" s="10">
        <f t="shared" si="7"/>
        <v>44579.039999999994</v>
      </c>
      <c r="I22" s="10">
        <f t="shared" si="7"/>
        <v>56127.487679999991</v>
      </c>
      <c r="J22" s="10">
        <f t="shared" si="7"/>
        <v>38103.291705599986</v>
      </c>
    </row>
    <row r="23" spans="4:10" x14ac:dyDescent="0.25">
      <c r="D23" s="2" t="s">
        <v>17</v>
      </c>
      <c r="E23" s="13">
        <v>0</v>
      </c>
      <c r="F23" s="12">
        <f>-F18</f>
        <v>40000</v>
      </c>
      <c r="G23" s="12">
        <f t="shared" ref="G23:J23" si="8">-G18</f>
        <v>40000</v>
      </c>
      <c r="H23" s="12">
        <f t="shared" si="8"/>
        <v>40000</v>
      </c>
      <c r="I23" s="12">
        <f t="shared" si="8"/>
        <v>40000</v>
      </c>
      <c r="J23" s="12">
        <f t="shared" si="8"/>
        <v>40000</v>
      </c>
    </row>
    <row r="24" spans="4:10" x14ac:dyDescent="0.25">
      <c r="D24" s="2" t="s">
        <v>18</v>
      </c>
      <c r="E24" s="11">
        <v>-200000</v>
      </c>
      <c r="F24" s="9">
        <v>0</v>
      </c>
      <c r="G24" s="9">
        <v>0</v>
      </c>
      <c r="H24" s="9">
        <v>0</v>
      </c>
      <c r="I24" s="9">
        <v>0</v>
      </c>
      <c r="J24" s="9">
        <v>0</v>
      </c>
    </row>
    <row r="25" spans="4:10" x14ac:dyDescent="0.25">
      <c r="D25" s="14" t="s">
        <v>21</v>
      </c>
      <c r="E25" s="16">
        <f>E11</f>
        <v>-19600</v>
      </c>
      <c r="F25" s="16">
        <f>F11-E11</f>
        <v>-6608</v>
      </c>
      <c r="G25" s="16">
        <f>G11-F11</f>
        <v>-4076.8000000000029</v>
      </c>
      <c r="H25" s="16">
        <f>H11-G11</f>
        <v>-4361.0112000000008</v>
      </c>
      <c r="I25" s="17">
        <f>I11-H11</f>
        <v>5165.3754880000015</v>
      </c>
      <c r="J25" s="17">
        <f>J11-I11</f>
        <v>29480.435712000002</v>
      </c>
    </row>
    <row r="26" spans="4:10" x14ac:dyDescent="0.25">
      <c r="D26" s="3" t="s">
        <v>20</v>
      </c>
      <c r="E26" s="18">
        <f>SUM(E22:E25)</f>
        <v>-219600</v>
      </c>
      <c r="F26" s="19">
        <f t="shared" ref="F26:J26" si="9">SUM(F22:F25)</f>
        <v>46592</v>
      </c>
      <c r="G26" s="19">
        <f t="shared" si="9"/>
        <v>69266.399999999994</v>
      </c>
      <c r="H26" s="19">
        <f t="shared" si="9"/>
        <v>80218.0288</v>
      </c>
      <c r="I26" s="19">
        <f t="shared" si="9"/>
        <v>101292.863168</v>
      </c>
      <c r="J26" s="19">
        <f t="shared" si="9"/>
        <v>107583.72741759999</v>
      </c>
    </row>
    <row r="27" spans="4:10" x14ac:dyDescent="0.25">
      <c r="D27" s="14" t="s">
        <v>22</v>
      </c>
      <c r="E27" s="15">
        <v>0</v>
      </c>
      <c r="F27" s="15">
        <v>0</v>
      </c>
      <c r="G27" s="15">
        <v>0</v>
      </c>
      <c r="H27" s="15">
        <v>0</v>
      </c>
      <c r="I27" s="15">
        <v>0</v>
      </c>
      <c r="J27" s="17">
        <f>B11</f>
        <v>23099.999999999996</v>
      </c>
    </row>
    <row r="28" spans="4:10" x14ac:dyDescent="0.25">
      <c r="D28" s="3" t="s">
        <v>23</v>
      </c>
      <c r="E28" s="18">
        <f>SUM(E26:E27)</f>
        <v>-219600</v>
      </c>
      <c r="F28" s="19">
        <f t="shared" ref="F28:J28" si="10">SUM(F26:F27)</f>
        <v>46592</v>
      </c>
      <c r="G28" s="19">
        <f t="shared" si="10"/>
        <v>69266.399999999994</v>
      </c>
      <c r="H28" s="19">
        <f t="shared" si="10"/>
        <v>80218.0288</v>
      </c>
      <c r="I28" s="19">
        <f t="shared" si="10"/>
        <v>101292.863168</v>
      </c>
      <c r="J28" s="19">
        <f t="shared" si="10"/>
        <v>130683.72741759999</v>
      </c>
    </row>
    <row r="29" spans="4:10" x14ac:dyDescent="0.25">
      <c r="D29" s="39"/>
      <c r="E29" s="40"/>
      <c r="F29" s="41"/>
      <c r="G29" s="41"/>
      <c r="H29" s="41"/>
      <c r="I29" s="41"/>
      <c r="J29" s="41"/>
    </row>
    <row r="30" spans="4:10" ht="15" customHeight="1" x14ac:dyDescent="0.25">
      <c r="D30" s="73" t="s">
        <v>152</v>
      </c>
      <c r="E30" s="73"/>
      <c r="F30" s="73"/>
      <c r="G30" s="73"/>
      <c r="H30" s="73"/>
      <c r="I30" s="73"/>
      <c r="J30" s="73"/>
    </row>
    <row r="31" spans="4:10" x14ac:dyDescent="0.25">
      <c r="D31" s="73"/>
      <c r="E31" s="73"/>
      <c r="F31" s="73"/>
      <c r="G31" s="73"/>
      <c r="H31" s="73"/>
      <c r="I31" s="73"/>
      <c r="J31" s="73"/>
    </row>
    <row r="32" spans="4:10" x14ac:dyDescent="0.25">
      <c r="D32" s="73"/>
      <c r="E32" s="73"/>
      <c r="F32" s="73"/>
      <c r="G32" s="73"/>
      <c r="H32" s="73"/>
      <c r="I32" s="73"/>
      <c r="J32" s="73"/>
    </row>
    <row r="33" spans="4:10" x14ac:dyDescent="0.25">
      <c r="D33" s="73"/>
      <c r="E33" s="73"/>
      <c r="F33" s="73"/>
      <c r="G33" s="73"/>
      <c r="H33" s="73"/>
      <c r="I33" s="73"/>
      <c r="J33" s="73"/>
    </row>
    <row r="34" spans="4:10" x14ac:dyDescent="0.25">
      <c r="D34" s="73"/>
      <c r="E34" s="73"/>
      <c r="F34" s="73"/>
      <c r="G34" s="73"/>
      <c r="H34" s="73"/>
      <c r="I34" s="73"/>
      <c r="J34" s="73"/>
    </row>
    <row r="35" spans="4:10" x14ac:dyDescent="0.25">
      <c r="D35" s="73"/>
      <c r="E35" s="73"/>
      <c r="F35" s="73"/>
      <c r="G35" s="73"/>
      <c r="H35" s="73"/>
      <c r="I35" s="73"/>
      <c r="J35" s="73"/>
    </row>
    <row r="36" spans="4:10" x14ac:dyDescent="0.25">
      <c r="D36" s="73"/>
      <c r="E36" s="73"/>
      <c r="F36" s="73"/>
      <c r="G36" s="73"/>
      <c r="H36" s="73"/>
      <c r="I36" s="73"/>
      <c r="J36" s="73"/>
    </row>
    <row r="37" spans="4:10" x14ac:dyDescent="0.25">
      <c r="D37" s="73"/>
      <c r="E37" s="73"/>
      <c r="F37" s="73"/>
      <c r="G37" s="73"/>
      <c r="H37" s="73"/>
      <c r="I37" s="73"/>
      <c r="J37" s="73"/>
    </row>
    <row r="38" spans="4:10" x14ac:dyDescent="0.25">
      <c r="D38" s="73"/>
      <c r="E38" s="73"/>
      <c r="F38" s="73"/>
      <c r="G38" s="73"/>
      <c r="H38" s="73"/>
      <c r="I38" s="73"/>
      <c r="J38" s="73"/>
    </row>
    <row r="39" spans="4:10" x14ac:dyDescent="0.25">
      <c r="D39" s="73"/>
      <c r="E39" s="73"/>
      <c r="F39" s="73"/>
      <c r="G39" s="73"/>
      <c r="H39" s="73"/>
      <c r="I39" s="73"/>
      <c r="J39" s="73"/>
    </row>
    <row r="40" spans="4:10" x14ac:dyDescent="0.25">
      <c r="D40" s="73"/>
      <c r="E40" s="73"/>
      <c r="F40" s="73"/>
      <c r="G40" s="73"/>
      <c r="H40" s="73"/>
      <c r="I40" s="73"/>
      <c r="J40" s="73"/>
    </row>
    <row r="41" spans="4:10" x14ac:dyDescent="0.25">
      <c r="D41" s="73"/>
      <c r="E41" s="73"/>
      <c r="F41" s="73"/>
      <c r="G41" s="73"/>
      <c r="H41" s="73"/>
      <c r="I41" s="73"/>
      <c r="J41" s="73"/>
    </row>
    <row r="42" spans="4:10" x14ac:dyDescent="0.25">
      <c r="D42" s="73"/>
      <c r="E42" s="73"/>
      <c r="F42" s="73"/>
      <c r="G42" s="73"/>
      <c r="H42" s="73"/>
      <c r="I42" s="73"/>
      <c r="J42" s="73"/>
    </row>
    <row r="43" spans="4:10" x14ac:dyDescent="0.25">
      <c r="D43" s="73"/>
      <c r="E43" s="73"/>
      <c r="F43" s="73"/>
      <c r="G43" s="73"/>
      <c r="H43" s="73"/>
      <c r="I43" s="73"/>
      <c r="J43" s="73"/>
    </row>
    <row r="44" spans="4:10" x14ac:dyDescent="0.25">
      <c r="D44" s="73"/>
      <c r="E44" s="73"/>
      <c r="F44" s="73"/>
      <c r="G44" s="73"/>
      <c r="H44" s="73"/>
      <c r="I44" s="73"/>
      <c r="J44" s="73"/>
    </row>
    <row r="45" spans="4:10" x14ac:dyDescent="0.25">
      <c r="D45" s="73"/>
      <c r="E45" s="73"/>
      <c r="F45" s="73"/>
      <c r="G45" s="73"/>
      <c r="H45" s="73"/>
      <c r="I45" s="73"/>
      <c r="J45" s="73"/>
    </row>
    <row r="46" spans="4:10" x14ac:dyDescent="0.25">
      <c r="D46" s="73"/>
      <c r="E46" s="73"/>
      <c r="F46" s="73"/>
      <c r="G46" s="73"/>
      <c r="H46" s="73"/>
      <c r="I46" s="73"/>
      <c r="J46" s="73"/>
    </row>
    <row r="47" spans="4:10" x14ac:dyDescent="0.25">
      <c r="D47" s="73"/>
      <c r="E47" s="73"/>
      <c r="F47" s="73"/>
      <c r="G47" s="73"/>
      <c r="H47" s="73"/>
      <c r="I47" s="73"/>
      <c r="J47" s="73"/>
    </row>
    <row r="48" spans="4:10" x14ac:dyDescent="0.25">
      <c r="F48"/>
    </row>
    <row r="49" spans="4:10" x14ac:dyDescent="0.25">
      <c r="D49" s="36"/>
      <c r="E49" s="76" t="s">
        <v>147</v>
      </c>
      <c r="F49" s="76"/>
      <c r="G49" s="76"/>
      <c r="H49" s="1"/>
      <c r="I49" s="1"/>
      <c r="J49" s="1"/>
    </row>
    <row r="50" spans="4:10" x14ac:dyDescent="0.25">
      <c r="D50" s="36"/>
      <c r="E50" s="36" t="s">
        <v>36</v>
      </c>
      <c r="F50" s="36" t="s">
        <v>35</v>
      </c>
      <c r="G50" s="36" t="s">
        <v>37</v>
      </c>
      <c r="H50" s="42" t="s">
        <v>151</v>
      </c>
    </row>
    <row r="51" spans="4:10" x14ac:dyDescent="0.25">
      <c r="D51" s="36" t="s">
        <v>144</v>
      </c>
      <c r="E51" s="25">
        <v>24686.756957930862</v>
      </c>
      <c r="F51" s="25">
        <v>48922.220620647538</v>
      </c>
      <c r="G51" s="25">
        <v>76867.372834940674</v>
      </c>
      <c r="H51" s="59">
        <f>G51/E51-1</f>
        <v>2.1137088182919985</v>
      </c>
    </row>
    <row r="52" spans="4:10" x14ac:dyDescent="0.25">
      <c r="D52" s="36" t="s">
        <v>145</v>
      </c>
      <c r="E52" s="25">
        <v>6407.2133659253595</v>
      </c>
      <c r="F52" s="25">
        <v>48922.220620647538</v>
      </c>
      <c r="G52" s="25">
        <v>118735.43714144535</v>
      </c>
      <c r="H52" s="60">
        <f>G52/E52-1</f>
        <v>17.531525385575641</v>
      </c>
    </row>
    <row r="53" spans="4:10" x14ac:dyDescent="0.25">
      <c r="D53" s="36" t="s">
        <v>146</v>
      </c>
      <c r="E53" s="25">
        <v>21343.602225838724</v>
      </c>
      <c r="F53" s="25">
        <v>48922.220620647538</v>
      </c>
      <c r="G53" s="25">
        <v>90599.016057273722</v>
      </c>
      <c r="H53" s="59">
        <f>G53/E53-1</f>
        <v>3.2447856317146817</v>
      </c>
    </row>
  </sheetData>
  <mergeCells count="3">
    <mergeCell ref="A6:B6"/>
    <mergeCell ref="E49:G49"/>
    <mergeCell ref="D30:J47"/>
  </mergeCells>
  <conditionalFormatting sqref="D50:G53 H50">
    <cfRule type="colorScale" priority="1">
      <colorScale>
        <cfvo type="min"/>
        <cfvo type="percentile" val="50"/>
        <cfvo type="max"/>
        <color rgb="FFF8696B"/>
        <color rgb="FFFFEB84"/>
        <color rgb="FF63BE7B"/>
      </colorScale>
    </cfRule>
  </conditionalFormatting>
  <pageMargins left="0.511811024" right="0.511811024" top="0.78740157499999996" bottom="0.78740157499999996" header="0.31496062000000002" footer="0.31496062000000002"/>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56A50-C918-42A8-A66D-A8C14D7BE592}">
  <dimension ref="A1:J47"/>
  <sheetViews>
    <sheetView showGridLines="0" topLeftCell="A19" zoomScale="130" zoomScaleNormal="130" workbookViewId="0">
      <selection activeCell="M36" sqref="M36"/>
    </sheetView>
  </sheetViews>
  <sheetFormatPr defaultRowHeight="15" x14ac:dyDescent="0.25"/>
  <cols>
    <col min="1" max="1" width="29.42578125" bestFit="1" customWidth="1"/>
    <col min="2" max="2" width="12.85546875" bestFit="1" customWidth="1"/>
    <col min="3" max="3" width="7" customWidth="1"/>
    <col min="4" max="4" width="32.5703125" style="1" customWidth="1"/>
    <col min="5" max="5" width="12.7109375" style="1" customWidth="1"/>
    <col min="6" max="6" width="13.5703125" style="1" bestFit="1" customWidth="1"/>
    <col min="7" max="9" width="13.5703125" bestFit="1" customWidth="1"/>
    <col min="10" max="10" width="13.28515625" bestFit="1" customWidth="1"/>
    <col min="11" max="11" width="11.85546875" customWidth="1"/>
  </cols>
  <sheetData>
    <row r="1" spans="1:10" x14ac:dyDescent="0.25">
      <c r="E1" s="1" t="s">
        <v>35</v>
      </c>
      <c r="F1" s="1" t="s">
        <v>36</v>
      </c>
      <c r="G1" s="1" t="s">
        <v>37</v>
      </c>
    </row>
    <row r="2" spans="1:10" x14ac:dyDescent="0.25">
      <c r="D2" s="1" t="s">
        <v>34</v>
      </c>
      <c r="E2" s="30">
        <v>0.06</v>
      </c>
      <c r="F2" s="30">
        <v>0.1</v>
      </c>
      <c r="G2" s="30">
        <v>0.01</v>
      </c>
      <c r="H2" s="61">
        <v>0.1</v>
      </c>
    </row>
    <row r="3" spans="1:10" x14ac:dyDescent="0.25">
      <c r="D3" s="1" t="s">
        <v>148</v>
      </c>
      <c r="E3" s="30">
        <v>0.04</v>
      </c>
      <c r="F3" s="30">
        <v>0</v>
      </c>
      <c r="G3" s="30">
        <v>0.1</v>
      </c>
      <c r="H3" s="61">
        <v>0.1</v>
      </c>
    </row>
    <row r="4" spans="1:10" x14ac:dyDescent="0.25">
      <c r="E4" s="30"/>
      <c r="G4" s="30"/>
      <c r="H4" s="20"/>
    </row>
    <row r="5" spans="1:10" x14ac:dyDescent="0.25">
      <c r="A5" s="69" t="s">
        <v>24</v>
      </c>
      <c r="B5" s="70"/>
      <c r="D5" s="1" t="s">
        <v>33</v>
      </c>
      <c r="E5" s="1">
        <f>NPV(15%,F27:J27)+E27</f>
        <v>109062.6667716126</v>
      </c>
    </row>
    <row r="6" spans="1:10" x14ac:dyDescent="0.25">
      <c r="A6" s="21" t="s">
        <v>25</v>
      </c>
      <c r="B6" s="22">
        <v>0.34</v>
      </c>
      <c r="C6" s="20"/>
      <c r="D6" s="4"/>
      <c r="E6" s="5" t="s">
        <v>16</v>
      </c>
      <c r="F6" s="5" t="s">
        <v>0</v>
      </c>
      <c r="G6" s="5" t="s">
        <v>1</v>
      </c>
      <c r="H6" s="6" t="s">
        <v>2</v>
      </c>
      <c r="I6" s="6" t="s">
        <v>3</v>
      </c>
      <c r="J6" s="6" t="s">
        <v>4</v>
      </c>
    </row>
    <row r="7" spans="1:10" x14ac:dyDescent="0.25">
      <c r="A7" s="21" t="s">
        <v>11</v>
      </c>
      <c r="B7" s="23">
        <f>1/5</f>
        <v>0.2</v>
      </c>
      <c r="D7" s="2" t="s">
        <v>5</v>
      </c>
      <c r="E7" s="2">
        <v>0</v>
      </c>
      <c r="F7" s="7">
        <f>7000</f>
        <v>7000</v>
      </c>
      <c r="G7" s="7">
        <v>9000</v>
      </c>
      <c r="H7" s="7">
        <v>10000</v>
      </c>
      <c r="I7" s="7">
        <v>11000</v>
      </c>
      <c r="J7" s="7">
        <v>9000</v>
      </c>
    </row>
    <row r="8" spans="1:10" x14ac:dyDescent="0.25">
      <c r="A8" s="21" t="s">
        <v>26</v>
      </c>
      <c r="B8" s="24">
        <v>200000</v>
      </c>
      <c r="D8" s="2" t="s">
        <v>6</v>
      </c>
      <c r="E8" s="2">
        <v>0</v>
      </c>
      <c r="F8" s="8">
        <v>28</v>
      </c>
      <c r="G8" s="8">
        <f>F8*(1+$H$3)</f>
        <v>30.800000000000004</v>
      </c>
      <c r="H8" s="8">
        <f t="shared" ref="H8:J8" si="0">G8*(1+$H$3)</f>
        <v>33.88000000000001</v>
      </c>
      <c r="I8" s="8">
        <f t="shared" si="0"/>
        <v>37.268000000000015</v>
      </c>
      <c r="J8" s="8">
        <f t="shared" si="0"/>
        <v>40.994800000000019</v>
      </c>
    </row>
    <row r="9" spans="1:10" x14ac:dyDescent="0.25">
      <c r="A9" s="21" t="s">
        <v>27</v>
      </c>
      <c r="B9" s="24">
        <v>-38000</v>
      </c>
      <c r="D9" s="2" t="s">
        <v>7</v>
      </c>
      <c r="E9" s="2">
        <v>0</v>
      </c>
      <c r="F9" s="8">
        <v>14</v>
      </c>
      <c r="G9" s="8">
        <f>F9*(1+$H$2)</f>
        <v>15.400000000000002</v>
      </c>
      <c r="H9" s="8">
        <f t="shared" ref="H9:J9" si="1">G9*(1+$E$2)</f>
        <v>16.324000000000002</v>
      </c>
      <c r="I9" s="8">
        <f t="shared" si="1"/>
        <v>17.303440000000002</v>
      </c>
      <c r="J9" s="8">
        <f t="shared" si="1"/>
        <v>18.341646400000002</v>
      </c>
    </row>
    <row r="10" spans="1:10" x14ac:dyDescent="0.25">
      <c r="A10" s="21" t="s">
        <v>28</v>
      </c>
      <c r="B10" s="25">
        <f>35000*(1-34%)</f>
        <v>23099.999999999996</v>
      </c>
      <c r="D10" s="2" t="s">
        <v>19</v>
      </c>
      <c r="E10" s="9">
        <f>-F14*10%</f>
        <v>-19600</v>
      </c>
      <c r="F10" s="9">
        <f>-G14*10%</f>
        <v>-27720.000000000007</v>
      </c>
      <c r="G10" s="9">
        <f>-H14*10%</f>
        <v>-33880.000000000015</v>
      </c>
      <c r="H10" s="9">
        <f>-I14*10%</f>
        <v>-40994.800000000017</v>
      </c>
      <c r="I10" s="9">
        <f>-J14*10%</f>
        <v>-36895.320000000022</v>
      </c>
      <c r="J10" s="9">
        <v>0</v>
      </c>
    </row>
    <row r="11" spans="1:10" x14ac:dyDescent="0.25">
      <c r="D11"/>
      <c r="E11"/>
      <c r="F11"/>
    </row>
    <row r="12" spans="1:10" x14ac:dyDescent="0.25">
      <c r="D12"/>
      <c r="E12"/>
      <c r="F12"/>
    </row>
    <row r="13" spans="1:10" x14ac:dyDescent="0.25">
      <c r="D13"/>
      <c r="E13"/>
      <c r="F13"/>
    </row>
    <row r="14" spans="1:10" x14ac:dyDescent="0.25">
      <c r="D14" s="2" t="s">
        <v>10</v>
      </c>
      <c r="E14" s="2">
        <v>0</v>
      </c>
      <c r="F14" s="9">
        <f>F7*F8</f>
        <v>196000</v>
      </c>
      <c r="G14" s="9">
        <f t="shared" ref="G14:J14" si="2">G7*G8</f>
        <v>277200.00000000006</v>
      </c>
      <c r="H14" s="9">
        <f t="shared" si="2"/>
        <v>338800.00000000012</v>
      </c>
      <c r="I14" s="9">
        <f t="shared" si="2"/>
        <v>409948.00000000017</v>
      </c>
      <c r="J14" s="9">
        <f t="shared" si="2"/>
        <v>368953.20000000019</v>
      </c>
    </row>
    <row r="15" spans="1:10" x14ac:dyDescent="0.25">
      <c r="D15" s="2" t="s">
        <v>9</v>
      </c>
      <c r="E15" s="2">
        <v>0</v>
      </c>
      <c r="F15" s="9">
        <f>-F9*F7</f>
        <v>-98000</v>
      </c>
      <c r="G15" s="9">
        <f t="shared" ref="G15:J15" si="3">-G9*G7</f>
        <v>-138600.00000000003</v>
      </c>
      <c r="H15" s="9">
        <f t="shared" si="3"/>
        <v>-163240.00000000003</v>
      </c>
      <c r="I15" s="9">
        <f t="shared" si="3"/>
        <v>-190337.84000000003</v>
      </c>
      <c r="J15" s="9">
        <f t="shared" si="3"/>
        <v>-165074.81760000001</v>
      </c>
    </row>
    <row r="16" spans="1:10" x14ac:dyDescent="0.25">
      <c r="D16" s="3" t="s">
        <v>8</v>
      </c>
      <c r="E16" s="2">
        <v>0</v>
      </c>
      <c r="F16" s="10">
        <f>SUM(F14:F15)</f>
        <v>98000</v>
      </c>
      <c r="G16" s="10">
        <f t="shared" ref="G16:J16" si="4">SUM(G14:G15)</f>
        <v>138600.00000000003</v>
      </c>
      <c r="H16" s="10">
        <f t="shared" si="4"/>
        <v>175560.00000000009</v>
      </c>
      <c r="I16" s="10">
        <f t="shared" si="4"/>
        <v>219610.16000000015</v>
      </c>
      <c r="J16" s="10">
        <f t="shared" si="4"/>
        <v>203878.38240000018</v>
      </c>
    </row>
    <row r="17" spans="4:10" x14ac:dyDescent="0.25">
      <c r="D17" s="2" t="s">
        <v>11</v>
      </c>
      <c r="E17" s="2">
        <v>0</v>
      </c>
      <c r="F17" s="9">
        <f>-$B$8*$B$7</f>
        <v>-40000</v>
      </c>
      <c r="G17" s="9">
        <f t="shared" ref="G17:J17" si="5">-$B$8*$B$7</f>
        <v>-40000</v>
      </c>
      <c r="H17" s="9">
        <f t="shared" si="5"/>
        <v>-40000</v>
      </c>
      <c r="I17" s="9">
        <f t="shared" si="5"/>
        <v>-40000</v>
      </c>
      <c r="J17" s="9">
        <f t="shared" si="5"/>
        <v>-40000</v>
      </c>
    </row>
    <row r="18" spans="4:10" x14ac:dyDescent="0.25">
      <c r="D18" s="2" t="s">
        <v>14</v>
      </c>
      <c r="E18" s="2">
        <v>0</v>
      </c>
      <c r="F18" s="9">
        <f>$B$9</f>
        <v>-38000</v>
      </c>
      <c r="G18" s="9">
        <f t="shared" ref="G18:J18" si="6">$B$9</f>
        <v>-38000</v>
      </c>
      <c r="H18" s="9">
        <f t="shared" si="6"/>
        <v>-38000</v>
      </c>
      <c r="I18" s="9">
        <f t="shared" si="6"/>
        <v>-38000</v>
      </c>
      <c r="J18" s="9">
        <f t="shared" si="6"/>
        <v>-38000</v>
      </c>
    </row>
    <row r="19" spans="4:10" x14ac:dyDescent="0.25">
      <c r="D19" s="3" t="s">
        <v>12</v>
      </c>
      <c r="E19" s="2">
        <v>0</v>
      </c>
      <c r="F19" s="10">
        <f>SUM(F16:F18)</f>
        <v>20000</v>
      </c>
      <c r="G19" s="10">
        <f t="shared" ref="G19:J19" si="7">SUM(G16:G18)</f>
        <v>60600.000000000029</v>
      </c>
      <c r="H19" s="10">
        <f t="shared" si="7"/>
        <v>97560.000000000087</v>
      </c>
      <c r="I19" s="10">
        <f t="shared" si="7"/>
        <v>141610.16000000015</v>
      </c>
      <c r="J19" s="10">
        <f t="shared" si="7"/>
        <v>125878.38240000018</v>
      </c>
    </row>
    <row r="20" spans="4:10" x14ac:dyDescent="0.25">
      <c r="D20" s="2" t="s">
        <v>13</v>
      </c>
      <c r="E20" s="2">
        <v>0</v>
      </c>
      <c r="F20" s="9">
        <f>-F19*34%</f>
        <v>-6800.0000000000009</v>
      </c>
      <c r="G20" s="9">
        <f t="shared" ref="G20:J20" si="8">-G19*34%</f>
        <v>-20604.000000000011</v>
      </c>
      <c r="H20" s="9">
        <f t="shared" si="8"/>
        <v>-33170.400000000031</v>
      </c>
      <c r="I20" s="9">
        <f t="shared" si="8"/>
        <v>-48147.454400000053</v>
      </c>
      <c r="J20" s="9">
        <f t="shared" si="8"/>
        <v>-42798.650016000065</v>
      </c>
    </row>
    <row r="21" spans="4:10" x14ac:dyDescent="0.25">
      <c r="D21" s="3" t="s">
        <v>15</v>
      </c>
      <c r="E21" s="13">
        <v>0</v>
      </c>
      <c r="F21" s="10">
        <f>SUM(F19:F20)</f>
        <v>13200</v>
      </c>
      <c r="G21" s="10">
        <f t="shared" ref="G21:J21" si="9">SUM(G19:G20)</f>
        <v>39996.000000000015</v>
      </c>
      <c r="H21" s="10">
        <f t="shared" si="9"/>
        <v>64389.600000000057</v>
      </c>
      <c r="I21" s="10">
        <f t="shared" si="9"/>
        <v>93462.705600000103</v>
      </c>
      <c r="J21" s="10">
        <f t="shared" si="9"/>
        <v>83079.732384000119</v>
      </c>
    </row>
    <row r="22" spans="4:10" x14ac:dyDescent="0.25">
      <c r="D22" s="2" t="s">
        <v>17</v>
      </c>
      <c r="E22" s="13">
        <v>0</v>
      </c>
      <c r="F22" s="12">
        <f>-F17</f>
        <v>40000</v>
      </c>
      <c r="G22" s="12">
        <f t="shared" ref="G22:J22" si="10">-G17</f>
        <v>40000</v>
      </c>
      <c r="H22" s="12">
        <f t="shared" si="10"/>
        <v>40000</v>
      </c>
      <c r="I22" s="12">
        <f t="shared" si="10"/>
        <v>40000</v>
      </c>
      <c r="J22" s="12">
        <f t="shared" si="10"/>
        <v>40000</v>
      </c>
    </row>
    <row r="23" spans="4:10" x14ac:dyDescent="0.25">
      <c r="D23" s="2" t="s">
        <v>18</v>
      </c>
      <c r="E23" s="11">
        <v>-200000</v>
      </c>
      <c r="F23" s="9">
        <v>0</v>
      </c>
      <c r="G23" s="9">
        <v>0</v>
      </c>
      <c r="H23" s="9">
        <v>0</v>
      </c>
      <c r="I23" s="9">
        <v>0</v>
      </c>
      <c r="J23" s="9">
        <v>0</v>
      </c>
    </row>
    <row r="24" spans="4:10" x14ac:dyDescent="0.25">
      <c r="D24" s="14" t="s">
        <v>21</v>
      </c>
      <c r="E24" s="16">
        <f>E10</f>
        <v>-19600</v>
      </c>
      <c r="F24" s="16">
        <f>F10-E10</f>
        <v>-8120.0000000000073</v>
      </c>
      <c r="G24" s="16">
        <f>G10-F10</f>
        <v>-6160.0000000000073</v>
      </c>
      <c r="H24" s="16">
        <f>H10-G10</f>
        <v>-7114.8000000000029</v>
      </c>
      <c r="I24" s="17">
        <f>I10-H10</f>
        <v>4099.4799999999959</v>
      </c>
      <c r="J24" s="17">
        <f>J10-I10</f>
        <v>36895.320000000022</v>
      </c>
    </row>
    <row r="25" spans="4:10" x14ac:dyDescent="0.25">
      <c r="D25" s="3" t="s">
        <v>20</v>
      </c>
      <c r="E25" s="18">
        <f>SUM(E21:E24)</f>
        <v>-219600</v>
      </c>
      <c r="F25" s="19">
        <f t="shared" ref="F25:J25" si="11">SUM(F21:F24)</f>
        <v>45079.999999999993</v>
      </c>
      <c r="G25" s="19">
        <f t="shared" si="11"/>
        <v>73836</v>
      </c>
      <c r="H25" s="19">
        <f t="shared" si="11"/>
        <v>97274.800000000061</v>
      </c>
      <c r="I25" s="19">
        <f t="shared" si="11"/>
        <v>137562.18560000008</v>
      </c>
      <c r="J25" s="19">
        <f t="shared" si="11"/>
        <v>159975.05238400016</v>
      </c>
    </row>
    <row r="26" spans="4:10" x14ac:dyDescent="0.25">
      <c r="D26" s="14" t="s">
        <v>22</v>
      </c>
      <c r="E26" s="15">
        <v>0</v>
      </c>
      <c r="F26" s="15">
        <v>0</v>
      </c>
      <c r="G26" s="15">
        <v>0</v>
      </c>
      <c r="H26" s="15">
        <v>0</v>
      </c>
      <c r="I26" s="15">
        <v>0</v>
      </c>
      <c r="J26" s="17">
        <f>B10</f>
        <v>23099.999999999996</v>
      </c>
    </row>
    <row r="27" spans="4:10" x14ac:dyDescent="0.25">
      <c r="D27" s="3" t="s">
        <v>23</v>
      </c>
      <c r="E27" s="18">
        <f>SUM(E25:E26)</f>
        <v>-219600</v>
      </c>
      <c r="F27" s="19">
        <f t="shared" ref="F27:J27" si="12">SUM(F25:F26)</f>
        <v>45079.999999999993</v>
      </c>
      <c r="G27" s="19">
        <f t="shared" si="12"/>
        <v>73836</v>
      </c>
      <c r="H27" s="19">
        <f t="shared" si="12"/>
        <v>97274.800000000061</v>
      </c>
      <c r="I27" s="19">
        <f t="shared" si="12"/>
        <v>137562.18560000008</v>
      </c>
      <c r="J27" s="19">
        <f t="shared" si="12"/>
        <v>183075.05238400016</v>
      </c>
    </row>
    <row r="28" spans="4:10" x14ac:dyDescent="0.25">
      <c r="F28"/>
    </row>
    <row r="29" spans="4:10" x14ac:dyDescent="0.25">
      <c r="D29" s="74" t="s">
        <v>160</v>
      </c>
      <c r="E29" s="74"/>
      <c r="F29" s="74"/>
      <c r="G29" s="74"/>
      <c r="H29" s="74"/>
      <c r="I29" s="74"/>
      <c r="J29" s="74"/>
    </row>
    <row r="30" spans="4:10" x14ac:dyDescent="0.25">
      <c r="D30" s="74"/>
      <c r="E30" s="74"/>
      <c r="F30" s="74"/>
      <c r="G30" s="74"/>
      <c r="H30" s="74"/>
      <c r="I30" s="74"/>
      <c r="J30" s="74"/>
    </row>
    <row r="31" spans="4:10" x14ac:dyDescent="0.25">
      <c r="D31" s="74"/>
      <c r="E31" s="74"/>
      <c r="F31" s="74"/>
      <c r="G31" s="74"/>
      <c r="H31" s="74"/>
      <c r="I31" s="74"/>
      <c r="J31" s="74"/>
    </row>
    <row r="32" spans="4:10" x14ac:dyDescent="0.25">
      <c r="D32" s="74"/>
      <c r="E32" s="74"/>
      <c r="F32" s="74"/>
      <c r="G32" s="74"/>
      <c r="H32" s="74"/>
      <c r="I32" s="74"/>
      <c r="J32" s="74"/>
    </row>
    <row r="33" spans="4:10" x14ac:dyDescent="0.25">
      <c r="D33" s="74"/>
      <c r="E33" s="74"/>
      <c r="F33" s="74"/>
      <c r="G33" s="74"/>
      <c r="H33" s="74"/>
      <c r="I33" s="74"/>
      <c r="J33" s="74"/>
    </row>
    <row r="34" spans="4:10" x14ac:dyDescent="0.25">
      <c r="D34" s="74"/>
      <c r="E34" s="74"/>
      <c r="F34" s="74"/>
      <c r="G34" s="74"/>
      <c r="H34" s="74"/>
      <c r="I34" s="74"/>
      <c r="J34" s="74"/>
    </row>
    <row r="35" spans="4:10" x14ac:dyDescent="0.25">
      <c r="D35" s="74"/>
      <c r="E35" s="74"/>
      <c r="F35" s="74"/>
      <c r="G35" s="74"/>
      <c r="H35" s="74"/>
      <c r="I35" s="74"/>
      <c r="J35" s="74"/>
    </row>
    <row r="36" spans="4:10" x14ac:dyDescent="0.25">
      <c r="D36" s="74"/>
      <c r="E36" s="74"/>
      <c r="F36" s="74"/>
      <c r="G36" s="74"/>
      <c r="H36" s="74"/>
      <c r="I36" s="74"/>
      <c r="J36" s="74"/>
    </row>
    <row r="37" spans="4:10" x14ac:dyDescent="0.25">
      <c r="D37" s="62"/>
      <c r="E37" s="78" t="s">
        <v>34</v>
      </c>
      <c r="F37" s="79"/>
      <c r="G37" s="79"/>
      <c r="H37" s="80"/>
    </row>
    <row r="38" spans="4:10" x14ac:dyDescent="0.25">
      <c r="D38" s="62"/>
      <c r="E38" s="62"/>
      <c r="F38" s="63">
        <v>0.01</v>
      </c>
      <c r="G38" s="63">
        <v>0.06</v>
      </c>
      <c r="H38" s="63">
        <v>0.1</v>
      </c>
    </row>
    <row r="39" spans="4:10" x14ac:dyDescent="0.25">
      <c r="D39" s="77" t="s">
        <v>159</v>
      </c>
      <c r="E39" s="64">
        <v>0</v>
      </c>
      <c r="F39" s="65">
        <v>18498.176328216243</v>
      </c>
      <c r="G39" s="65">
        <v>6407.2133659253595</v>
      </c>
      <c r="H39" s="65">
        <v>-3265.5570039073355</v>
      </c>
    </row>
    <row r="40" spans="4:10" x14ac:dyDescent="0.25">
      <c r="D40" s="77"/>
      <c r="E40" s="64">
        <v>0.04</v>
      </c>
      <c r="F40" s="65">
        <v>61013.183582938393</v>
      </c>
      <c r="G40" s="65">
        <v>48922.220620647538</v>
      </c>
      <c r="H40" s="65">
        <v>39249.450250814843</v>
      </c>
    </row>
    <row r="41" spans="4:10" x14ac:dyDescent="0.25">
      <c r="D41" s="77"/>
      <c r="E41" s="64">
        <v>0.1</v>
      </c>
      <c r="F41" s="65">
        <v>130826.4001037362</v>
      </c>
      <c r="G41" s="65">
        <v>118735.43714144535</v>
      </c>
      <c r="H41" s="65">
        <v>109062.6667716126</v>
      </c>
    </row>
    <row r="43" spans="4:10" x14ac:dyDescent="0.25">
      <c r="D43" s="74" t="s">
        <v>161</v>
      </c>
      <c r="E43" s="74"/>
      <c r="F43" s="74"/>
      <c r="G43" s="74"/>
      <c r="H43" s="74"/>
      <c r="I43" s="74"/>
      <c r="J43" s="74"/>
    </row>
    <row r="44" spans="4:10" x14ac:dyDescent="0.25">
      <c r="D44" s="74"/>
      <c r="E44" s="74"/>
      <c r="F44" s="74"/>
      <c r="G44" s="74"/>
      <c r="H44" s="74"/>
      <c r="I44" s="74"/>
      <c r="J44" s="74"/>
    </row>
    <row r="45" spans="4:10" x14ac:dyDescent="0.25">
      <c r="D45" s="74"/>
      <c r="E45" s="74"/>
      <c r="F45" s="74"/>
      <c r="G45" s="74"/>
      <c r="H45" s="74"/>
      <c r="I45" s="74"/>
      <c r="J45" s="74"/>
    </row>
    <row r="46" spans="4:10" x14ac:dyDescent="0.25">
      <c r="D46" s="74"/>
      <c r="E46" s="74"/>
      <c r="F46" s="74"/>
      <c r="G46" s="74"/>
      <c r="H46" s="74"/>
      <c r="I46" s="74"/>
      <c r="J46" s="74"/>
    </row>
    <row r="47" spans="4:10" x14ac:dyDescent="0.25">
      <c r="D47" s="74"/>
      <c r="E47" s="74"/>
      <c r="F47" s="74"/>
      <c r="G47" s="74"/>
      <c r="H47" s="74"/>
      <c r="I47" s="74"/>
      <c r="J47" s="74"/>
    </row>
  </sheetData>
  <mergeCells count="5">
    <mergeCell ref="A5:B5"/>
    <mergeCell ref="D29:J36"/>
    <mergeCell ref="D39:D41"/>
    <mergeCell ref="E37:H37"/>
    <mergeCell ref="D43:J47"/>
  </mergeCells>
  <conditionalFormatting sqref="F39:H41">
    <cfRule type="colorScale" priority="1">
      <colorScale>
        <cfvo type="min"/>
        <cfvo type="percentile" val="50"/>
        <cfvo type="max"/>
        <color rgb="FFF8696B"/>
        <color rgb="FFFFEB84"/>
        <color rgb="FF63BE7B"/>
      </colorScale>
    </cfRule>
  </conditionalFormatting>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Regular Solution</vt:lpstr>
      <vt:lpstr>Ex1 - Ac.. Depreciation</vt:lpstr>
      <vt:lpstr>Ex2 - Tax CarryForward</vt:lpstr>
      <vt:lpstr>Ex3 - Perpetual Value</vt:lpstr>
      <vt:lpstr>Ex 4 - Breakeven</vt:lpstr>
      <vt:lpstr>Ex 5 - Sensitivity</vt:lpstr>
      <vt:lpstr>Ex 6 - Scenario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CORREIA</dc:creator>
  <cp:lastModifiedBy>Lucas Macoris</cp:lastModifiedBy>
  <dcterms:created xsi:type="dcterms:W3CDTF">2020-08-21T12:07:15Z</dcterms:created>
  <dcterms:modified xsi:type="dcterms:W3CDTF">2024-06-05T21:26:54Z</dcterms:modified>
</cp:coreProperties>
</file>