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 defaultThemeVersion="124226"/>
  <bookViews>
    <workbookView xWindow="-15" yWindow="600" windowWidth="13020" windowHeight="7740" tabRatio="649" firstSheet="4" activeTab="6"/>
  </bookViews>
  <sheets>
    <sheet name="Picture" sheetId="25" state="hidden" r:id="rId1"/>
    <sheet name="Sheet3" sheetId="23" state="hidden" r:id="rId2"/>
    <sheet name="Wire" sheetId="21" state="hidden" r:id="rId3"/>
    <sheet name="Powder Core Detail" sheetId="1" state="hidden" r:id="rId4"/>
    <sheet name="Toroid Design" sheetId="2" r:id="rId5"/>
    <sheet name="Toroid LI^2 Chart" sheetId="43" r:id="rId6"/>
    <sheet name="E Core Design" sheetId="34" r:id="rId7"/>
    <sheet name="E Core LI^2 Chart" sheetId="45" r:id="rId8"/>
    <sheet name=" Wire Table" sheetId="44" r:id="rId9"/>
    <sheet name="75 CF" sheetId="46" state="hidden" r:id="rId10"/>
    <sheet name="LI_Xflux_E" sheetId="40" state="hidden" r:id="rId11"/>
    <sheet name="PN_XFlux_E" sheetId="41" state="hidden" r:id="rId12"/>
    <sheet name="E Core Detail" sheetId="35" state="hidden" r:id="rId13"/>
    <sheet name="Shape Core Weight" sheetId="36" state="hidden" r:id="rId14"/>
    <sheet name="Wire Resistivity" sheetId="37" state="hidden" r:id="rId15"/>
    <sheet name="Powder Core Toroid OD" sheetId="33" state="hidden" r:id="rId16"/>
    <sheet name="LI_MPP" sheetId="22" state="hidden" r:id="rId17"/>
    <sheet name="PN_MPP" sheetId="24" state="hidden" r:id="rId18"/>
    <sheet name="LI_HF" sheetId="26" state="hidden" r:id="rId19"/>
    <sheet name="PN_HF" sheetId="27" state="hidden" r:id="rId20"/>
    <sheet name="LI_KM" sheetId="28" state="hidden" r:id="rId21"/>
    <sheet name="PN_KM" sheetId="29" state="hidden" r:id="rId22"/>
    <sheet name="LI_XF" sheetId="31" state="hidden" r:id="rId23"/>
    <sheet name="PN_XF" sheetId="32" state="hidden" r:id="rId24"/>
    <sheet name="Wire Table" sheetId="3" state="hidden" r:id="rId25"/>
    <sheet name="Surface Area" sheetId="9" state="hidden" r:id="rId26"/>
    <sheet name="LI_KM_E" sheetId="38" state="hidden" r:id="rId27"/>
    <sheet name="PN_KM_E" sheetId="39" state="hidden" r:id="rId28"/>
    <sheet name="Curve Fit Equations" sheetId="11" state="hidden" r:id="rId29"/>
    <sheet name="Kool Mu CF Constants" sheetId="12" state="hidden" r:id="rId30"/>
    <sheet name="MPP CF" sheetId="13" state="hidden" r:id="rId31"/>
    <sheet name="HF CF" sheetId="14" state="hidden" r:id="rId32"/>
    <sheet name="XF CF" sheetId="15" state="hidden" r:id="rId33"/>
  </sheets>
  <externalReferences>
    <externalReference r:id="rId34"/>
  </externalReferences>
  <definedNames>
    <definedName name="_xlnm._FilterDatabase" localSheetId="12" hidden="1">'E Core Detail'!$A$1:$F$81</definedName>
    <definedName name="_xlnm._FilterDatabase" localSheetId="3" hidden="1">'Powder Core Detail'!$B$1:$T$818</definedName>
    <definedName name="_xlnm._FilterDatabase" localSheetId="13" hidden="1">'Shape Core Weight'!$B$1:$B$107</definedName>
    <definedName name="Material">'[1]Custom Toroid Design'!$C$57:$C$61</definedName>
  </definedNames>
  <calcPr calcId="145621"/>
</workbook>
</file>

<file path=xl/calcChain.xml><?xml version="1.0" encoding="utf-8"?>
<calcChain xmlns="http://schemas.openxmlformats.org/spreadsheetml/2006/main">
  <c r="Q31" i="34" l="1"/>
  <c r="Q28" i="2"/>
  <c r="Q32" i="34"/>
  <c r="Q29" i="2" l="1"/>
  <c r="E37" i="9" l="1"/>
  <c r="D37" i="9"/>
  <c r="H37" i="9" s="1"/>
  <c r="E36" i="9"/>
  <c r="D36" i="9"/>
  <c r="H36" i="9" s="1"/>
  <c r="H35" i="9"/>
  <c r="E35" i="9"/>
  <c r="D35" i="9"/>
  <c r="H34" i="9"/>
  <c r="E34" i="9"/>
  <c r="D34" i="9"/>
  <c r="E33" i="9"/>
  <c r="D33" i="9"/>
  <c r="E32" i="9"/>
  <c r="D32" i="9"/>
  <c r="H32" i="9" s="1"/>
  <c r="H31" i="9"/>
  <c r="E31" i="9"/>
  <c r="D31" i="9"/>
  <c r="H30" i="9"/>
  <c r="E30" i="9"/>
  <c r="D30" i="9"/>
  <c r="E29" i="9"/>
  <c r="D29" i="9"/>
  <c r="H29" i="9" s="1"/>
  <c r="E28" i="9"/>
  <c r="D28" i="9"/>
  <c r="H28" i="9" s="1"/>
  <c r="H27" i="9"/>
  <c r="E27" i="9"/>
  <c r="D27" i="9"/>
  <c r="H26" i="9"/>
  <c r="E26" i="9"/>
  <c r="D26" i="9"/>
  <c r="E25" i="9"/>
  <c r="D25" i="9"/>
  <c r="E24" i="9"/>
  <c r="D24" i="9"/>
  <c r="H24" i="9" s="1"/>
  <c r="H23" i="9"/>
  <c r="E23" i="9"/>
  <c r="D23" i="9"/>
  <c r="H22" i="9"/>
  <c r="E22" i="9"/>
  <c r="D22" i="9"/>
  <c r="E21" i="9"/>
  <c r="D21" i="9"/>
  <c r="H21" i="9" s="1"/>
  <c r="E20" i="9"/>
  <c r="D20" i="9"/>
  <c r="H20" i="9" s="1"/>
  <c r="H19" i="9"/>
  <c r="E19" i="9"/>
  <c r="D19" i="9"/>
  <c r="H18" i="9"/>
  <c r="E18" i="9"/>
  <c r="D18" i="9"/>
  <c r="E17" i="9"/>
  <c r="D17" i="9"/>
  <c r="E16" i="9"/>
  <c r="D16" i="9"/>
  <c r="H16" i="9" s="1"/>
  <c r="H15" i="9"/>
  <c r="E15" i="9"/>
  <c r="D15" i="9"/>
  <c r="H14" i="9"/>
  <c r="E14" i="9"/>
  <c r="D14" i="9"/>
  <c r="E13" i="9"/>
  <c r="D13" i="9"/>
  <c r="H13" i="9" s="1"/>
  <c r="E12" i="9"/>
  <c r="D12" i="9"/>
  <c r="H12" i="9" s="1"/>
  <c r="H11" i="9"/>
  <c r="E11" i="9"/>
  <c r="D11" i="9"/>
  <c r="H10" i="9"/>
  <c r="E10" i="9"/>
  <c r="D10" i="9"/>
  <c r="E9" i="9"/>
  <c r="D9" i="9"/>
  <c r="E8" i="9"/>
  <c r="D8" i="9"/>
  <c r="H8" i="9" s="1"/>
  <c r="H7" i="9"/>
  <c r="E7" i="9"/>
  <c r="D7" i="9"/>
  <c r="H6" i="9"/>
  <c r="E6" i="9"/>
  <c r="D6" i="9"/>
  <c r="E5" i="9"/>
  <c r="D5" i="9"/>
  <c r="H5" i="9" s="1"/>
  <c r="E4" i="9"/>
  <c r="D4" i="9"/>
  <c r="H4" i="9" s="1"/>
  <c r="H3" i="9"/>
  <c r="E3" i="9"/>
  <c r="D3" i="9"/>
  <c r="H2" i="9"/>
  <c r="E2" i="9"/>
  <c r="D2" i="9"/>
  <c r="N47" i="3"/>
  <c r="E47" i="3"/>
  <c r="N46" i="3"/>
  <c r="E46" i="3"/>
  <c r="N45" i="3"/>
  <c r="E45" i="3"/>
  <c r="N44" i="3"/>
  <c r="E44" i="3"/>
  <c r="N43" i="3"/>
  <c r="E43" i="3"/>
  <c r="N42" i="3"/>
  <c r="E42" i="3"/>
  <c r="N41" i="3"/>
  <c r="E41" i="3"/>
  <c r="N40" i="3"/>
  <c r="E40" i="3"/>
  <c r="N39" i="3"/>
  <c r="E39" i="3"/>
  <c r="N38" i="3"/>
  <c r="E38" i="3"/>
  <c r="N37" i="3"/>
  <c r="E37" i="3"/>
  <c r="N36" i="3"/>
  <c r="E36" i="3"/>
  <c r="N35" i="3"/>
  <c r="E35" i="3"/>
  <c r="N34" i="3"/>
  <c r="E34" i="3"/>
  <c r="N33" i="3"/>
  <c r="E33" i="3"/>
  <c r="N32" i="3"/>
  <c r="E32" i="3"/>
  <c r="N31" i="3"/>
  <c r="E31" i="3"/>
  <c r="N30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N21" i="3"/>
  <c r="E21" i="3"/>
  <c r="N20" i="3"/>
  <c r="E20" i="3"/>
  <c r="N19" i="3"/>
  <c r="E19" i="3"/>
  <c r="N18" i="3"/>
  <c r="E18" i="3"/>
  <c r="N17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N10" i="3"/>
  <c r="E10" i="3"/>
  <c r="N9" i="3"/>
  <c r="E9" i="3"/>
  <c r="N8" i="3"/>
  <c r="E8" i="3"/>
  <c r="N7" i="3"/>
  <c r="E7" i="3"/>
  <c r="N6" i="3"/>
  <c r="E6" i="3"/>
  <c r="N5" i="3"/>
  <c r="E5" i="3"/>
  <c r="V32" i="2" s="1"/>
  <c r="V33" i="2" s="1"/>
  <c r="V71" i="2" s="1"/>
  <c r="N4" i="3"/>
  <c r="E4" i="3"/>
  <c r="D107" i="36"/>
  <c r="D106" i="36"/>
  <c r="D104" i="36"/>
  <c r="D103" i="36"/>
  <c r="D102" i="36"/>
  <c r="D100" i="36"/>
  <c r="D96" i="36"/>
  <c r="D51" i="36"/>
  <c r="D43" i="36"/>
  <c r="D39" i="36"/>
  <c r="D35" i="36"/>
  <c r="D23" i="36"/>
  <c r="D22" i="36"/>
  <c r="E5" i="36"/>
  <c r="E4" i="36"/>
  <c r="E2" i="36"/>
  <c r="Z81" i="35"/>
  <c r="V81" i="35"/>
  <c r="X81" i="35" s="1"/>
  <c r="U81" i="35"/>
  <c r="Z80" i="35"/>
  <c r="U80" i="35"/>
  <c r="V80" i="35" s="1"/>
  <c r="Z79" i="35"/>
  <c r="X79" i="35"/>
  <c r="V79" i="35"/>
  <c r="W79" i="35" s="1"/>
  <c r="U79" i="35"/>
  <c r="AA78" i="35"/>
  <c r="Z78" i="35"/>
  <c r="Y78" i="35" s="1"/>
  <c r="U78" i="35"/>
  <c r="V78" i="35" s="1"/>
  <c r="W78" i="35" s="1"/>
  <c r="X78" i="35" s="1"/>
  <c r="Z77" i="35"/>
  <c r="AA77" i="35" s="1"/>
  <c r="W77" i="35"/>
  <c r="V77" i="35"/>
  <c r="U77" i="35"/>
  <c r="AA76" i="35"/>
  <c r="Z76" i="35"/>
  <c r="W76" i="35"/>
  <c r="U76" i="35"/>
  <c r="V76" i="35" s="1"/>
  <c r="Z75" i="35"/>
  <c r="AA75" i="35" s="1"/>
  <c r="W75" i="35"/>
  <c r="V75" i="35"/>
  <c r="U75" i="35"/>
  <c r="AA74" i="35"/>
  <c r="Z74" i="35"/>
  <c r="W74" i="35"/>
  <c r="U74" i="35"/>
  <c r="V74" i="35" s="1"/>
  <c r="Z73" i="35"/>
  <c r="AA73" i="35" s="1"/>
  <c r="W73" i="35"/>
  <c r="V73" i="35"/>
  <c r="U73" i="35"/>
  <c r="AA72" i="35"/>
  <c r="Z72" i="35"/>
  <c r="W72" i="35"/>
  <c r="U72" i="35"/>
  <c r="V72" i="35" s="1"/>
  <c r="Z71" i="35"/>
  <c r="AA71" i="35" s="1"/>
  <c r="W71" i="35"/>
  <c r="U71" i="35"/>
  <c r="V71" i="35" s="1"/>
  <c r="AA70" i="35"/>
  <c r="Z70" i="35"/>
  <c r="W70" i="35"/>
  <c r="U70" i="35"/>
  <c r="V70" i="35" s="1"/>
  <c r="Z69" i="35"/>
  <c r="AA69" i="35" s="1"/>
  <c r="W69" i="35"/>
  <c r="U69" i="35"/>
  <c r="V69" i="35" s="1"/>
  <c r="Z68" i="35"/>
  <c r="AA68" i="35" s="1"/>
  <c r="X68" i="35"/>
  <c r="U68" i="35"/>
  <c r="V68" i="35" s="1"/>
  <c r="Z67" i="35"/>
  <c r="AA67" i="35" s="1"/>
  <c r="X67" i="35"/>
  <c r="U67" i="35"/>
  <c r="V67" i="35" s="1"/>
  <c r="AA66" i="35"/>
  <c r="Z66" i="35"/>
  <c r="X66" i="35"/>
  <c r="U66" i="35"/>
  <c r="V66" i="35" s="1"/>
  <c r="Z65" i="35"/>
  <c r="AA65" i="35" s="1"/>
  <c r="U65" i="35"/>
  <c r="V65" i="35" s="1"/>
  <c r="Z64" i="35"/>
  <c r="AA64" i="35" s="1"/>
  <c r="U64" i="35"/>
  <c r="V64" i="35" s="1"/>
  <c r="Z63" i="35"/>
  <c r="AA63" i="35" s="1"/>
  <c r="U63" i="35"/>
  <c r="V63" i="35" s="1"/>
  <c r="Z62" i="35"/>
  <c r="AA62" i="35" s="1"/>
  <c r="U62" i="35"/>
  <c r="V62" i="35" s="1"/>
  <c r="Z61" i="35"/>
  <c r="AA61" i="35" s="1"/>
  <c r="U61" i="35"/>
  <c r="V61" i="35" s="1"/>
  <c r="Z60" i="35"/>
  <c r="AA60" i="35" s="1"/>
  <c r="U60" i="35"/>
  <c r="V60" i="35" s="1"/>
  <c r="Z59" i="35"/>
  <c r="AA59" i="35" s="1"/>
  <c r="X59" i="35"/>
  <c r="V59" i="35"/>
  <c r="U59" i="35"/>
  <c r="AA58" i="35"/>
  <c r="Z58" i="35"/>
  <c r="X58" i="35"/>
  <c r="U58" i="35"/>
  <c r="V58" i="35" s="1"/>
  <c r="Z57" i="35"/>
  <c r="AA57" i="35" s="1"/>
  <c r="X57" i="35"/>
  <c r="V57" i="35"/>
  <c r="U57" i="35"/>
  <c r="AA56" i="35"/>
  <c r="Z56" i="35"/>
  <c r="U56" i="35"/>
  <c r="V56" i="35" s="1"/>
  <c r="AA55" i="35"/>
  <c r="Z55" i="35"/>
  <c r="U55" i="35"/>
  <c r="V55" i="35" s="1"/>
  <c r="Z54" i="35"/>
  <c r="AA54" i="35" s="1"/>
  <c r="U54" i="35"/>
  <c r="V54" i="35" s="1"/>
  <c r="Z53" i="35"/>
  <c r="Y53" i="35"/>
  <c r="AA53" i="35" s="1"/>
  <c r="U53" i="35"/>
  <c r="V53" i="35" s="1"/>
  <c r="W53" i="35" s="1"/>
  <c r="X53" i="35" s="1"/>
  <c r="Z52" i="35"/>
  <c r="U52" i="35"/>
  <c r="V52" i="35" s="1"/>
  <c r="W52" i="35" s="1"/>
  <c r="X52" i="35" s="1"/>
  <c r="Z51" i="35"/>
  <c r="Y51" i="35"/>
  <c r="AA51" i="35" s="1"/>
  <c r="U51" i="35"/>
  <c r="V51" i="35" s="1"/>
  <c r="W51" i="35" s="1"/>
  <c r="X51" i="35" s="1"/>
  <c r="Z50" i="35"/>
  <c r="AA50" i="35" s="1"/>
  <c r="W50" i="35"/>
  <c r="V50" i="35"/>
  <c r="U50" i="35"/>
  <c r="AA49" i="35"/>
  <c r="Z49" i="35"/>
  <c r="W49" i="35"/>
  <c r="U49" i="35"/>
  <c r="V49" i="35" s="1"/>
  <c r="Z48" i="35"/>
  <c r="AA48" i="35" s="1"/>
  <c r="W48" i="35"/>
  <c r="V48" i="35"/>
  <c r="U48" i="35"/>
  <c r="AA47" i="35"/>
  <c r="Z47" i="35"/>
  <c r="W47" i="35"/>
  <c r="U47" i="35"/>
  <c r="V47" i="35" s="1"/>
  <c r="Z46" i="35"/>
  <c r="AA46" i="35" s="1"/>
  <c r="W46" i="35"/>
  <c r="V46" i="35"/>
  <c r="U46" i="35"/>
  <c r="AA45" i="35"/>
  <c r="Z45" i="35"/>
  <c r="W45" i="35"/>
  <c r="U45" i="35"/>
  <c r="V45" i="35" s="1"/>
  <c r="Z44" i="35"/>
  <c r="AA44" i="35" s="1"/>
  <c r="W44" i="35"/>
  <c r="V44" i="35"/>
  <c r="U44" i="35"/>
  <c r="AA43" i="35"/>
  <c r="Z43" i="35"/>
  <c r="W43" i="35"/>
  <c r="U43" i="35"/>
  <c r="V43" i="35" s="1"/>
  <c r="Z42" i="35"/>
  <c r="AA42" i="35" s="1"/>
  <c r="W42" i="35"/>
  <c r="V42" i="35"/>
  <c r="U42" i="35"/>
  <c r="AA41" i="35"/>
  <c r="Z41" i="35"/>
  <c r="X41" i="35"/>
  <c r="U41" i="35"/>
  <c r="V41" i="35" s="1"/>
  <c r="Z40" i="35"/>
  <c r="AA40" i="35" s="1"/>
  <c r="X40" i="35"/>
  <c r="V40" i="35"/>
  <c r="U40" i="35"/>
  <c r="AA39" i="35"/>
  <c r="Z39" i="35"/>
  <c r="X39" i="35"/>
  <c r="U39" i="35"/>
  <c r="V39" i="35" s="1"/>
  <c r="Z38" i="35"/>
  <c r="AA38" i="35" s="1"/>
  <c r="X38" i="35"/>
  <c r="V38" i="35"/>
  <c r="U38" i="35"/>
  <c r="AA37" i="35"/>
  <c r="Z37" i="35"/>
  <c r="V37" i="35"/>
  <c r="U37" i="35"/>
  <c r="AA36" i="35"/>
  <c r="Z36" i="35"/>
  <c r="V36" i="35"/>
  <c r="U36" i="35"/>
  <c r="AA35" i="35"/>
  <c r="Z35" i="35"/>
  <c r="V35" i="35"/>
  <c r="U35" i="35"/>
  <c r="AA34" i="35"/>
  <c r="Z34" i="35"/>
  <c r="V34" i="35"/>
  <c r="U34" i="35"/>
  <c r="AA33" i="35"/>
  <c r="Z33" i="35"/>
  <c r="V33" i="35"/>
  <c r="U33" i="35"/>
  <c r="AA32" i="35"/>
  <c r="Z32" i="35"/>
  <c r="V32" i="35"/>
  <c r="U32" i="35"/>
  <c r="AA31" i="35"/>
  <c r="Z31" i="35"/>
  <c r="V31" i="35"/>
  <c r="U31" i="35"/>
  <c r="AA30" i="35"/>
  <c r="Z30" i="35"/>
  <c r="V30" i="35"/>
  <c r="U30" i="35"/>
  <c r="AA29" i="35"/>
  <c r="Z29" i="35"/>
  <c r="X29" i="35"/>
  <c r="U29" i="35"/>
  <c r="V29" i="35" s="1"/>
  <c r="Z28" i="35"/>
  <c r="AA28" i="35" s="1"/>
  <c r="X28" i="35"/>
  <c r="V28" i="35"/>
  <c r="U28" i="35"/>
  <c r="AA27" i="35"/>
  <c r="Z27" i="35"/>
  <c r="X27" i="35"/>
  <c r="U27" i="35"/>
  <c r="V27" i="35" s="1"/>
  <c r="Z26" i="35"/>
  <c r="AA26" i="35" s="1"/>
  <c r="X26" i="35"/>
  <c r="V26" i="35"/>
  <c r="U26" i="35"/>
  <c r="AA25" i="35"/>
  <c r="Z25" i="35"/>
  <c r="V25" i="35"/>
  <c r="U25" i="35"/>
  <c r="AA24" i="35"/>
  <c r="Z24" i="35"/>
  <c r="V24" i="35"/>
  <c r="U24" i="35"/>
  <c r="AA23" i="35"/>
  <c r="Z23" i="35"/>
  <c r="V23" i="35"/>
  <c r="U23" i="35"/>
  <c r="AA22" i="35"/>
  <c r="Z22" i="35"/>
  <c r="V22" i="35"/>
  <c r="U22" i="35"/>
  <c r="Z21" i="35"/>
  <c r="Y21" i="35"/>
  <c r="AA21" i="35" s="1"/>
  <c r="U21" i="35"/>
  <c r="V21" i="35" s="1"/>
  <c r="Z20" i="35"/>
  <c r="Y20" i="35" s="1"/>
  <c r="U20" i="35"/>
  <c r="V20" i="35" s="1"/>
  <c r="X20" i="35" s="1"/>
  <c r="Z19" i="35"/>
  <c r="Y19" i="35" s="1"/>
  <c r="AA19" i="35" s="1"/>
  <c r="U19" i="35"/>
  <c r="V19" i="35" s="1"/>
  <c r="Z18" i="35"/>
  <c r="X18" i="35"/>
  <c r="V18" i="35"/>
  <c r="W18" i="35" s="1"/>
  <c r="U18" i="35"/>
  <c r="Z17" i="35"/>
  <c r="AA17" i="35" s="1"/>
  <c r="V17" i="35"/>
  <c r="U17" i="35"/>
  <c r="Z16" i="35"/>
  <c r="AA16" i="35" s="1"/>
  <c r="V16" i="35"/>
  <c r="U16" i="35"/>
  <c r="Z15" i="35"/>
  <c r="AA15" i="35" s="1"/>
  <c r="V15" i="35"/>
  <c r="U15" i="35"/>
  <c r="Z14" i="35"/>
  <c r="AA14" i="35" s="1"/>
  <c r="V14" i="35"/>
  <c r="U14" i="35"/>
  <c r="Z13" i="35"/>
  <c r="AA13" i="35" s="1"/>
  <c r="X13" i="35"/>
  <c r="U13" i="35"/>
  <c r="V13" i="35" s="1"/>
  <c r="Z12" i="35"/>
  <c r="AA12" i="35" s="1"/>
  <c r="X12" i="35"/>
  <c r="V12" i="35"/>
  <c r="U12" i="35"/>
  <c r="Z11" i="35"/>
  <c r="AA11" i="35" s="1"/>
  <c r="X11" i="35"/>
  <c r="U11" i="35"/>
  <c r="V11" i="35" s="1"/>
  <c r="Z10" i="35"/>
  <c r="AA10" i="35" s="1"/>
  <c r="X10" i="35"/>
  <c r="V10" i="35"/>
  <c r="U10" i="35"/>
  <c r="Z9" i="35"/>
  <c r="AA9" i="35" s="1"/>
  <c r="V9" i="35"/>
  <c r="U9" i="35"/>
  <c r="Z8" i="35"/>
  <c r="AA8" i="35" s="1"/>
  <c r="V8" i="35"/>
  <c r="U8" i="35"/>
  <c r="Z7" i="35"/>
  <c r="AA7" i="35" s="1"/>
  <c r="V7" i="35"/>
  <c r="U7" i="35"/>
  <c r="Z6" i="35"/>
  <c r="AA6" i="35" s="1"/>
  <c r="V6" i="35"/>
  <c r="U6" i="35"/>
  <c r="Z5" i="35"/>
  <c r="AA5" i="35" s="1"/>
  <c r="V5" i="35"/>
  <c r="U5" i="35"/>
  <c r="Z4" i="35"/>
  <c r="AA4" i="35" s="1"/>
  <c r="V4" i="35"/>
  <c r="U4" i="35"/>
  <c r="Z3" i="35"/>
  <c r="AA3" i="35" s="1"/>
  <c r="V3" i="35"/>
  <c r="U3" i="35"/>
  <c r="Z2" i="35"/>
  <c r="AA2" i="35" s="1"/>
  <c r="V2" i="35"/>
  <c r="U2" i="35"/>
  <c r="Q45" i="34"/>
  <c r="Q38" i="34"/>
  <c r="E35" i="34"/>
  <c r="B33" i="34"/>
  <c r="B32" i="34"/>
  <c r="Q37" i="34"/>
  <c r="E12" i="34"/>
  <c r="E8" i="34"/>
  <c r="Q33" i="34" s="1"/>
  <c r="B8" i="34"/>
  <c r="E7" i="34"/>
  <c r="E6" i="34"/>
  <c r="B6" i="34"/>
  <c r="B5" i="34"/>
  <c r="E4" i="34"/>
  <c r="E34" i="34" s="1"/>
  <c r="B4" i="34"/>
  <c r="Q3" i="34"/>
  <c r="Q129" i="34" s="1"/>
  <c r="Q130" i="34" s="1"/>
  <c r="E3" i="34"/>
  <c r="V94" i="2"/>
  <c r="V93" i="2"/>
  <c r="V90" i="2"/>
  <c r="V87" i="2"/>
  <c r="V83" i="2"/>
  <c r="V68" i="2"/>
  <c r="V67" i="2"/>
  <c r="V66" i="2"/>
  <c r="V65" i="2"/>
  <c r="V46" i="2"/>
  <c r="V45" i="2"/>
  <c r="V44" i="2"/>
  <c r="Q41" i="2"/>
  <c r="Q49" i="2" s="1"/>
  <c r="V34" i="2"/>
  <c r="V35" i="2" s="1"/>
  <c r="V36" i="2" s="1"/>
  <c r="V31" i="2"/>
  <c r="Q83" i="2"/>
  <c r="V21" i="2"/>
  <c r="V20" i="2" s="1"/>
  <c r="V16" i="2"/>
  <c r="E11" i="2"/>
  <c r="E8" i="2"/>
  <c r="V7" i="2"/>
  <c r="V43" i="2" s="1"/>
  <c r="E7" i="2"/>
  <c r="V30" i="2" s="1"/>
  <c r="V6" i="2"/>
  <c r="E6" i="2"/>
  <c r="E5" i="2" s="1"/>
  <c r="V5" i="2"/>
  <c r="Q4" i="2"/>
  <c r="E4" i="2"/>
  <c r="Q3" i="2"/>
  <c r="Q66" i="2" s="1"/>
  <c r="AL17" i="2" s="1"/>
  <c r="E3" i="2"/>
  <c r="U818" i="1"/>
  <c r="V818" i="1" s="1"/>
  <c r="V817" i="1"/>
  <c r="U817" i="1"/>
  <c r="U816" i="1"/>
  <c r="V816" i="1" s="1"/>
  <c r="V815" i="1"/>
  <c r="U815" i="1"/>
  <c r="U814" i="1"/>
  <c r="V814" i="1" s="1"/>
  <c r="V813" i="1"/>
  <c r="U813" i="1"/>
  <c r="U812" i="1"/>
  <c r="V812" i="1" s="1"/>
  <c r="U811" i="1"/>
  <c r="V811" i="1" s="1"/>
  <c r="U810" i="1"/>
  <c r="V810" i="1" s="1"/>
  <c r="V809" i="1"/>
  <c r="U809" i="1"/>
  <c r="U808" i="1"/>
  <c r="V808" i="1" s="1"/>
  <c r="V807" i="1"/>
  <c r="U807" i="1"/>
  <c r="U806" i="1"/>
  <c r="V806" i="1" s="1"/>
  <c r="U805" i="1"/>
  <c r="V805" i="1" s="1"/>
  <c r="U804" i="1"/>
  <c r="V804" i="1" s="1"/>
  <c r="U803" i="1"/>
  <c r="V803" i="1" s="1"/>
  <c r="U802" i="1"/>
  <c r="V802" i="1" s="1"/>
  <c r="V801" i="1"/>
  <c r="U801" i="1"/>
  <c r="U800" i="1"/>
  <c r="V800" i="1" s="1"/>
  <c r="U799" i="1"/>
  <c r="V799" i="1" s="1"/>
  <c r="U798" i="1"/>
  <c r="V798" i="1" s="1"/>
  <c r="V797" i="1"/>
  <c r="U797" i="1"/>
  <c r="U796" i="1"/>
  <c r="V796" i="1" s="1"/>
  <c r="U795" i="1"/>
  <c r="V795" i="1" s="1"/>
  <c r="U794" i="1"/>
  <c r="V794" i="1" s="1"/>
  <c r="V793" i="1"/>
  <c r="U793" i="1"/>
  <c r="U792" i="1"/>
  <c r="V792" i="1" s="1"/>
  <c r="V791" i="1"/>
  <c r="U791" i="1"/>
  <c r="U790" i="1"/>
  <c r="V790" i="1" s="1"/>
  <c r="V789" i="1"/>
  <c r="U789" i="1"/>
  <c r="U788" i="1"/>
  <c r="V788" i="1" s="1"/>
  <c r="U787" i="1"/>
  <c r="V787" i="1" s="1"/>
  <c r="U786" i="1"/>
  <c r="V786" i="1" s="1"/>
  <c r="V785" i="1"/>
  <c r="U785" i="1"/>
  <c r="U784" i="1"/>
  <c r="V784" i="1" s="1"/>
  <c r="V783" i="1"/>
  <c r="U783" i="1"/>
  <c r="U782" i="1"/>
  <c r="V782" i="1" s="1"/>
  <c r="V781" i="1"/>
  <c r="U781" i="1"/>
  <c r="U780" i="1"/>
  <c r="V780" i="1" s="1"/>
  <c r="U779" i="1"/>
  <c r="V779" i="1" s="1"/>
  <c r="U778" i="1"/>
  <c r="V778" i="1" s="1"/>
  <c r="V777" i="1"/>
  <c r="U777" i="1"/>
  <c r="U776" i="1"/>
  <c r="V776" i="1" s="1"/>
  <c r="V775" i="1"/>
  <c r="U775" i="1"/>
  <c r="U774" i="1"/>
  <c r="V774" i="1" s="1"/>
  <c r="U773" i="1"/>
  <c r="V773" i="1" s="1"/>
  <c r="U772" i="1"/>
  <c r="V772" i="1" s="1"/>
  <c r="U771" i="1"/>
  <c r="V771" i="1" s="1"/>
  <c r="U770" i="1"/>
  <c r="V770" i="1" s="1"/>
  <c r="V769" i="1"/>
  <c r="U769" i="1"/>
  <c r="U768" i="1"/>
  <c r="V768" i="1" s="1"/>
  <c r="U767" i="1"/>
  <c r="V767" i="1" s="1"/>
  <c r="U766" i="1"/>
  <c r="V766" i="1" s="1"/>
  <c r="V765" i="1"/>
  <c r="U765" i="1"/>
  <c r="U764" i="1"/>
  <c r="V764" i="1" s="1"/>
  <c r="U763" i="1"/>
  <c r="V763" i="1" s="1"/>
  <c r="U762" i="1"/>
  <c r="V762" i="1" s="1"/>
  <c r="V761" i="1"/>
  <c r="U761" i="1"/>
  <c r="U760" i="1"/>
  <c r="V760" i="1" s="1"/>
  <c r="V759" i="1"/>
  <c r="U759" i="1"/>
  <c r="U758" i="1"/>
  <c r="V758" i="1" s="1"/>
  <c r="V757" i="1"/>
  <c r="U757" i="1"/>
  <c r="U756" i="1"/>
  <c r="V756" i="1" s="1"/>
  <c r="U755" i="1"/>
  <c r="V755" i="1" s="1"/>
  <c r="U754" i="1"/>
  <c r="V754" i="1" s="1"/>
  <c r="V753" i="1"/>
  <c r="U753" i="1"/>
  <c r="U752" i="1"/>
  <c r="V752" i="1" s="1"/>
  <c r="V751" i="1"/>
  <c r="U751" i="1"/>
  <c r="U750" i="1"/>
  <c r="V750" i="1" s="1"/>
  <c r="V749" i="1"/>
  <c r="U749" i="1"/>
  <c r="U748" i="1"/>
  <c r="V748" i="1" s="1"/>
  <c r="U747" i="1"/>
  <c r="V747" i="1" s="1"/>
  <c r="U746" i="1"/>
  <c r="V746" i="1" s="1"/>
  <c r="V745" i="1"/>
  <c r="U745" i="1"/>
  <c r="U744" i="1"/>
  <c r="V744" i="1" s="1"/>
  <c r="V743" i="1"/>
  <c r="U743" i="1"/>
  <c r="U742" i="1"/>
  <c r="V742" i="1" s="1"/>
  <c r="U741" i="1"/>
  <c r="V741" i="1" s="1"/>
  <c r="U740" i="1"/>
  <c r="V740" i="1" s="1"/>
  <c r="U739" i="1"/>
  <c r="V739" i="1" s="1"/>
  <c r="U738" i="1"/>
  <c r="V738" i="1" s="1"/>
  <c r="V737" i="1"/>
  <c r="U737" i="1"/>
  <c r="U736" i="1"/>
  <c r="V736" i="1" s="1"/>
  <c r="U735" i="1"/>
  <c r="V735" i="1" s="1"/>
  <c r="U734" i="1"/>
  <c r="V734" i="1" s="1"/>
  <c r="V733" i="1"/>
  <c r="U733" i="1"/>
  <c r="U732" i="1"/>
  <c r="V732" i="1" s="1"/>
  <c r="U731" i="1"/>
  <c r="V731" i="1" s="1"/>
  <c r="U730" i="1"/>
  <c r="V730" i="1" s="1"/>
  <c r="V729" i="1"/>
  <c r="U729" i="1"/>
  <c r="U728" i="1"/>
  <c r="V728" i="1" s="1"/>
  <c r="V727" i="1"/>
  <c r="U727" i="1"/>
  <c r="U726" i="1"/>
  <c r="V726" i="1" s="1"/>
  <c r="V725" i="1"/>
  <c r="U725" i="1"/>
  <c r="U724" i="1"/>
  <c r="V724" i="1" s="1"/>
  <c r="U723" i="1"/>
  <c r="V723" i="1" s="1"/>
  <c r="U722" i="1"/>
  <c r="V722" i="1" s="1"/>
  <c r="V721" i="1"/>
  <c r="U721" i="1"/>
  <c r="U713" i="1"/>
  <c r="V713" i="1" s="1"/>
  <c r="V712" i="1"/>
  <c r="U712" i="1"/>
  <c r="U711" i="1"/>
  <c r="V711" i="1" s="1"/>
  <c r="V710" i="1"/>
  <c r="U710" i="1"/>
  <c r="U709" i="1"/>
  <c r="V709" i="1" s="1"/>
  <c r="U708" i="1"/>
  <c r="V708" i="1" s="1"/>
  <c r="U707" i="1"/>
  <c r="V707" i="1" s="1"/>
  <c r="V706" i="1"/>
  <c r="U706" i="1"/>
  <c r="U705" i="1"/>
  <c r="V705" i="1" s="1"/>
  <c r="V704" i="1"/>
  <c r="U704" i="1"/>
  <c r="U703" i="1"/>
  <c r="V703" i="1" s="1"/>
  <c r="U702" i="1"/>
  <c r="V702" i="1" s="1"/>
  <c r="U701" i="1"/>
  <c r="V701" i="1" s="1"/>
  <c r="U700" i="1"/>
  <c r="V700" i="1" s="1"/>
  <c r="U699" i="1"/>
  <c r="V699" i="1" s="1"/>
  <c r="V698" i="1"/>
  <c r="U698" i="1"/>
  <c r="U697" i="1"/>
  <c r="V697" i="1" s="1"/>
  <c r="U696" i="1"/>
  <c r="V696" i="1" s="1"/>
  <c r="U695" i="1"/>
  <c r="V695" i="1" s="1"/>
  <c r="V694" i="1"/>
  <c r="U694" i="1"/>
  <c r="U693" i="1"/>
  <c r="V693" i="1" s="1"/>
  <c r="U692" i="1"/>
  <c r="V692" i="1" s="1"/>
  <c r="U691" i="1"/>
  <c r="V691" i="1" s="1"/>
  <c r="V690" i="1"/>
  <c r="U690" i="1"/>
  <c r="U689" i="1"/>
  <c r="V689" i="1" s="1"/>
  <c r="V688" i="1"/>
  <c r="U688" i="1"/>
  <c r="U687" i="1"/>
  <c r="V687" i="1" s="1"/>
  <c r="V686" i="1"/>
  <c r="U686" i="1"/>
  <c r="U685" i="1"/>
  <c r="V685" i="1" s="1"/>
  <c r="U684" i="1"/>
  <c r="V684" i="1" s="1"/>
  <c r="U683" i="1"/>
  <c r="V683" i="1" s="1"/>
  <c r="V682" i="1"/>
  <c r="U682" i="1"/>
  <c r="U681" i="1"/>
  <c r="V681" i="1" s="1"/>
  <c r="V680" i="1"/>
  <c r="U680" i="1"/>
  <c r="U679" i="1"/>
  <c r="V679" i="1" s="1"/>
  <c r="V678" i="1"/>
  <c r="U678" i="1"/>
  <c r="U677" i="1"/>
  <c r="V677" i="1" s="1"/>
  <c r="U676" i="1"/>
  <c r="V676" i="1" s="1"/>
  <c r="U675" i="1"/>
  <c r="V675" i="1" s="1"/>
  <c r="V674" i="1"/>
  <c r="U674" i="1"/>
  <c r="U673" i="1"/>
  <c r="V673" i="1" s="1"/>
  <c r="V672" i="1"/>
  <c r="U672" i="1"/>
  <c r="U671" i="1"/>
  <c r="V671" i="1" s="1"/>
  <c r="U670" i="1"/>
  <c r="V670" i="1" s="1"/>
  <c r="U669" i="1"/>
  <c r="V669" i="1" s="1"/>
  <c r="U668" i="1"/>
  <c r="V668" i="1" s="1"/>
  <c r="U667" i="1"/>
  <c r="V667" i="1" s="1"/>
  <c r="V666" i="1"/>
  <c r="U666" i="1"/>
  <c r="U665" i="1"/>
  <c r="V665" i="1" s="1"/>
  <c r="U664" i="1"/>
  <c r="V664" i="1" s="1"/>
  <c r="U663" i="1"/>
  <c r="V663" i="1" s="1"/>
  <c r="V662" i="1"/>
  <c r="U662" i="1"/>
  <c r="U661" i="1"/>
  <c r="V661" i="1" s="1"/>
  <c r="V660" i="1"/>
  <c r="U660" i="1"/>
  <c r="U659" i="1"/>
  <c r="V659" i="1" s="1"/>
  <c r="V658" i="1"/>
  <c r="U658" i="1"/>
  <c r="U657" i="1"/>
  <c r="V657" i="1" s="1"/>
  <c r="U656" i="1"/>
  <c r="V656" i="1" s="1"/>
  <c r="U655" i="1"/>
  <c r="V655" i="1" s="1"/>
  <c r="V654" i="1"/>
  <c r="U654" i="1"/>
  <c r="U653" i="1"/>
  <c r="V653" i="1" s="1"/>
  <c r="V652" i="1"/>
  <c r="U652" i="1"/>
  <c r="U651" i="1"/>
  <c r="V651" i="1" s="1"/>
  <c r="V650" i="1"/>
  <c r="U650" i="1"/>
  <c r="U649" i="1"/>
  <c r="V649" i="1" s="1"/>
  <c r="U648" i="1"/>
  <c r="V648" i="1" s="1"/>
  <c r="U647" i="1"/>
  <c r="V647" i="1" s="1"/>
  <c r="V646" i="1"/>
  <c r="U646" i="1"/>
  <c r="U645" i="1"/>
  <c r="V645" i="1" s="1"/>
  <c r="V644" i="1"/>
  <c r="U644" i="1"/>
  <c r="U643" i="1"/>
  <c r="V643" i="1" s="1"/>
  <c r="V642" i="1"/>
  <c r="U642" i="1"/>
  <c r="U641" i="1"/>
  <c r="V641" i="1" s="1"/>
  <c r="U640" i="1"/>
  <c r="V640" i="1" s="1"/>
  <c r="U639" i="1"/>
  <c r="V639" i="1" s="1"/>
  <c r="V638" i="1"/>
  <c r="U638" i="1"/>
  <c r="U637" i="1"/>
  <c r="V637" i="1" s="1"/>
  <c r="V636" i="1"/>
  <c r="U636" i="1"/>
  <c r="U635" i="1"/>
  <c r="V635" i="1" s="1"/>
  <c r="V634" i="1"/>
  <c r="U634" i="1"/>
  <c r="U633" i="1"/>
  <c r="V633" i="1" s="1"/>
  <c r="U632" i="1"/>
  <c r="V632" i="1" s="1"/>
  <c r="U631" i="1"/>
  <c r="V631" i="1" s="1"/>
  <c r="V630" i="1"/>
  <c r="U630" i="1"/>
  <c r="U629" i="1"/>
  <c r="V629" i="1" s="1"/>
  <c r="V628" i="1"/>
  <c r="U628" i="1"/>
  <c r="U627" i="1"/>
  <c r="V627" i="1" s="1"/>
  <c r="V626" i="1"/>
  <c r="U626" i="1"/>
  <c r="U625" i="1"/>
  <c r="V625" i="1" s="1"/>
  <c r="U624" i="1"/>
  <c r="V624" i="1" s="1"/>
  <c r="U623" i="1"/>
  <c r="V623" i="1" s="1"/>
  <c r="V622" i="1"/>
  <c r="U622" i="1"/>
  <c r="U621" i="1"/>
  <c r="V621" i="1" s="1"/>
  <c r="V620" i="1"/>
  <c r="U620" i="1"/>
  <c r="U619" i="1"/>
  <c r="V619" i="1" s="1"/>
  <c r="V618" i="1"/>
  <c r="U618" i="1"/>
  <c r="U617" i="1"/>
  <c r="V617" i="1" s="1"/>
  <c r="U616" i="1"/>
  <c r="V616" i="1" s="1"/>
  <c r="U615" i="1"/>
  <c r="V615" i="1" s="1"/>
  <c r="V614" i="1"/>
  <c r="U614" i="1"/>
  <c r="U613" i="1"/>
  <c r="V613" i="1" s="1"/>
  <c r="V612" i="1"/>
  <c r="U612" i="1"/>
  <c r="U611" i="1"/>
  <c r="V611" i="1" s="1"/>
  <c r="V610" i="1"/>
  <c r="U610" i="1"/>
  <c r="U609" i="1"/>
  <c r="V609" i="1" s="1"/>
  <c r="U608" i="1"/>
  <c r="V608" i="1" s="1"/>
  <c r="U607" i="1"/>
  <c r="V607" i="1" s="1"/>
  <c r="V606" i="1"/>
  <c r="U606" i="1"/>
  <c r="U605" i="1"/>
  <c r="V605" i="1" s="1"/>
  <c r="V604" i="1"/>
  <c r="U604" i="1"/>
  <c r="U603" i="1"/>
  <c r="V603" i="1" s="1"/>
  <c r="V602" i="1"/>
  <c r="U602" i="1"/>
  <c r="U601" i="1"/>
  <c r="V601" i="1" s="1"/>
  <c r="U600" i="1"/>
  <c r="V600" i="1" s="1"/>
  <c r="U599" i="1"/>
  <c r="V599" i="1" s="1"/>
  <c r="V598" i="1"/>
  <c r="U598" i="1"/>
  <c r="U597" i="1"/>
  <c r="V597" i="1" s="1"/>
  <c r="V596" i="1"/>
  <c r="U596" i="1"/>
  <c r="U595" i="1"/>
  <c r="V595" i="1" s="1"/>
  <c r="V594" i="1"/>
  <c r="U594" i="1"/>
  <c r="U593" i="1"/>
  <c r="V593" i="1" s="1"/>
  <c r="U592" i="1"/>
  <c r="V592" i="1" s="1"/>
  <c r="U591" i="1"/>
  <c r="V591" i="1" s="1"/>
  <c r="V590" i="1"/>
  <c r="U590" i="1"/>
  <c r="U589" i="1"/>
  <c r="V589" i="1" s="1"/>
  <c r="V588" i="1"/>
  <c r="U588" i="1"/>
  <c r="U587" i="1"/>
  <c r="V587" i="1" s="1"/>
  <c r="V586" i="1"/>
  <c r="U586" i="1"/>
  <c r="U585" i="1"/>
  <c r="V585" i="1" s="1"/>
  <c r="U584" i="1"/>
  <c r="V584" i="1" s="1"/>
  <c r="U583" i="1"/>
  <c r="V583" i="1" s="1"/>
  <c r="V582" i="1"/>
  <c r="U582" i="1"/>
  <c r="U581" i="1"/>
  <c r="V581" i="1" s="1"/>
  <c r="V580" i="1"/>
  <c r="U580" i="1"/>
  <c r="U579" i="1"/>
  <c r="V579" i="1" s="1"/>
  <c r="V578" i="1"/>
  <c r="U578" i="1"/>
  <c r="U577" i="1"/>
  <c r="V577" i="1" s="1"/>
  <c r="U576" i="1"/>
  <c r="V576" i="1" s="1"/>
  <c r="U575" i="1"/>
  <c r="V575" i="1" s="1"/>
  <c r="V574" i="1"/>
  <c r="U574" i="1"/>
  <c r="U573" i="1"/>
  <c r="V573" i="1" s="1"/>
  <c r="V572" i="1"/>
  <c r="U572" i="1"/>
  <c r="U571" i="1"/>
  <c r="V571" i="1" s="1"/>
  <c r="V570" i="1"/>
  <c r="U570" i="1"/>
  <c r="U569" i="1"/>
  <c r="V569" i="1" s="1"/>
  <c r="U568" i="1"/>
  <c r="V568" i="1" s="1"/>
  <c r="U567" i="1"/>
  <c r="V567" i="1" s="1"/>
  <c r="V566" i="1"/>
  <c r="U566" i="1"/>
  <c r="U565" i="1"/>
  <c r="V565" i="1" s="1"/>
  <c r="V564" i="1"/>
  <c r="U564" i="1"/>
  <c r="U563" i="1"/>
  <c r="V563" i="1" s="1"/>
  <c r="V562" i="1"/>
  <c r="U562" i="1"/>
  <c r="U561" i="1"/>
  <c r="V561" i="1" s="1"/>
  <c r="U560" i="1"/>
  <c r="V560" i="1" s="1"/>
  <c r="U559" i="1"/>
  <c r="V559" i="1" s="1"/>
  <c r="V548" i="1"/>
  <c r="U548" i="1"/>
  <c r="U547" i="1"/>
  <c r="V547" i="1" s="1"/>
  <c r="V546" i="1"/>
  <c r="U546" i="1"/>
  <c r="U545" i="1"/>
  <c r="V545" i="1" s="1"/>
  <c r="V544" i="1"/>
  <c r="U544" i="1"/>
  <c r="U543" i="1"/>
  <c r="V543" i="1" s="1"/>
  <c r="U542" i="1"/>
  <c r="V542" i="1" s="1"/>
  <c r="U541" i="1"/>
  <c r="V541" i="1" s="1"/>
  <c r="V540" i="1"/>
  <c r="U540" i="1"/>
  <c r="U539" i="1"/>
  <c r="V539" i="1" s="1"/>
  <c r="V538" i="1"/>
  <c r="U538" i="1"/>
  <c r="U537" i="1"/>
  <c r="V537" i="1" s="1"/>
  <c r="V536" i="1"/>
  <c r="U536" i="1"/>
  <c r="U535" i="1"/>
  <c r="V535" i="1" s="1"/>
  <c r="U534" i="1"/>
  <c r="V534" i="1" s="1"/>
  <c r="U533" i="1"/>
  <c r="V533" i="1" s="1"/>
  <c r="V532" i="1"/>
  <c r="U532" i="1"/>
  <c r="U531" i="1"/>
  <c r="V531" i="1" s="1"/>
  <c r="V530" i="1"/>
  <c r="U530" i="1"/>
  <c r="U529" i="1"/>
  <c r="V529" i="1" s="1"/>
  <c r="V528" i="1"/>
  <c r="U528" i="1"/>
  <c r="U527" i="1"/>
  <c r="V527" i="1" s="1"/>
  <c r="U526" i="1"/>
  <c r="V526" i="1" s="1"/>
  <c r="U525" i="1"/>
  <c r="V525" i="1" s="1"/>
  <c r="V524" i="1"/>
  <c r="U524" i="1"/>
  <c r="U523" i="1"/>
  <c r="V523" i="1" s="1"/>
  <c r="V522" i="1"/>
  <c r="U522" i="1"/>
  <c r="U521" i="1"/>
  <c r="V521" i="1" s="1"/>
  <c r="V520" i="1"/>
  <c r="U520" i="1"/>
  <c r="U519" i="1"/>
  <c r="V519" i="1" s="1"/>
  <c r="U518" i="1"/>
  <c r="V518" i="1" s="1"/>
  <c r="U517" i="1"/>
  <c r="V517" i="1" s="1"/>
  <c r="V516" i="1"/>
  <c r="U516" i="1"/>
  <c r="U515" i="1"/>
  <c r="V515" i="1" s="1"/>
  <c r="V514" i="1"/>
  <c r="U514" i="1"/>
  <c r="U513" i="1"/>
  <c r="V513" i="1" s="1"/>
  <c r="V512" i="1"/>
  <c r="U512" i="1"/>
  <c r="U511" i="1"/>
  <c r="V511" i="1" s="1"/>
  <c r="U510" i="1"/>
  <c r="V510" i="1" s="1"/>
  <c r="U509" i="1"/>
  <c r="V509" i="1" s="1"/>
  <c r="V508" i="1"/>
  <c r="U508" i="1"/>
  <c r="U507" i="1"/>
  <c r="V507" i="1" s="1"/>
  <c r="V506" i="1"/>
  <c r="U506" i="1"/>
  <c r="U505" i="1"/>
  <c r="V505" i="1" s="1"/>
  <c r="V504" i="1"/>
  <c r="U504" i="1"/>
  <c r="U503" i="1"/>
  <c r="V503" i="1" s="1"/>
  <c r="U502" i="1"/>
  <c r="V502" i="1" s="1"/>
  <c r="U501" i="1"/>
  <c r="V501" i="1" s="1"/>
  <c r="V500" i="1"/>
  <c r="U500" i="1"/>
  <c r="U499" i="1"/>
  <c r="V499" i="1" s="1"/>
  <c r="V498" i="1"/>
  <c r="U498" i="1"/>
  <c r="U497" i="1"/>
  <c r="V497" i="1" s="1"/>
  <c r="V496" i="1"/>
  <c r="U496" i="1"/>
  <c r="U495" i="1"/>
  <c r="V495" i="1" s="1"/>
  <c r="U494" i="1"/>
  <c r="V494" i="1" s="1"/>
  <c r="U493" i="1"/>
  <c r="V493" i="1" s="1"/>
  <c r="V492" i="1"/>
  <c r="U492" i="1"/>
  <c r="U491" i="1"/>
  <c r="V491" i="1" s="1"/>
  <c r="V490" i="1"/>
  <c r="U490" i="1"/>
  <c r="U489" i="1"/>
  <c r="V489" i="1" s="1"/>
  <c r="V488" i="1"/>
  <c r="U488" i="1"/>
  <c r="U487" i="1"/>
  <c r="V487" i="1" s="1"/>
  <c r="U486" i="1"/>
  <c r="V486" i="1" s="1"/>
  <c r="U485" i="1"/>
  <c r="V485" i="1" s="1"/>
  <c r="V484" i="1"/>
  <c r="U484" i="1"/>
  <c r="U483" i="1"/>
  <c r="V483" i="1" s="1"/>
  <c r="V482" i="1"/>
  <c r="U482" i="1"/>
  <c r="U481" i="1"/>
  <c r="V481" i="1" s="1"/>
  <c r="V480" i="1"/>
  <c r="U480" i="1"/>
  <c r="U479" i="1"/>
  <c r="V479" i="1" s="1"/>
  <c r="U478" i="1"/>
  <c r="V478" i="1" s="1"/>
  <c r="U477" i="1"/>
  <c r="V477" i="1" s="1"/>
  <c r="V476" i="1"/>
  <c r="U476" i="1"/>
  <c r="U475" i="1"/>
  <c r="V475" i="1" s="1"/>
  <c r="V474" i="1"/>
  <c r="U474" i="1"/>
  <c r="U473" i="1"/>
  <c r="V473" i="1" s="1"/>
  <c r="V472" i="1"/>
  <c r="U472" i="1"/>
  <c r="U471" i="1"/>
  <c r="V471" i="1" s="1"/>
  <c r="U470" i="1"/>
  <c r="V470" i="1" s="1"/>
  <c r="U469" i="1"/>
  <c r="V469" i="1" s="1"/>
  <c r="V468" i="1"/>
  <c r="U468" i="1"/>
  <c r="U467" i="1"/>
  <c r="V467" i="1" s="1"/>
  <c r="V466" i="1"/>
  <c r="U466" i="1"/>
  <c r="U465" i="1"/>
  <c r="V465" i="1" s="1"/>
  <c r="V464" i="1"/>
  <c r="U464" i="1"/>
  <c r="U463" i="1"/>
  <c r="V463" i="1" s="1"/>
  <c r="U462" i="1"/>
  <c r="V462" i="1" s="1"/>
  <c r="U461" i="1"/>
  <c r="V461" i="1" s="1"/>
  <c r="V460" i="1"/>
  <c r="U460" i="1"/>
  <c r="U459" i="1"/>
  <c r="V459" i="1" s="1"/>
  <c r="V458" i="1"/>
  <c r="U458" i="1"/>
  <c r="U457" i="1"/>
  <c r="V457" i="1" s="1"/>
  <c r="V456" i="1"/>
  <c r="U456" i="1"/>
  <c r="U455" i="1"/>
  <c r="V455" i="1" s="1"/>
  <c r="U454" i="1"/>
  <c r="V454" i="1" s="1"/>
  <c r="U453" i="1"/>
  <c r="V453" i="1" s="1"/>
  <c r="V452" i="1"/>
  <c r="U452" i="1"/>
  <c r="U451" i="1"/>
  <c r="V451" i="1" s="1"/>
  <c r="V450" i="1"/>
  <c r="U450" i="1"/>
  <c r="U449" i="1"/>
  <c r="V449" i="1" s="1"/>
  <c r="V448" i="1"/>
  <c r="U448" i="1"/>
  <c r="U447" i="1"/>
  <c r="V447" i="1" s="1"/>
  <c r="U446" i="1"/>
  <c r="V446" i="1" s="1"/>
  <c r="U445" i="1"/>
  <c r="V445" i="1" s="1"/>
  <c r="V444" i="1"/>
  <c r="U444" i="1"/>
  <c r="U443" i="1"/>
  <c r="V443" i="1" s="1"/>
  <c r="V442" i="1"/>
  <c r="U442" i="1"/>
  <c r="U441" i="1"/>
  <c r="V441" i="1" s="1"/>
  <c r="V440" i="1"/>
  <c r="U440" i="1"/>
  <c r="U439" i="1"/>
  <c r="V439" i="1" s="1"/>
  <c r="U438" i="1"/>
  <c r="V438" i="1" s="1"/>
  <c r="U437" i="1"/>
  <c r="V437" i="1" s="1"/>
  <c r="V436" i="1"/>
  <c r="U436" i="1"/>
  <c r="U435" i="1"/>
  <c r="V435" i="1" s="1"/>
  <c r="V434" i="1"/>
  <c r="U434" i="1"/>
  <c r="U433" i="1"/>
  <c r="V433" i="1" s="1"/>
  <c r="V432" i="1"/>
  <c r="U432" i="1"/>
  <c r="U431" i="1"/>
  <c r="V431" i="1" s="1"/>
  <c r="U430" i="1"/>
  <c r="V430" i="1" s="1"/>
  <c r="U429" i="1"/>
  <c r="V429" i="1" s="1"/>
  <c r="V428" i="1"/>
  <c r="U428" i="1"/>
  <c r="U427" i="1"/>
  <c r="V427" i="1" s="1"/>
  <c r="V426" i="1"/>
  <c r="U426" i="1"/>
  <c r="U425" i="1"/>
  <c r="V425" i="1" s="1"/>
  <c r="V424" i="1"/>
  <c r="U424" i="1"/>
  <c r="U423" i="1"/>
  <c r="V423" i="1" s="1"/>
  <c r="U422" i="1"/>
  <c r="V422" i="1" s="1"/>
  <c r="U421" i="1"/>
  <c r="V421" i="1" s="1"/>
  <c r="V420" i="1"/>
  <c r="U420" i="1"/>
  <c r="U419" i="1"/>
  <c r="V419" i="1" s="1"/>
  <c r="V418" i="1"/>
  <c r="U418" i="1"/>
  <c r="U417" i="1"/>
  <c r="V417" i="1" s="1"/>
  <c r="V416" i="1"/>
  <c r="U416" i="1"/>
  <c r="U415" i="1"/>
  <c r="V415" i="1" s="1"/>
  <c r="U414" i="1"/>
  <c r="V414" i="1" s="1"/>
  <c r="U413" i="1"/>
  <c r="V413" i="1" s="1"/>
  <c r="V412" i="1"/>
  <c r="U412" i="1"/>
  <c r="U411" i="1"/>
  <c r="V411" i="1" s="1"/>
  <c r="V410" i="1"/>
  <c r="U410" i="1"/>
  <c r="U409" i="1"/>
  <c r="V409" i="1" s="1"/>
  <c r="V408" i="1"/>
  <c r="U408" i="1"/>
  <c r="U407" i="1"/>
  <c r="V407" i="1" s="1"/>
  <c r="U406" i="1"/>
  <c r="V406" i="1" s="1"/>
  <c r="U405" i="1"/>
  <c r="V405" i="1" s="1"/>
  <c r="V404" i="1"/>
  <c r="U404" i="1"/>
  <c r="U403" i="1"/>
  <c r="V403" i="1" s="1"/>
  <c r="V402" i="1"/>
  <c r="U402" i="1"/>
  <c r="U401" i="1"/>
  <c r="V401" i="1" s="1"/>
  <c r="V400" i="1"/>
  <c r="U400" i="1"/>
  <c r="U399" i="1"/>
  <c r="V399" i="1" s="1"/>
  <c r="U398" i="1"/>
  <c r="V398" i="1" s="1"/>
  <c r="U397" i="1"/>
  <c r="V397" i="1" s="1"/>
  <c r="V396" i="1"/>
  <c r="U396" i="1"/>
  <c r="U395" i="1"/>
  <c r="V395" i="1" s="1"/>
  <c r="V394" i="1"/>
  <c r="U394" i="1"/>
  <c r="U393" i="1"/>
  <c r="V393" i="1" s="1"/>
  <c r="V392" i="1"/>
  <c r="U392" i="1"/>
  <c r="U391" i="1"/>
  <c r="V391" i="1" s="1"/>
  <c r="U390" i="1"/>
  <c r="V390" i="1" s="1"/>
  <c r="U389" i="1"/>
  <c r="V389" i="1" s="1"/>
  <c r="V388" i="1"/>
  <c r="U388" i="1"/>
  <c r="U387" i="1"/>
  <c r="V387" i="1" s="1"/>
  <c r="V386" i="1"/>
  <c r="U386" i="1"/>
  <c r="U385" i="1"/>
  <c r="V385" i="1" s="1"/>
  <c r="V384" i="1"/>
  <c r="U384" i="1"/>
  <c r="U383" i="1"/>
  <c r="V383" i="1" s="1"/>
  <c r="U382" i="1"/>
  <c r="V382" i="1" s="1"/>
  <c r="V381" i="1"/>
  <c r="U381" i="1"/>
  <c r="U380" i="1"/>
  <c r="V380" i="1" s="1"/>
  <c r="V379" i="1"/>
  <c r="U379" i="1"/>
  <c r="U378" i="1"/>
  <c r="V378" i="1" s="1"/>
  <c r="V377" i="1"/>
  <c r="U377" i="1"/>
  <c r="U376" i="1"/>
  <c r="V376" i="1" s="1"/>
  <c r="V375" i="1"/>
  <c r="U375" i="1"/>
  <c r="U374" i="1"/>
  <c r="V374" i="1" s="1"/>
  <c r="V373" i="1"/>
  <c r="U373" i="1"/>
  <c r="U372" i="1"/>
  <c r="V372" i="1" s="1"/>
  <c r="V371" i="1"/>
  <c r="U371" i="1"/>
  <c r="U370" i="1"/>
  <c r="V370" i="1" s="1"/>
  <c r="V369" i="1"/>
  <c r="U369" i="1"/>
  <c r="U368" i="1"/>
  <c r="V368" i="1" s="1"/>
  <c r="V367" i="1"/>
  <c r="U367" i="1"/>
  <c r="U366" i="1"/>
  <c r="V366" i="1" s="1"/>
  <c r="V365" i="1"/>
  <c r="U365" i="1"/>
  <c r="U364" i="1"/>
  <c r="V364" i="1" s="1"/>
  <c r="V363" i="1"/>
  <c r="U363" i="1"/>
  <c r="U362" i="1"/>
  <c r="V362" i="1" s="1"/>
  <c r="V361" i="1"/>
  <c r="U361" i="1"/>
  <c r="U360" i="1"/>
  <c r="V360" i="1" s="1"/>
  <c r="V359" i="1"/>
  <c r="U359" i="1"/>
  <c r="U358" i="1"/>
  <c r="V358" i="1" s="1"/>
  <c r="V357" i="1"/>
  <c r="U357" i="1"/>
  <c r="U356" i="1"/>
  <c r="V356" i="1" s="1"/>
  <c r="V355" i="1"/>
  <c r="U355" i="1"/>
  <c r="U354" i="1"/>
  <c r="V354" i="1" s="1"/>
  <c r="V353" i="1"/>
  <c r="U353" i="1"/>
  <c r="U352" i="1"/>
  <c r="V352" i="1" s="1"/>
  <c r="V351" i="1"/>
  <c r="U351" i="1"/>
  <c r="U350" i="1"/>
  <c r="V350" i="1" s="1"/>
  <c r="V349" i="1"/>
  <c r="U349" i="1"/>
  <c r="U348" i="1"/>
  <c r="V348" i="1" s="1"/>
  <c r="V347" i="1"/>
  <c r="U347" i="1"/>
  <c r="U346" i="1"/>
  <c r="V346" i="1" s="1"/>
  <c r="V345" i="1"/>
  <c r="U345" i="1"/>
  <c r="U344" i="1"/>
  <c r="V344" i="1" s="1"/>
  <c r="V343" i="1"/>
  <c r="U343" i="1"/>
  <c r="U342" i="1"/>
  <c r="V342" i="1" s="1"/>
  <c r="V341" i="1"/>
  <c r="U341" i="1"/>
  <c r="U340" i="1"/>
  <c r="V340" i="1" s="1"/>
  <c r="V339" i="1"/>
  <c r="U339" i="1"/>
  <c r="U338" i="1"/>
  <c r="V338" i="1" s="1"/>
  <c r="V337" i="1"/>
  <c r="U337" i="1"/>
  <c r="U336" i="1"/>
  <c r="V336" i="1" s="1"/>
  <c r="V335" i="1"/>
  <c r="U335" i="1"/>
  <c r="U334" i="1"/>
  <c r="V334" i="1" s="1"/>
  <c r="V333" i="1"/>
  <c r="U333" i="1"/>
  <c r="U332" i="1"/>
  <c r="V332" i="1" s="1"/>
  <c r="V331" i="1"/>
  <c r="U331" i="1"/>
  <c r="U330" i="1"/>
  <c r="V330" i="1" s="1"/>
  <c r="V329" i="1"/>
  <c r="U329" i="1"/>
  <c r="U328" i="1"/>
  <c r="V328" i="1" s="1"/>
  <c r="V327" i="1"/>
  <c r="U327" i="1"/>
  <c r="U326" i="1"/>
  <c r="V326" i="1" s="1"/>
  <c r="V325" i="1"/>
  <c r="U325" i="1"/>
  <c r="U324" i="1"/>
  <c r="V324" i="1" s="1"/>
  <c r="V323" i="1"/>
  <c r="U323" i="1"/>
  <c r="U322" i="1"/>
  <c r="V322" i="1" s="1"/>
  <c r="V321" i="1"/>
  <c r="U321" i="1"/>
  <c r="U320" i="1"/>
  <c r="V320" i="1" s="1"/>
  <c r="V319" i="1"/>
  <c r="U319" i="1"/>
  <c r="U318" i="1"/>
  <c r="V318" i="1" s="1"/>
  <c r="V317" i="1"/>
  <c r="U317" i="1"/>
  <c r="U316" i="1"/>
  <c r="V316" i="1" s="1"/>
  <c r="V315" i="1"/>
  <c r="U315" i="1"/>
  <c r="U310" i="1"/>
  <c r="V310" i="1" s="1"/>
  <c r="V309" i="1"/>
  <c r="U309" i="1"/>
  <c r="U308" i="1"/>
  <c r="V308" i="1" s="1"/>
  <c r="V307" i="1"/>
  <c r="U307" i="1"/>
  <c r="U305" i="1"/>
  <c r="V305" i="1" s="1"/>
  <c r="V304" i="1"/>
  <c r="U304" i="1"/>
  <c r="U303" i="1"/>
  <c r="V303" i="1" s="1"/>
  <c r="V302" i="1"/>
  <c r="U302" i="1"/>
  <c r="U301" i="1"/>
  <c r="V301" i="1" s="1"/>
  <c r="V300" i="1"/>
  <c r="U300" i="1"/>
  <c r="U299" i="1"/>
  <c r="V299" i="1" s="1"/>
  <c r="V298" i="1"/>
  <c r="U298" i="1"/>
  <c r="U297" i="1"/>
  <c r="V297" i="1" s="1"/>
  <c r="V296" i="1"/>
  <c r="U296" i="1"/>
  <c r="U291" i="1"/>
  <c r="V291" i="1" s="1"/>
  <c r="V290" i="1"/>
  <c r="U290" i="1"/>
  <c r="U289" i="1"/>
  <c r="V289" i="1" s="1"/>
  <c r="V288" i="1"/>
  <c r="U288" i="1"/>
  <c r="U287" i="1"/>
  <c r="V287" i="1" s="1"/>
  <c r="V286" i="1"/>
  <c r="U286" i="1"/>
  <c r="U285" i="1"/>
  <c r="V285" i="1" s="1"/>
  <c r="V284" i="1"/>
  <c r="U284" i="1"/>
  <c r="U283" i="1"/>
  <c r="V283" i="1" s="1"/>
  <c r="V281" i="1"/>
  <c r="U281" i="1"/>
  <c r="U280" i="1"/>
  <c r="V280" i="1" s="1"/>
  <c r="V279" i="1"/>
  <c r="U279" i="1"/>
  <c r="U278" i="1"/>
  <c r="V278" i="1" s="1"/>
  <c r="V277" i="1"/>
  <c r="U277" i="1"/>
  <c r="U276" i="1"/>
  <c r="V276" i="1" s="1"/>
  <c r="V275" i="1"/>
  <c r="U275" i="1"/>
  <c r="U274" i="1"/>
  <c r="V274" i="1" s="1"/>
  <c r="V273" i="1"/>
  <c r="U273" i="1"/>
  <c r="U272" i="1"/>
  <c r="V272" i="1" s="1"/>
  <c r="V271" i="1"/>
  <c r="U271" i="1"/>
  <c r="U270" i="1"/>
  <c r="V270" i="1" s="1"/>
  <c r="V269" i="1"/>
  <c r="U269" i="1"/>
  <c r="U268" i="1"/>
  <c r="V268" i="1" s="1"/>
  <c r="V267" i="1"/>
  <c r="U267" i="1"/>
  <c r="U266" i="1"/>
  <c r="V266" i="1" s="1"/>
  <c r="V265" i="1"/>
  <c r="U265" i="1"/>
  <c r="U264" i="1"/>
  <c r="V264" i="1" s="1"/>
  <c r="V263" i="1"/>
  <c r="U263" i="1"/>
  <c r="U262" i="1"/>
  <c r="V262" i="1" s="1"/>
  <c r="V261" i="1"/>
  <c r="U261" i="1"/>
  <c r="U260" i="1"/>
  <c r="V260" i="1" s="1"/>
  <c r="V259" i="1"/>
  <c r="U259" i="1"/>
  <c r="U258" i="1"/>
  <c r="V258" i="1" s="1"/>
  <c r="V257" i="1"/>
  <c r="U257" i="1"/>
  <c r="U256" i="1"/>
  <c r="V256" i="1" s="1"/>
  <c r="V255" i="1"/>
  <c r="U255" i="1"/>
  <c r="U254" i="1"/>
  <c r="V254" i="1" s="1"/>
  <c r="V253" i="1"/>
  <c r="U253" i="1"/>
  <c r="U252" i="1"/>
  <c r="V252" i="1" s="1"/>
  <c r="V251" i="1"/>
  <c r="U251" i="1"/>
  <c r="U250" i="1"/>
  <c r="V250" i="1" s="1"/>
  <c r="V249" i="1"/>
  <c r="U249" i="1"/>
  <c r="U248" i="1"/>
  <c r="V248" i="1" s="1"/>
  <c r="V247" i="1"/>
  <c r="U247" i="1"/>
  <c r="U246" i="1"/>
  <c r="V246" i="1" s="1"/>
  <c r="V245" i="1"/>
  <c r="U245" i="1"/>
  <c r="U244" i="1"/>
  <c r="V244" i="1" s="1"/>
  <c r="V243" i="1"/>
  <c r="U243" i="1"/>
  <c r="U242" i="1"/>
  <c r="V242" i="1" s="1"/>
  <c r="V241" i="1"/>
  <c r="U241" i="1"/>
  <c r="U240" i="1"/>
  <c r="V240" i="1" s="1"/>
  <c r="V239" i="1"/>
  <c r="U239" i="1"/>
  <c r="U238" i="1"/>
  <c r="V238" i="1" s="1"/>
  <c r="V237" i="1"/>
  <c r="U237" i="1"/>
  <c r="U236" i="1"/>
  <c r="V236" i="1" s="1"/>
  <c r="V235" i="1"/>
  <c r="U235" i="1"/>
  <c r="U234" i="1"/>
  <c r="V234" i="1" s="1"/>
  <c r="V233" i="1"/>
  <c r="U233" i="1"/>
  <c r="U232" i="1"/>
  <c r="V232" i="1" s="1"/>
  <c r="V231" i="1"/>
  <c r="U231" i="1"/>
  <c r="U230" i="1"/>
  <c r="V230" i="1" s="1"/>
  <c r="V229" i="1"/>
  <c r="U229" i="1"/>
  <c r="U228" i="1"/>
  <c r="V228" i="1" s="1"/>
  <c r="V227" i="1"/>
  <c r="U227" i="1"/>
  <c r="U226" i="1"/>
  <c r="V226" i="1" s="1"/>
  <c r="V225" i="1"/>
  <c r="U225" i="1"/>
  <c r="U224" i="1"/>
  <c r="V224" i="1" s="1"/>
  <c r="V223" i="1"/>
  <c r="U223" i="1"/>
  <c r="U222" i="1"/>
  <c r="V222" i="1" s="1"/>
  <c r="V221" i="1"/>
  <c r="U221" i="1"/>
  <c r="U220" i="1"/>
  <c r="V220" i="1" s="1"/>
  <c r="V219" i="1"/>
  <c r="U219" i="1"/>
  <c r="U218" i="1"/>
  <c r="V218" i="1" s="1"/>
  <c r="V217" i="1"/>
  <c r="U217" i="1"/>
  <c r="U216" i="1"/>
  <c r="V216" i="1" s="1"/>
  <c r="V215" i="1"/>
  <c r="U215" i="1"/>
  <c r="U214" i="1"/>
  <c r="V214" i="1" s="1"/>
  <c r="V213" i="1"/>
  <c r="U213" i="1"/>
  <c r="U212" i="1"/>
  <c r="V212" i="1" s="1"/>
  <c r="V211" i="1"/>
  <c r="U211" i="1"/>
  <c r="U210" i="1"/>
  <c r="V210" i="1" s="1"/>
  <c r="V209" i="1"/>
  <c r="U209" i="1"/>
  <c r="U208" i="1"/>
  <c r="V208" i="1" s="1"/>
  <c r="V207" i="1"/>
  <c r="U207" i="1"/>
  <c r="U206" i="1"/>
  <c r="V206" i="1" s="1"/>
  <c r="V205" i="1"/>
  <c r="U205" i="1"/>
  <c r="U204" i="1"/>
  <c r="V204" i="1" s="1"/>
  <c r="V203" i="1"/>
  <c r="U203" i="1"/>
  <c r="U202" i="1"/>
  <c r="V202" i="1" s="1"/>
  <c r="V201" i="1"/>
  <c r="U201" i="1"/>
  <c r="U200" i="1"/>
  <c r="V200" i="1" s="1"/>
  <c r="V199" i="1"/>
  <c r="U199" i="1"/>
  <c r="U198" i="1"/>
  <c r="V198" i="1" s="1"/>
  <c r="V197" i="1"/>
  <c r="U197" i="1"/>
  <c r="U196" i="1"/>
  <c r="V196" i="1" s="1"/>
  <c r="V195" i="1"/>
  <c r="U195" i="1"/>
  <c r="U194" i="1"/>
  <c r="V194" i="1" s="1"/>
  <c r="V193" i="1"/>
  <c r="U193" i="1"/>
  <c r="U192" i="1"/>
  <c r="V192" i="1" s="1"/>
  <c r="V191" i="1"/>
  <c r="U191" i="1"/>
  <c r="U190" i="1"/>
  <c r="V190" i="1" s="1"/>
  <c r="V189" i="1"/>
  <c r="U189" i="1"/>
  <c r="U188" i="1"/>
  <c r="V188" i="1" s="1"/>
  <c r="V187" i="1"/>
  <c r="U187" i="1"/>
  <c r="U186" i="1"/>
  <c r="V186" i="1" s="1"/>
  <c r="V185" i="1"/>
  <c r="U185" i="1"/>
  <c r="U184" i="1"/>
  <c r="V184" i="1" s="1"/>
  <c r="V183" i="1"/>
  <c r="U183" i="1"/>
  <c r="U182" i="1"/>
  <c r="V182" i="1" s="1"/>
  <c r="V181" i="1"/>
  <c r="U181" i="1"/>
  <c r="U180" i="1"/>
  <c r="V180" i="1" s="1"/>
  <c r="V179" i="1"/>
  <c r="U179" i="1"/>
  <c r="U178" i="1"/>
  <c r="V178" i="1" s="1"/>
  <c r="V177" i="1"/>
  <c r="U177" i="1"/>
  <c r="U176" i="1"/>
  <c r="V176" i="1" s="1"/>
  <c r="V175" i="1"/>
  <c r="U175" i="1"/>
  <c r="U174" i="1"/>
  <c r="V174" i="1" s="1"/>
  <c r="V173" i="1"/>
  <c r="U173" i="1"/>
  <c r="U172" i="1"/>
  <c r="V172" i="1" s="1"/>
  <c r="V171" i="1"/>
  <c r="U171" i="1"/>
  <c r="U170" i="1"/>
  <c r="V170" i="1" s="1"/>
  <c r="V169" i="1"/>
  <c r="U169" i="1"/>
  <c r="U168" i="1"/>
  <c r="V168" i="1" s="1"/>
  <c r="V167" i="1"/>
  <c r="U167" i="1"/>
  <c r="U166" i="1"/>
  <c r="V166" i="1" s="1"/>
  <c r="V165" i="1"/>
  <c r="U165" i="1"/>
  <c r="U164" i="1"/>
  <c r="V164" i="1" s="1"/>
  <c r="V163" i="1"/>
  <c r="U163" i="1"/>
  <c r="U162" i="1"/>
  <c r="V162" i="1" s="1"/>
  <c r="V161" i="1"/>
  <c r="U161" i="1"/>
  <c r="U160" i="1"/>
  <c r="V160" i="1" s="1"/>
  <c r="V159" i="1"/>
  <c r="U159" i="1"/>
  <c r="U158" i="1"/>
  <c r="V158" i="1" s="1"/>
  <c r="V157" i="1"/>
  <c r="U157" i="1"/>
  <c r="U156" i="1"/>
  <c r="V156" i="1" s="1"/>
  <c r="V155" i="1"/>
  <c r="U155" i="1"/>
  <c r="U154" i="1"/>
  <c r="V154" i="1" s="1"/>
  <c r="V153" i="1"/>
  <c r="U153" i="1"/>
  <c r="U152" i="1"/>
  <c r="V152" i="1" s="1"/>
  <c r="V151" i="1"/>
  <c r="U151" i="1"/>
  <c r="U150" i="1"/>
  <c r="V150" i="1" s="1"/>
  <c r="V149" i="1"/>
  <c r="U149" i="1"/>
  <c r="U148" i="1"/>
  <c r="V148" i="1" s="1"/>
  <c r="V147" i="1"/>
  <c r="U147" i="1"/>
  <c r="U146" i="1"/>
  <c r="V146" i="1" s="1"/>
  <c r="M116" i="1"/>
  <c r="M115" i="1"/>
  <c r="M11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U31" i="1"/>
  <c r="V31" i="1" s="1"/>
  <c r="V30" i="1"/>
  <c r="U30" i="1"/>
  <c r="U29" i="1"/>
  <c r="V29" i="1" s="1"/>
  <c r="V28" i="1"/>
  <c r="U28" i="1"/>
  <c r="U27" i="1"/>
  <c r="V27" i="1" s="1"/>
  <c r="V26" i="1"/>
  <c r="U26" i="1"/>
  <c r="U25" i="1"/>
  <c r="V25" i="1" s="1"/>
  <c r="V24" i="1"/>
  <c r="U24" i="1"/>
  <c r="U23" i="1"/>
  <c r="V23" i="1" s="1"/>
  <c r="V22" i="1"/>
  <c r="U22" i="1"/>
  <c r="U21" i="1"/>
  <c r="V21" i="1" s="1"/>
  <c r="V20" i="1"/>
  <c r="U20" i="1"/>
  <c r="U19" i="1"/>
  <c r="V19" i="1" s="1"/>
  <c r="V18" i="1"/>
  <c r="U18" i="1"/>
  <c r="U17" i="1"/>
  <c r="V17" i="1" s="1"/>
  <c r="V16" i="1"/>
  <c r="U16" i="1"/>
  <c r="N47" i="21"/>
  <c r="E47" i="21"/>
  <c r="N46" i="21"/>
  <c r="E46" i="21"/>
  <c r="N45" i="21"/>
  <c r="E45" i="21"/>
  <c r="N44" i="21"/>
  <c r="E44" i="21"/>
  <c r="N43" i="21"/>
  <c r="E43" i="21"/>
  <c r="N42" i="21"/>
  <c r="E42" i="21"/>
  <c r="N41" i="21"/>
  <c r="E41" i="21"/>
  <c r="N40" i="21"/>
  <c r="E40" i="21"/>
  <c r="N39" i="21"/>
  <c r="E39" i="21"/>
  <c r="N38" i="21"/>
  <c r="E38" i="21"/>
  <c r="N37" i="21"/>
  <c r="E37" i="21"/>
  <c r="N36" i="21"/>
  <c r="E36" i="21"/>
  <c r="N35" i="21"/>
  <c r="E35" i="21"/>
  <c r="N34" i="21"/>
  <c r="E34" i="21"/>
  <c r="N33" i="21"/>
  <c r="E33" i="21"/>
  <c r="N32" i="21"/>
  <c r="E32" i="21"/>
  <c r="N31" i="21"/>
  <c r="E31" i="21"/>
  <c r="N30" i="21"/>
  <c r="E30" i="21"/>
  <c r="N29" i="21"/>
  <c r="E29" i="21"/>
  <c r="N28" i="21"/>
  <c r="E28" i="21"/>
  <c r="N27" i="21"/>
  <c r="E27" i="21"/>
  <c r="N26" i="21"/>
  <c r="E26" i="21"/>
  <c r="N25" i="21"/>
  <c r="E25" i="21"/>
  <c r="N24" i="21"/>
  <c r="E24" i="21"/>
  <c r="N23" i="21"/>
  <c r="E23" i="21"/>
  <c r="N22" i="21"/>
  <c r="E22" i="21"/>
  <c r="N21" i="21"/>
  <c r="E21" i="21"/>
  <c r="N20" i="21"/>
  <c r="E20" i="21"/>
  <c r="N19" i="21"/>
  <c r="E19" i="21"/>
  <c r="N18" i="21"/>
  <c r="E18" i="21"/>
  <c r="N17" i="21"/>
  <c r="E17" i="21"/>
  <c r="N16" i="21"/>
  <c r="E16" i="21"/>
  <c r="N15" i="21"/>
  <c r="E15" i="21"/>
  <c r="N14" i="21"/>
  <c r="E14" i="21"/>
  <c r="N13" i="21"/>
  <c r="E13" i="21"/>
  <c r="N12" i="21"/>
  <c r="E12" i="21"/>
  <c r="N11" i="21"/>
  <c r="E11" i="21"/>
  <c r="N10" i="21"/>
  <c r="E10" i="21"/>
  <c r="N9" i="21"/>
  <c r="E9" i="21"/>
  <c r="N8" i="21"/>
  <c r="E8" i="21"/>
  <c r="N7" i="21"/>
  <c r="E7" i="21"/>
  <c r="N6" i="21"/>
  <c r="E6" i="21"/>
  <c r="N5" i="21"/>
  <c r="E5" i="21"/>
  <c r="N4" i="21"/>
  <c r="E4" i="21"/>
  <c r="Q67" i="2" l="1"/>
  <c r="AL19" i="2" s="1"/>
  <c r="H9" i="9"/>
  <c r="H17" i="9"/>
  <c r="H25" i="9"/>
  <c r="H33" i="9"/>
  <c r="X21" i="35"/>
  <c r="W21" i="35"/>
  <c r="X19" i="35"/>
  <c r="W19" i="35"/>
  <c r="X80" i="35"/>
  <c r="W80" i="35"/>
  <c r="Y18" i="35"/>
  <c r="AA18" i="35" s="1"/>
  <c r="W20" i="35"/>
  <c r="AA20" i="35"/>
  <c r="Y52" i="35"/>
  <c r="AA52" i="35" s="1"/>
  <c r="W81" i="35"/>
  <c r="V89" i="2"/>
  <c r="V106" i="2"/>
  <c r="V102" i="2"/>
  <c r="V109" i="2"/>
  <c r="V69" i="2"/>
  <c r="V78" i="2" s="1"/>
  <c r="V110" i="2"/>
  <c r="V98" i="2"/>
  <c r="V70" i="2"/>
  <c r="V72" i="2" s="1"/>
  <c r="V80" i="2"/>
  <c r="V47" i="2"/>
  <c r="V99" i="2"/>
  <c r="V103" i="2"/>
  <c r="V107" i="2"/>
  <c r="V100" i="2"/>
  <c r="V104" i="2"/>
  <c r="V108" i="2"/>
  <c r="V97" i="2"/>
  <c r="V101" i="2"/>
  <c r="V105" i="2"/>
  <c r="E36" i="34"/>
  <c r="E32" i="34"/>
  <c r="E31" i="34" s="1"/>
  <c r="AI5" i="34" s="1"/>
  <c r="Q39" i="34"/>
  <c r="Q40" i="34" s="1"/>
  <c r="Q35" i="34"/>
  <c r="Q36" i="34" s="1"/>
  <c r="Q81" i="34" s="1"/>
  <c r="Q34" i="34"/>
  <c r="Q6" i="34"/>
  <c r="AL19" i="34" s="1"/>
  <c r="Q48" i="34"/>
  <c r="Q74" i="34"/>
  <c r="Q70" i="34"/>
  <c r="AL13" i="34" s="1"/>
  <c r="Q73" i="34"/>
  <c r="Q51" i="34"/>
  <c r="Q77" i="34"/>
  <c r="Q5" i="34"/>
  <c r="Q49" i="34"/>
  <c r="Q71" i="34"/>
  <c r="Q75" i="34"/>
  <c r="Q7" i="34"/>
  <c r="AL21" i="34" s="1"/>
  <c r="Q72" i="34"/>
  <c r="AL17" i="34" s="1"/>
  <c r="Q76" i="34"/>
  <c r="Q80" i="34"/>
  <c r="E5" i="34"/>
  <c r="E33" i="34"/>
  <c r="E20" i="2"/>
  <c r="Q30" i="2"/>
  <c r="E19" i="2"/>
  <c r="Q93" i="2"/>
  <c r="Q5" i="2"/>
  <c r="Q45" i="2"/>
  <c r="Q65" i="2"/>
  <c r="AL15" i="2" s="1"/>
  <c r="Q87" i="2"/>
  <c r="Q68" i="2"/>
  <c r="Q90" i="2"/>
  <c r="Q94" i="2"/>
  <c r="Q6" i="2"/>
  <c r="AL21" i="2" s="1"/>
  <c r="Q44" i="2"/>
  <c r="E17" i="2"/>
  <c r="E18" i="2"/>
  <c r="E16" i="2"/>
  <c r="E15" i="2" s="1"/>
  <c r="AH4" i="2" s="1"/>
  <c r="Q34" i="2"/>
  <c r="Q35" i="2" s="1"/>
  <c r="Q36" i="2" s="1"/>
  <c r="Q32" i="2"/>
  <c r="Q33" i="2" s="1"/>
  <c r="Q71" i="2" s="1"/>
  <c r="Q70" i="2" s="1"/>
  <c r="Q72" i="2" s="1"/>
  <c r="Q31" i="2"/>
  <c r="Q7" i="2"/>
  <c r="AL23" i="2" s="1"/>
  <c r="Q46" i="2"/>
  <c r="Q47" i="34" l="1"/>
  <c r="Q52" i="34" s="1"/>
  <c r="Q121" i="34" s="1"/>
  <c r="AL11" i="34"/>
  <c r="Q107" i="34"/>
  <c r="Q106" i="34"/>
  <c r="Q105" i="34"/>
  <c r="Q118" i="34"/>
  <c r="Q116" i="34"/>
  <c r="Q117" i="34"/>
  <c r="Q127" i="34"/>
  <c r="AL15" i="34"/>
  <c r="Q108" i="2"/>
  <c r="Q110" i="2"/>
  <c r="Q109" i="2"/>
  <c r="Q103" i="2"/>
  <c r="Q106" i="2"/>
  <c r="Q102" i="2"/>
  <c r="Q105" i="2"/>
  <c r="R109" i="2"/>
  <c r="Q104" i="2"/>
  <c r="R108" i="2"/>
  <c r="Q107" i="2"/>
  <c r="R110" i="2"/>
  <c r="AL13" i="2"/>
  <c r="Q99" i="2"/>
  <c r="Q98" i="2"/>
  <c r="Q97" i="2"/>
  <c r="Q126" i="34"/>
  <c r="AS31" i="34" s="1"/>
  <c r="V79" i="2"/>
  <c r="V77" i="2"/>
  <c r="V113" i="2"/>
  <c r="V48" i="2" s="1"/>
  <c r="V49" i="2" s="1"/>
  <c r="V22" i="2" s="1"/>
  <c r="V14" i="2" s="1"/>
  <c r="Q82" i="34"/>
  <c r="Q50" i="34"/>
  <c r="Q78" i="34"/>
  <c r="Q22" i="34" s="1"/>
  <c r="Q113" i="34"/>
  <c r="Q112" i="34"/>
  <c r="Q115" i="34"/>
  <c r="Q111" i="34"/>
  <c r="Q114" i="34"/>
  <c r="Q110" i="34"/>
  <c r="Q44" i="34"/>
  <c r="Q89" i="2"/>
  <c r="Q69" i="2"/>
  <c r="Q43" i="2"/>
  <c r="Q53" i="34" l="1"/>
  <c r="Q54" i="34" s="1"/>
  <c r="V12" i="2"/>
  <c r="V73" i="2"/>
  <c r="V57" i="2"/>
  <c r="V58" i="2" s="1"/>
  <c r="V112" i="2"/>
  <c r="V52" i="2" s="1"/>
  <c r="V11" i="2" s="1"/>
  <c r="V114" i="2"/>
  <c r="V53" i="2" s="1"/>
  <c r="V13" i="2" s="1"/>
  <c r="V18" i="2"/>
  <c r="G35" i="9" s="1"/>
  <c r="V56" i="2"/>
  <c r="V116" i="2"/>
  <c r="V54" i="2" s="1"/>
  <c r="V8" i="2" s="1"/>
  <c r="V115" i="2"/>
  <c r="V50" i="2" s="1"/>
  <c r="V10" i="2" s="1"/>
  <c r="V111" i="2"/>
  <c r="V51" i="2" s="1"/>
  <c r="V9" i="2" s="1"/>
  <c r="Q79" i="34"/>
  <c r="Q95" i="34" s="1"/>
  <c r="Q47" i="2"/>
  <c r="Q79" i="2"/>
  <c r="Q77" i="2"/>
  <c r="Q80" i="2"/>
  <c r="Q78" i="2"/>
  <c r="Q123" i="34" l="1"/>
  <c r="AS21" i="34"/>
  <c r="V74" i="2"/>
  <c r="V75" i="2" s="1"/>
  <c r="V76" i="2" s="1"/>
  <c r="V60" i="2"/>
  <c r="G21" i="9"/>
  <c r="G15" i="9"/>
  <c r="G18" i="9"/>
  <c r="G4" i="9"/>
  <c r="G9" i="9"/>
  <c r="G3" i="9"/>
  <c r="G6" i="9"/>
  <c r="G8" i="9"/>
  <c r="G28" i="9"/>
  <c r="G31" i="9"/>
  <c r="G34" i="9"/>
  <c r="G2" i="9"/>
  <c r="G12" i="9"/>
  <c r="G19" i="9"/>
  <c r="V88" i="2" s="1"/>
  <c r="V91" i="2" s="1"/>
  <c r="V40" i="2" s="1"/>
  <c r="G22" i="9"/>
  <c r="G17" i="9"/>
  <c r="G20" i="9"/>
  <c r="G37" i="9"/>
  <c r="G27" i="9"/>
  <c r="G11" i="9"/>
  <c r="G30" i="9"/>
  <c r="G14" i="9"/>
  <c r="G33" i="9"/>
  <c r="G32" i="9"/>
  <c r="G24" i="9"/>
  <c r="G29" i="9"/>
  <c r="G5" i="9"/>
  <c r="G23" i="9"/>
  <c r="G7" i="9"/>
  <c r="G26" i="9"/>
  <c r="G10" i="9"/>
  <c r="G25" i="9"/>
  <c r="G16" i="9"/>
  <c r="G36" i="9"/>
  <c r="G13" i="9"/>
  <c r="V59" i="2"/>
  <c r="Q92" i="34"/>
  <c r="Q96" i="34"/>
  <c r="Q94" i="34"/>
  <c r="Q93" i="34"/>
  <c r="Q122" i="34"/>
  <c r="Q58" i="34" s="1"/>
  <c r="Q119" i="34"/>
  <c r="Q56" i="34" s="1"/>
  <c r="Q120" i="34"/>
  <c r="Q124" i="34"/>
  <c r="Q12" i="34"/>
  <c r="AS7" i="34" s="1"/>
  <c r="Q61" i="34"/>
  <c r="Q83" i="34"/>
  <c r="Q21" i="34"/>
  <c r="Q62" i="34"/>
  <c r="Q17" i="34"/>
  <c r="AS23" i="34" s="1"/>
  <c r="Q113" i="2"/>
  <c r="Q57" i="34" l="1"/>
  <c r="Q11" i="34" s="1"/>
  <c r="Q13" i="34"/>
  <c r="Q55" i="34"/>
  <c r="Q10" i="34" s="1"/>
  <c r="Q59" i="34"/>
  <c r="Q8" i="34" s="1"/>
  <c r="AS10" i="34" s="1"/>
  <c r="V81" i="2"/>
  <c r="V24" i="2" s="1"/>
  <c r="V84" i="2" s="1"/>
  <c r="V23" i="2"/>
  <c r="AS21" i="2"/>
  <c r="Q48" i="2"/>
  <c r="V61" i="2"/>
  <c r="V62" i="2" s="1"/>
  <c r="V15" i="2" s="1"/>
  <c r="V17" i="2" s="1"/>
  <c r="Q64" i="34"/>
  <c r="Q84" i="34"/>
  <c r="Q9" i="34"/>
  <c r="AS4" i="34" s="1"/>
  <c r="Q63" i="34"/>
  <c r="Q116" i="2"/>
  <c r="Q114" i="2"/>
  <c r="Q112" i="2"/>
  <c r="Q73" i="2"/>
  <c r="Q57" i="2"/>
  <c r="Q22" i="2"/>
  <c r="Q14" i="2" s="1"/>
  <c r="Q111" i="2"/>
  <c r="Q56" i="2"/>
  <c r="Q59" i="2" s="1"/>
  <c r="Q115" i="2"/>
  <c r="Q18" i="2"/>
  <c r="AS24" i="2" s="1"/>
  <c r="Q12" i="2"/>
  <c r="AS7" i="2" s="1"/>
  <c r="V82" i="2" l="1"/>
  <c r="V37" i="2" s="1"/>
  <c r="V38" i="2" s="1"/>
  <c r="V19" i="2" s="1"/>
  <c r="Q50" i="2"/>
  <c r="Q10" i="2" s="1"/>
  <c r="Q54" i="2"/>
  <c r="Q8" i="2" s="1"/>
  <c r="AS10" i="2" s="1"/>
  <c r="Q53" i="2"/>
  <c r="Q13" i="2" s="1"/>
  <c r="Q51" i="2"/>
  <c r="Q9" i="2" s="1"/>
  <c r="AS4" i="2" s="1"/>
  <c r="Q52" i="2"/>
  <c r="Q11" i="2" s="1"/>
  <c r="Q74" i="2"/>
  <c r="Q75" i="2" s="1"/>
  <c r="Q76" i="2" s="1"/>
  <c r="Q65" i="34"/>
  <c r="Q66" i="34" s="1"/>
  <c r="Q14" i="34" s="1"/>
  <c r="AS13" i="34" s="1"/>
  <c r="Q85" i="34"/>
  <c r="Q58" i="2"/>
  <c r="Q60" i="2" s="1"/>
  <c r="Q61" i="2" s="1"/>
  <c r="F35" i="9"/>
  <c r="F31" i="9"/>
  <c r="F27" i="9"/>
  <c r="F23" i="9"/>
  <c r="F19" i="9"/>
  <c r="F15" i="9"/>
  <c r="F11" i="9"/>
  <c r="F7" i="9"/>
  <c r="F3" i="9"/>
  <c r="F37" i="9"/>
  <c r="F33" i="9"/>
  <c r="F29" i="9"/>
  <c r="F25" i="9"/>
  <c r="F17" i="9"/>
  <c r="F13" i="9"/>
  <c r="F9" i="9"/>
  <c r="F36" i="9"/>
  <c r="F32" i="9"/>
  <c r="F28" i="9"/>
  <c r="F24" i="9"/>
  <c r="F20" i="9"/>
  <c r="F16" i="9"/>
  <c r="F12" i="9"/>
  <c r="F4" i="9"/>
  <c r="F34" i="9"/>
  <c r="F30" i="9"/>
  <c r="F26" i="9"/>
  <c r="F22" i="9"/>
  <c r="F18" i="9"/>
  <c r="F14" i="9"/>
  <c r="F10" i="9"/>
  <c r="F6" i="9"/>
  <c r="F2" i="9"/>
  <c r="F21" i="9"/>
  <c r="F5" i="9"/>
  <c r="F8" i="9"/>
  <c r="Q62" i="2" l="1"/>
  <c r="Q81" i="2"/>
  <c r="Q23" i="2"/>
  <c r="Q120" i="2" s="1"/>
  <c r="AS32" i="2" s="1"/>
  <c r="Q86" i="34"/>
  <c r="Q88" i="2"/>
  <c r="Q91" i="2" s="1"/>
  <c r="Q40" i="2" s="1"/>
  <c r="Q82" i="2" l="1"/>
  <c r="Q37" i="2" s="1"/>
  <c r="Q38" i="2" s="1"/>
  <c r="Q39" i="2" s="1"/>
  <c r="Q16" i="2" s="1"/>
  <c r="Q24" i="2"/>
  <c r="Q15" i="2"/>
  <c r="AS13" i="2" s="1"/>
  <c r="Q121" i="2"/>
  <c r="AS34" i="2" s="1"/>
  <c r="Q87" i="34"/>
  <c r="Q97" i="34" s="1"/>
  <c r="Q19" i="2" l="1"/>
  <c r="AS26" i="2" s="1"/>
  <c r="AS29" i="2"/>
  <c r="Q84" i="2"/>
  <c r="Q17" i="2"/>
  <c r="AS15" i="2"/>
  <c r="Q98" i="34"/>
  <c r="Q41" i="34" s="1"/>
  <c r="Q42" i="34" s="1"/>
  <c r="Q24" i="34"/>
  <c r="Q88" i="34"/>
  <c r="Q89" i="34" s="1"/>
  <c r="Q100" i="34" l="1"/>
  <c r="Q102" i="34" s="1"/>
  <c r="Q131" i="34" s="1"/>
  <c r="AS28" i="34"/>
  <c r="Q20" i="2"/>
  <c r="AS19" i="2" s="1"/>
  <c r="AS17" i="2"/>
  <c r="Q90" i="34"/>
  <c r="Q91" i="34" s="1"/>
  <c r="Q18" i="34"/>
  <c r="AS25" i="34" s="1"/>
  <c r="Q43" i="34"/>
  <c r="Q15" i="34" s="1"/>
  <c r="AS15" i="34" s="1"/>
  <c r="Q21" i="2" l="1"/>
  <c r="Q16" i="34"/>
  <c r="Q23" i="34"/>
  <c r="Q128" i="34" l="1"/>
  <c r="AS33" i="34" s="1"/>
  <c r="Q19" i="34"/>
  <c r="AS17" i="34"/>
  <c r="Q20" i="34" l="1"/>
  <c r="AS19" i="34"/>
</calcChain>
</file>

<file path=xl/sharedStrings.xml><?xml version="1.0" encoding="utf-8"?>
<sst xmlns="http://schemas.openxmlformats.org/spreadsheetml/2006/main" count="4547" uniqueCount="1467">
  <si>
    <t>Toroid</t>
  </si>
  <si>
    <t>XFlux</t>
  </si>
  <si>
    <t>0078907A7</t>
  </si>
  <si>
    <t>0078894A7</t>
  </si>
  <si>
    <t>0078867A7</t>
  </si>
  <si>
    <t>0078848A7</t>
  </si>
  <si>
    <t>0078716A7</t>
  </si>
  <si>
    <t>0078586A7</t>
  </si>
  <si>
    <t>0078439A7</t>
  </si>
  <si>
    <t>0078381A7</t>
  </si>
  <si>
    <t>0078351A7</t>
  </si>
  <si>
    <t>0078192A7</t>
  </si>
  <si>
    <t>0078121A7</t>
  </si>
  <si>
    <t>0078110A7</t>
  </si>
  <si>
    <t>0078090A7</t>
  </si>
  <si>
    <t>0078083A7</t>
  </si>
  <si>
    <t>0078076A7</t>
  </si>
  <si>
    <t>0078071A7</t>
  </si>
  <si>
    <t>0078059A7</t>
  </si>
  <si>
    <t>0078051A7</t>
  </si>
  <si>
    <t>Thinz</t>
  </si>
  <si>
    <t>MPP</t>
  </si>
  <si>
    <t>00M0804T250</t>
  </si>
  <si>
    <t>00M0804T200</t>
  </si>
  <si>
    <t>00M0804T160</t>
  </si>
  <si>
    <t>00M0804T125</t>
  </si>
  <si>
    <t>00M0603T250</t>
  </si>
  <si>
    <t>00M0603T200</t>
  </si>
  <si>
    <t>00M0603T160</t>
  </si>
  <si>
    <t>00M0603T125</t>
  </si>
  <si>
    <t>00M0502T250</t>
  </si>
  <si>
    <t>00M0502T200</t>
  </si>
  <si>
    <t>00M0502T160</t>
  </si>
  <si>
    <t>00M0502T125</t>
  </si>
  <si>
    <t>00M0402T250</t>
  </si>
  <si>
    <t>00M0402T200</t>
  </si>
  <si>
    <t>00M0402T160</t>
  </si>
  <si>
    <t>00M0402T125</t>
  </si>
  <si>
    <t>00M0302T250</t>
  </si>
  <si>
    <t>00M0302T200</t>
  </si>
  <si>
    <t>00M0302T160</t>
  </si>
  <si>
    <t>00M0302T125</t>
  </si>
  <si>
    <t>00M0301T250</t>
  </si>
  <si>
    <t>00M0301T200</t>
  </si>
  <si>
    <t>00M0301T160</t>
  </si>
  <si>
    <t>00M0301T125</t>
  </si>
  <si>
    <t>C055930A2</t>
  </si>
  <si>
    <t>C055929A2</t>
  </si>
  <si>
    <t>C055928A2</t>
  </si>
  <si>
    <t>C055927A2</t>
  </si>
  <si>
    <t>C055926A2</t>
  </si>
  <si>
    <t>C055925A2</t>
  </si>
  <si>
    <t>C055924A2</t>
  </si>
  <si>
    <t>C055907A2</t>
  </si>
  <si>
    <t>C055906A2</t>
  </si>
  <si>
    <t>C055894A2</t>
  </si>
  <si>
    <t>C055867A2</t>
  </si>
  <si>
    <t>C055866A2</t>
  </si>
  <si>
    <t>C055863A2</t>
  </si>
  <si>
    <t>C055848A2</t>
  </si>
  <si>
    <t>C055716A2</t>
  </si>
  <si>
    <t>C055715A2</t>
  </si>
  <si>
    <t>C055714A2</t>
  </si>
  <si>
    <t>C055713A2</t>
  </si>
  <si>
    <t>C055710A2</t>
  </si>
  <si>
    <t>C055586A2</t>
  </si>
  <si>
    <t>C055585A2</t>
  </si>
  <si>
    <t>C055583A2</t>
  </si>
  <si>
    <t>C055582A2</t>
  </si>
  <si>
    <t>C055581A2</t>
  </si>
  <si>
    <t>C055580A2</t>
  </si>
  <si>
    <t>C055579A2</t>
  </si>
  <si>
    <t>C055548A2</t>
  </si>
  <si>
    <t>C055547A2</t>
  </si>
  <si>
    <t>C055546A2</t>
  </si>
  <si>
    <t>C055545A2</t>
  </si>
  <si>
    <t>C055544A2</t>
  </si>
  <si>
    <t>C055543A2</t>
  </si>
  <si>
    <t>C055542A2</t>
  </si>
  <si>
    <t>C055439A2</t>
  </si>
  <si>
    <t>C055438A2</t>
  </si>
  <si>
    <t>C055437A2</t>
  </si>
  <si>
    <t>C055436A2</t>
  </si>
  <si>
    <t>C055435A2</t>
  </si>
  <si>
    <t>C055433A2</t>
  </si>
  <si>
    <t>C055432A2</t>
  </si>
  <si>
    <t>C055410A2</t>
  </si>
  <si>
    <t>C055409A2</t>
  </si>
  <si>
    <t>C055408A2</t>
  </si>
  <si>
    <t>C055407A2</t>
  </si>
  <si>
    <t>C055405A2</t>
  </si>
  <si>
    <t>C055404A2</t>
  </si>
  <si>
    <t>C055381A2</t>
  </si>
  <si>
    <t>C055380A2</t>
  </si>
  <si>
    <t>C055379A2</t>
  </si>
  <si>
    <t>C055378A2</t>
  </si>
  <si>
    <t>C055377A2</t>
  </si>
  <si>
    <t>C055375A2</t>
  </si>
  <si>
    <t>C055374A2</t>
  </si>
  <si>
    <t>C055351A2</t>
  </si>
  <si>
    <t>C055350A2</t>
  </si>
  <si>
    <t>C055349A2</t>
  </si>
  <si>
    <t>C055348A2</t>
  </si>
  <si>
    <t>C055347A2</t>
  </si>
  <si>
    <t>C055345A2</t>
  </si>
  <si>
    <t>C055344A2</t>
  </si>
  <si>
    <t>C055324A2</t>
  </si>
  <si>
    <t>C055323A2</t>
  </si>
  <si>
    <t>C055322A2</t>
  </si>
  <si>
    <t>C055321A2</t>
  </si>
  <si>
    <t>C055320A2</t>
  </si>
  <si>
    <t>C055319A2</t>
  </si>
  <si>
    <t>C055318A2</t>
  </si>
  <si>
    <t>C055310A2</t>
  </si>
  <si>
    <t>C055309A2</t>
  </si>
  <si>
    <t>C055308A2</t>
  </si>
  <si>
    <t>C055307A2</t>
  </si>
  <si>
    <t>C055306A2</t>
  </si>
  <si>
    <t>C055305A2</t>
  </si>
  <si>
    <t>C055304A2</t>
  </si>
  <si>
    <t>C055291A2</t>
  </si>
  <si>
    <t>C055290A2</t>
  </si>
  <si>
    <t>C055289A2</t>
  </si>
  <si>
    <t>C055288A2</t>
  </si>
  <si>
    <t>C055287A2</t>
  </si>
  <si>
    <t>C055286A2</t>
  </si>
  <si>
    <t>C055285A2</t>
  </si>
  <si>
    <t>C055284A2</t>
  </si>
  <si>
    <t>C055281A2</t>
  </si>
  <si>
    <t>C055280A2</t>
  </si>
  <si>
    <t>C055279A2</t>
  </si>
  <si>
    <t>C055278A2</t>
  </si>
  <si>
    <t>C055277A2</t>
  </si>
  <si>
    <t>C055276A2</t>
  </si>
  <si>
    <t>C055275A2</t>
  </si>
  <si>
    <t>C055274A2</t>
  </si>
  <si>
    <t>C055271A2</t>
  </si>
  <si>
    <t>C055270A2</t>
  </si>
  <si>
    <t>C055269A2</t>
  </si>
  <si>
    <t>C055268A2</t>
  </si>
  <si>
    <t>C055267A2</t>
  </si>
  <si>
    <t>C055266A2</t>
  </si>
  <si>
    <t>C055265A2</t>
  </si>
  <si>
    <t>C055264A2</t>
  </si>
  <si>
    <t>C055254A2</t>
  </si>
  <si>
    <t>C055253A2</t>
  </si>
  <si>
    <t>C055252A2</t>
  </si>
  <si>
    <t>C055251A2</t>
  </si>
  <si>
    <t>C055250A2</t>
  </si>
  <si>
    <t>C055249A2</t>
  </si>
  <si>
    <t>C055248A2</t>
  </si>
  <si>
    <t>C055241A2</t>
  </si>
  <si>
    <t>C055240A2</t>
  </si>
  <si>
    <t>C055239A2</t>
  </si>
  <si>
    <t>C055238A2</t>
  </si>
  <si>
    <t>C055237A2</t>
  </si>
  <si>
    <t>C055236A2</t>
  </si>
  <si>
    <t>C055235A2</t>
  </si>
  <si>
    <t>C055234A2</t>
  </si>
  <si>
    <t>C055206A2</t>
  </si>
  <si>
    <t>C055205A2</t>
  </si>
  <si>
    <t>C055204A2</t>
  </si>
  <si>
    <t>C055203A2</t>
  </si>
  <si>
    <t>C055202A2</t>
  </si>
  <si>
    <t>C055201A2</t>
  </si>
  <si>
    <t>C055200A2</t>
  </si>
  <si>
    <t>C055192A2</t>
  </si>
  <si>
    <t>C055180A2</t>
  </si>
  <si>
    <t>C055179A2</t>
  </si>
  <si>
    <t>C055178A2</t>
  </si>
  <si>
    <t>C055177A2</t>
  </si>
  <si>
    <t>C055175A2</t>
  </si>
  <si>
    <t>C055174A2</t>
  </si>
  <si>
    <t>C055150A2</t>
  </si>
  <si>
    <t>C055149A2</t>
  </si>
  <si>
    <t>C055148A2</t>
  </si>
  <si>
    <t>C055145A2</t>
  </si>
  <si>
    <t>C055144A2</t>
  </si>
  <si>
    <t>C055140A2</t>
  </si>
  <si>
    <t>C055139A2</t>
  </si>
  <si>
    <t>C055138A2</t>
  </si>
  <si>
    <t>C055137A2</t>
  </si>
  <si>
    <t>C055135A2</t>
  </si>
  <si>
    <t>C055131A2</t>
  </si>
  <si>
    <t>C055130A2</t>
  </si>
  <si>
    <t>C055129A2</t>
  </si>
  <si>
    <t>C055128A2</t>
  </si>
  <si>
    <t>C055127A2</t>
  </si>
  <si>
    <t>C055125A2</t>
  </si>
  <si>
    <t>C055124A2</t>
  </si>
  <si>
    <t>C055121A2</t>
  </si>
  <si>
    <t>C055120A2</t>
  </si>
  <si>
    <t>C055119A2</t>
  </si>
  <si>
    <t>C055118A2</t>
  </si>
  <si>
    <t>C055117A2</t>
  </si>
  <si>
    <t>C055116A2</t>
  </si>
  <si>
    <t>C055115A2</t>
  </si>
  <si>
    <t>C055114A2</t>
  </si>
  <si>
    <t>C055110A2</t>
  </si>
  <si>
    <t>C055109A2</t>
  </si>
  <si>
    <t>C055108A2</t>
  </si>
  <si>
    <t>C055107A2</t>
  </si>
  <si>
    <t>C055106A2</t>
  </si>
  <si>
    <t>C055104A2</t>
  </si>
  <si>
    <t>C055103A2</t>
  </si>
  <si>
    <t>C055090A2</t>
  </si>
  <si>
    <t>C055089A2</t>
  </si>
  <si>
    <t>C055088A2</t>
  </si>
  <si>
    <t>C055087A2</t>
  </si>
  <si>
    <t>C055086A2</t>
  </si>
  <si>
    <t>C055084A2</t>
  </si>
  <si>
    <t>C055083A2</t>
  </si>
  <si>
    <t>C055076A2</t>
  </si>
  <si>
    <t>C055071A2</t>
  </si>
  <si>
    <t>C055059A2</t>
  </si>
  <si>
    <t>C055051A2</t>
  </si>
  <si>
    <t>C055050A2</t>
  </si>
  <si>
    <t>C055049A2</t>
  </si>
  <si>
    <t>C055048A2</t>
  </si>
  <si>
    <t>C055047A2</t>
  </si>
  <si>
    <t>C055046A2</t>
  </si>
  <si>
    <t>C055045A2</t>
  </si>
  <si>
    <t>C055044A2</t>
  </si>
  <si>
    <t>C055041A2</t>
  </si>
  <si>
    <t>C055040A2</t>
  </si>
  <si>
    <t>C055039A2</t>
  </si>
  <si>
    <t>C055038A2</t>
  </si>
  <si>
    <t>C055037A2</t>
  </si>
  <si>
    <t>C055036A2</t>
  </si>
  <si>
    <t>C055035A2</t>
  </si>
  <si>
    <t>C055034A2</t>
  </si>
  <si>
    <t>C055031A2</t>
  </si>
  <si>
    <t>C055030A2</t>
  </si>
  <si>
    <t>C055029A2</t>
  </si>
  <si>
    <t>C055028A2</t>
  </si>
  <si>
    <t>C055027A2</t>
  </si>
  <si>
    <t>C055025A2</t>
  </si>
  <si>
    <t>C055024A2</t>
  </si>
  <si>
    <t>C055021A2</t>
  </si>
  <si>
    <t>C055020A2</t>
  </si>
  <si>
    <t>C055019A2</t>
  </si>
  <si>
    <t>C055018A2</t>
  </si>
  <si>
    <t>C055017A2</t>
  </si>
  <si>
    <t>C055015A2</t>
  </si>
  <si>
    <t>C055014A2</t>
  </si>
  <si>
    <t>0055933A2</t>
  </si>
  <si>
    <t>0055932A2</t>
  </si>
  <si>
    <t>0055909A2</t>
  </si>
  <si>
    <t>0055908A2</t>
  </si>
  <si>
    <t>0055869A2</t>
  </si>
  <si>
    <t>0055868A2</t>
  </si>
  <si>
    <t>0055718A2</t>
  </si>
  <si>
    <t>0055717A2</t>
  </si>
  <si>
    <t>0055588A2</t>
  </si>
  <si>
    <t>0055587A2</t>
  </si>
  <si>
    <t>0055551A2</t>
  </si>
  <si>
    <t>0055550A2</t>
  </si>
  <si>
    <t>0055441A2</t>
  </si>
  <si>
    <t>0055440A2</t>
  </si>
  <si>
    <t>0055383A2</t>
  </si>
  <si>
    <t>0055382A2</t>
  </si>
  <si>
    <t>0055353A2</t>
  </si>
  <si>
    <t>0055352A2</t>
  </si>
  <si>
    <t>0055327A2</t>
  </si>
  <si>
    <t>0055326A2</t>
  </si>
  <si>
    <t>0055313A2</t>
  </si>
  <si>
    <t>0055312A2</t>
  </si>
  <si>
    <t>0055293A2</t>
  </si>
  <si>
    <t>0055292A2</t>
  </si>
  <si>
    <t>0055283A2</t>
  </si>
  <si>
    <t>0055282A2</t>
  </si>
  <si>
    <t>0055272A2</t>
  </si>
  <si>
    <t>0055257A2</t>
  </si>
  <si>
    <t>0055256A2</t>
  </si>
  <si>
    <t>0055243A2</t>
  </si>
  <si>
    <t>0055242A2</t>
  </si>
  <si>
    <t>0055209A2</t>
  </si>
  <si>
    <t>0055208A2</t>
  </si>
  <si>
    <t>0055191A2</t>
  </si>
  <si>
    <t>0055190A2</t>
  </si>
  <si>
    <t>0055134A2</t>
  </si>
  <si>
    <t>0055133A2</t>
  </si>
  <si>
    <t>0055132A2</t>
  </si>
  <si>
    <t>0055123A2</t>
  </si>
  <si>
    <t>0055122A2</t>
  </si>
  <si>
    <t>0055112A2</t>
  </si>
  <si>
    <t>0055111A2</t>
  </si>
  <si>
    <t>0055092A2</t>
  </si>
  <si>
    <t>0055091A2</t>
  </si>
  <si>
    <t>0055053A2</t>
  </si>
  <si>
    <t>0055052A2</t>
  </si>
  <si>
    <t>0055043A2</t>
  </si>
  <si>
    <t>0055042A2</t>
  </si>
  <si>
    <t>0055033A2</t>
  </si>
  <si>
    <t>0055032A2</t>
  </si>
  <si>
    <t>0055023A2</t>
  </si>
  <si>
    <t>0055022A2</t>
  </si>
  <si>
    <t>E Core</t>
  </si>
  <si>
    <t>Kool Mu</t>
  </si>
  <si>
    <t>00K8044E026</t>
  </si>
  <si>
    <t>00K8038U060</t>
  </si>
  <si>
    <t>U Core</t>
  </si>
  <si>
    <t>00K8038U026</t>
  </si>
  <si>
    <t>00K8020U026</t>
  </si>
  <si>
    <t>00K8020E060</t>
  </si>
  <si>
    <t>00K8020E040</t>
  </si>
  <si>
    <t>00K8020E026</t>
  </si>
  <si>
    <t>00K7236U026</t>
  </si>
  <si>
    <t>00K7228E060</t>
  </si>
  <si>
    <t>00K7228E040</t>
  </si>
  <si>
    <t>00K7228E026</t>
  </si>
  <si>
    <t>00K6533U026</t>
  </si>
  <si>
    <t>00K6527U060</t>
  </si>
  <si>
    <t>00K6527U026</t>
  </si>
  <si>
    <t>00K6527E060</t>
  </si>
  <si>
    <t>00K6527E040</t>
  </si>
  <si>
    <t>00K6527E026</t>
  </si>
  <si>
    <t>00K5530E090</t>
  </si>
  <si>
    <t>00K5530E060</t>
  </si>
  <si>
    <t>00K5530E040</t>
  </si>
  <si>
    <t>00K5530E026</t>
  </si>
  <si>
    <t>00K5529U026</t>
  </si>
  <si>
    <t>00K5528E090</t>
  </si>
  <si>
    <t>00K5528E060</t>
  </si>
  <si>
    <t>00K5528E040</t>
  </si>
  <si>
    <t>00K5528E026</t>
  </si>
  <si>
    <t>00K5527U026</t>
  </si>
  <si>
    <t>00K4317E090</t>
  </si>
  <si>
    <t>00K4317E060</t>
  </si>
  <si>
    <t>00K4317E040</t>
  </si>
  <si>
    <t>00K4317E026</t>
  </si>
  <si>
    <t>00K4119U090</t>
  </si>
  <si>
    <t>00K4119U060</t>
  </si>
  <si>
    <t>00K4119U040</t>
  </si>
  <si>
    <t>00K4111U060</t>
  </si>
  <si>
    <t>00K4110U060</t>
  </si>
  <si>
    <t>00K4022E090</t>
  </si>
  <si>
    <t>00K4022E060</t>
  </si>
  <si>
    <t>00K4022E040</t>
  </si>
  <si>
    <t>00K4022E026</t>
  </si>
  <si>
    <t>00K4020E090</t>
  </si>
  <si>
    <t>00K4020E060</t>
  </si>
  <si>
    <t>00K4020E040</t>
  </si>
  <si>
    <t>00K4020E026</t>
  </si>
  <si>
    <t>00K4017E090</t>
  </si>
  <si>
    <t>00K4017E060</t>
  </si>
  <si>
    <t>00K4017E040</t>
  </si>
  <si>
    <t>00K4017E026</t>
  </si>
  <si>
    <t>00K3515E090</t>
  </si>
  <si>
    <t>00K3515E060</t>
  </si>
  <si>
    <t>00K3515E040</t>
  </si>
  <si>
    <t>00K3515E026</t>
  </si>
  <si>
    <t>00K3112U060</t>
  </si>
  <si>
    <t>00K3007E090</t>
  </si>
  <si>
    <t>00K3007E060</t>
  </si>
  <si>
    <t>00K3007E040</t>
  </si>
  <si>
    <t>00K3007E026</t>
  </si>
  <si>
    <t>00K2510E090</t>
  </si>
  <si>
    <t>00K2510E060</t>
  </si>
  <si>
    <t>00K2510E040</t>
  </si>
  <si>
    <t>00K2510E026</t>
  </si>
  <si>
    <t>00K1808E090</t>
  </si>
  <si>
    <t>00K1808E060</t>
  </si>
  <si>
    <t>00K1808E040</t>
  </si>
  <si>
    <t>00K1808E026</t>
  </si>
  <si>
    <t>00K160LE026</t>
  </si>
  <si>
    <t>00K133RT026</t>
  </si>
  <si>
    <t>00K130LE026</t>
  </si>
  <si>
    <t>00K102RT026</t>
  </si>
  <si>
    <t>0077385A7</t>
  </si>
  <si>
    <t>0077936A7</t>
  </si>
  <si>
    <t>0077935A7</t>
  </si>
  <si>
    <t>0077934A7</t>
  </si>
  <si>
    <t>0077932A7</t>
  </si>
  <si>
    <t>0077930A7</t>
  </si>
  <si>
    <t>0077912A7</t>
  </si>
  <si>
    <t>0077908A7</t>
  </si>
  <si>
    <t>0077907A7</t>
  </si>
  <si>
    <t>0077906A7</t>
  </si>
  <si>
    <t>0077894A7</t>
  </si>
  <si>
    <t>0077885A7</t>
  </si>
  <si>
    <t>0077884A7</t>
  </si>
  <si>
    <t>0077875A7</t>
  </si>
  <si>
    <t>0077874A7</t>
  </si>
  <si>
    <t>0077872A7</t>
  </si>
  <si>
    <t>0077868A7</t>
  </si>
  <si>
    <t>0077867A7</t>
  </si>
  <si>
    <t>0077848A7</t>
  </si>
  <si>
    <t>0077847A7</t>
  </si>
  <si>
    <t>0077844A7</t>
  </si>
  <si>
    <t>0077835A7</t>
  </si>
  <si>
    <t>0077834A7</t>
  </si>
  <si>
    <t>0077825A7</t>
  </si>
  <si>
    <t>0077824A7</t>
  </si>
  <si>
    <t>0077721A7</t>
  </si>
  <si>
    <t>0077720A7</t>
  </si>
  <si>
    <t>0077719A7</t>
  </si>
  <si>
    <t>0077717A7</t>
  </si>
  <si>
    <t>0077716A7</t>
  </si>
  <si>
    <t>0077715A7</t>
  </si>
  <si>
    <t>0077591A7</t>
  </si>
  <si>
    <t>0077590A7</t>
  </si>
  <si>
    <t>0077589A7</t>
  </si>
  <si>
    <t>0077587A7</t>
  </si>
  <si>
    <t>0077586A7</t>
  </si>
  <si>
    <t>0077585A7</t>
  </si>
  <si>
    <t>0077555A7</t>
  </si>
  <si>
    <t>0077553A7</t>
  </si>
  <si>
    <t>0077552A7</t>
  </si>
  <si>
    <t>0077550A7</t>
  </si>
  <si>
    <t>0077548A7</t>
  </si>
  <si>
    <t>0077445A7</t>
  </si>
  <si>
    <t>0077444A7</t>
  </si>
  <si>
    <t>0077443A7</t>
  </si>
  <si>
    <t>0077442A7</t>
  </si>
  <si>
    <t>0077440A7</t>
  </si>
  <si>
    <t>0077439A7</t>
  </si>
  <si>
    <t>0077438A7</t>
  </si>
  <si>
    <t>0077431A7</t>
  </si>
  <si>
    <t>0077414A7</t>
  </si>
  <si>
    <t>0077410A7</t>
  </si>
  <si>
    <t>0077384A7</t>
  </si>
  <si>
    <t>0077381A7</t>
  </si>
  <si>
    <t>0077380A7</t>
  </si>
  <si>
    <t>0077356A7</t>
  </si>
  <si>
    <t>0077355A7</t>
  </si>
  <si>
    <t>0077354A7</t>
  </si>
  <si>
    <t>0077352A7</t>
  </si>
  <si>
    <t>0077351A7</t>
  </si>
  <si>
    <t>0077350A7</t>
  </si>
  <si>
    <t>0077335A7</t>
  </si>
  <si>
    <t>0077334A7</t>
  </si>
  <si>
    <t>0077330A7</t>
  </si>
  <si>
    <t>0077329A7</t>
  </si>
  <si>
    <t>0077328A7</t>
  </si>
  <si>
    <t>0077326A7</t>
  </si>
  <si>
    <t>0077324A7</t>
  </si>
  <si>
    <t>0077316A7</t>
  </si>
  <si>
    <t>0077315A7</t>
  </si>
  <si>
    <t>0077314A7</t>
  </si>
  <si>
    <t>0077312A7</t>
  </si>
  <si>
    <t>0077310A7</t>
  </si>
  <si>
    <t>0077294A7</t>
  </si>
  <si>
    <t>0077291A7</t>
  </si>
  <si>
    <t>0077290A7</t>
  </si>
  <si>
    <t>0077281A7</t>
  </si>
  <si>
    <t>0077280A7</t>
  </si>
  <si>
    <t>0077271A7</t>
  </si>
  <si>
    <t>0077270A7</t>
  </si>
  <si>
    <t>0077260A7</t>
  </si>
  <si>
    <t>0077259A7</t>
  </si>
  <si>
    <t>0077258A7</t>
  </si>
  <si>
    <t>0077256A7</t>
  </si>
  <si>
    <t>0077254A7</t>
  </si>
  <si>
    <t>0077244A7</t>
  </si>
  <si>
    <t>0077240A7</t>
  </si>
  <si>
    <t>0077225A7</t>
  </si>
  <si>
    <t>0077224A7</t>
  </si>
  <si>
    <t>0077214A7</t>
  </si>
  <si>
    <t>0077213A7</t>
  </si>
  <si>
    <t>0077212A7</t>
  </si>
  <si>
    <t>0077211A7</t>
  </si>
  <si>
    <t>0077210A7</t>
  </si>
  <si>
    <t>0077206A7</t>
  </si>
  <si>
    <t>0077195A7</t>
  </si>
  <si>
    <t>0077194A7</t>
  </si>
  <si>
    <t>0077193A7</t>
  </si>
  <si>
    <t>0077192A7</t>
  </si>
  <si>
    <t>0077191A7</t>
  </si>
  <si>
    <t>0077189A7</t>
  </si>
  <si>
    <t>0077181A7</t>
  </si>
  <si>
    <t>0077180A7</t>
  </si>
  <si>
    <t>0077150A7</t>
  </si>
  <si>
    <t>0077141A7</t>
  </si>
  <si>
    <t>0077140A7</t>
  </si>
  <si>
    <t>0077131A7</t>
  </si>
  <si>
    <t>0077130A7</t>
  </si>
  <si>
    <t>0077121A7</t>
  </si>
  <si>
    <t>0077120A7</t>
  </si>
  <si>
    <t>0077111A7</t>
  </si>
  <si>
    <t>0077110A7</t>
  </si>
  <si>
    <t>0077109A7</t>
  </si>
  <si>
    <t>0077095A7</t>
  </si>
  <si>
    <t>0077094A7</t>
  </si>
  <si>
    <t>0077093A7</t>
  </si>
  <si>
    <t>0077091A7</t>
  </si>
  <si>
    <t>0077090A7</t>
  </si>
  <si>
    <t>0077089A7</t>
  </si>
  <si>
    <t>0077083A7</t>
  </si>
  <si>
    <t>0077076A7</t>
  </si>
  <si>
    <t>0077071A7</t>
  </si>
  <si>
    <t>0077059A7</t>
  </si>
  <si>
    <t>0077055A7</t>
  </si>
  <si>
    <t>0077054A7</t>
  </si>
  <si>
    <t>0077052A7</t>
  </si>
  <si>
    <t>0077051A7</t>
  </si>
  <si>
    <t>0077050A7</t>
  </si>
  <si>
    <t>0077041A7</t>
  </si>
  <si>
    <t>0077040A7</t>
  </si>
  <si>
    <t>0077031A7</t>
  </si>
  <si>
    <t>0077030A7</t>
  </si>
  <si>
    <t>0077021A7</t>
  </si>
  <si>
    <t>0077020A7</t>
  </si>
  <si>
    <t>High Flux</t>
  </si>
  <si>
    <t>C058930A2</t>
  </si>
  <si>
    <t>C058929A2</t>
  </si>
  <si>
    <t>C058928A2</t>
  </si>
  <si>
    <t>C058907A2</t>
  </si>
  <si>
    <t>C058906A2</t>
  </si>
  <si>
    <t>C058894A2</t>
  </si>
  <si>
    <t>C058867A2</t>
  </si>
  <si>
    <t>C058866A2</t>
  </si>
  <si>
    <t>C058848A2</t>
  </si>
  <si>
    <t>C058716A2</t>
  </si>
  <si>
    <t>C058715A2</t>
  </si>
  <si>
    <t>C058714A2</t>
  </si>
  <si>
    <t>C058586A2</t>
  </si>
  <si>
    <t>C058585A2</t>
  </si>
  <si>
    <t>C058583A2</t>
  </si>
  <si>
    <t>C058548A2</t>
  </si>
  <si>
    <t>C058547A2</t>
  </si>
  <si>
    <t>C058546A2</t>
  </si>
  <si>
    <t>C058439A2</t>
  </si>
  <si>
    <t>C058438A2</t>
  </si>
  <si>
    <t>C058410A2</t>
  </si>
  <si>
    <t>C058408A2</t>
  </si>
  <si>
    <t>C058381A2</t>
  </si>
  <si>
    <t>C058380A2</t>
  </si>
  <si>
    <t>C058379A2</t>
  </si>
  <si>
    <t>C058378A2</t>
  </si>
  <si>
    <t>C058351A2</t>
  </si>
  <si>
    <t>C058350A2</t>
  </si>
  <si>
    <t>C058349A2</t>
  </si>
  <si>
    <t>C058348A2</t>
  </si>
  <si>
    <t>C058324A2</t>
  </si>
  <si>
    <t>C058322A2</t>
  </si>
  <si>
    <t>C058310A2</t>
  </si>
  <si>
    <t>C058309A2</t>
  </si>
  <si>
    <t>C058308A2</t>
  </si>
  <si>
    <t>C058291A2</t>
  </si>
  <si>
    <t>C058290A2</t>
  </si>
  <si>
    <t>C058289A2</t>
  </si>
  <si>
    <t>C058288A2</t>
  </si>
  <si>
    <t>C058281A2</t>
  </si>
  <si>
    <t>C058280A2</t>
  </si>
  <si>
    <t>C058279A2</t>
  </si>
  <si>
    <t>C058278A2</t>
  </si>
  <si>
    <t>C058271A2</t>
  </si>
  <si>
    <t>C058270A2</t>
  </si>
  <si>
    <t>C058268A2</t>
  </si>
  <si>
    <t>C058254A2</t>
  </si>
  <si>
    <t>C058253A2</t>
  </si>
  <si>
    <t>C058252A2</t>
  </si>
  <si>
    <t>C058241A2</t>
  </si>
  <si>
    <t>C058240A2</t>
  </si>
  <si>
    <t>C058239A2</t>
  </si>
  <si>
    <t>C058238A2</t>
  </si>
  <si>
    <t>C058206A2</t>
  </si>
  <si>
    <t>C058205A2</t>
  </si>
  <si>
    <t>C058204A2</t>
  </si>
  <si>
    <t>C058195A2</t>
  </si>
  <si>
    <t>C058192A2</t>
  </si>
  <si>
    <t>C058150A2</t>
  </si>
  <si>
    <t>C058131A2</t>
  </si>
  <si>
    <t>C058130A2</t>
  </si>
  <si>
    <t>C058129A2</t>
  </si>
  <si>
    <t>C058128A2</t>
  </si>
  <si>
    <t>C058121A2</t>
  </si>
  <si>
    <t>C058120A2</t>
  </si>
  <si>
    <t>C058119A2</t>
  </si>
  <si>
    <t>C058118A2</t>
  </si>
  <si>
    <t>C058110A2</t>
  </si>
  <si>
    <t>C058109A2</t>
  </si>
  <si>
    <t>C058090A2</t>
  </si>
  <si>
    <t>C058089A2</t>
  </si>
  <si>
    <t>C058083A2</t>
  </si>
  <si>
    <t>C058076A2</t>
  </si>
  <si>
    <t>C058071A2</t>
  </si>
  <si>
    <t>C058059A2</t>
  </si>
  <si>
    <t>C058051A2</t>
  </si>
  <si>
    <t>C058050A2</t>
  </si>
  <si>
    <t>C058049A2</t>
  </si>
  <si>
    <t>C058048A2</t>
  </si>
  <si>
    <t>C058041A2</t>
  </si>
  <si>
    <t>C058040A2</t>
  </si>
  <si>
    <t>C058039A2</t>
  </si>
  <si>
    <t>C058038A2</t>
  </si>
  <si>
    <t>C058031A2</t>
  </si>
  <si>
    <t>C058030A2</t>
  </si>
  <si>
    <t>C058029A2</t>
  </si>
  <si>
    <t>C058028A2</t>
  </si>
  <si>
    <t>C058021A2</t>
  </si>
  <si>
    <t>C058020A2</t>
  </si>
  <si>
    <t>C058019A2</t>
  </si>
  <si>
    <t>C058018A2</t>
  </si>
  <si>
    <t>0058933A2</t>
  </si>
  <si>
    <t>0058932A2</t>
  </si>
  <si>
    <t>0058909A2</t>
  </si>
  <si>
    <t>0058908A2</t>
  </si>
  <si>
    <t>0058869A2</t>
  </si>
  <si>
    <t>0058868A2</t>
  </si>
  <si>
    <t>0058718A2</t>
  </si>
  <si>
    <t>0058717A2</t>
  </si>
  <si>
    <t>0058551A2</t>
  </si>
  <si>
    <t>0058550A2</t>
  </si>
  <si>
    <t>0058441A2</t>
  </si>
  <si>
    <t>0058440A2</t>
  </si>
  <si>
    <t>0058383A2</t>
  </si>
  <si>
    <t>0058382A2</t>
  </si>
  <si>
    <t>0058353A2</t>
  </si>
  <si>
    <t>0058352A2</t>
  </si>
  <si>
    <t>0058327A2</t>
  </si>
  <si>
    <t>0058326A2</t>
  </si>
  <si>
    <t>0058313A2</t>
  </si>
  <si>
    <t>0058312A2</t>
  </si>
  <si>
    <t>0058293A2</t>
  </si>
  <si>
    <t>0058292A2</t>
  </si>
  <si>
    <t>0058282A2</t>
  </si>
  <si>
    <t>0058273A2</t>
  </si>
  <si>
    <t>0058257A2</t>
  </si>
  <si>
    <t>0058256A2</t>
  </si>
  <si>
    <t>0058243A2</t>
  </si>
  <si>
    <t>0058209A2</t>
  </si>
  <si>
    <t>0058208A2</t>
  </si>
  <si>
    <t>0058191A2</t>
  </si>
  <si>
    <t>0058190A2</t>
  </si>
  <si>
    <t>0058133A2</t>
  </si>
  <si>
    <t>0058132A2</t>
  </si>
  <si>
    <t>0058123A2</t>
  </si>
  <si>
    <t>0058122A2</t>
  </si>
  <si>
    <t>0058112A2</t>
  </si>
  <si>
    <t>0058111A2</t>
  </si>
  <si>
    <t>0058092A2</t>
  </si>
  <si>
    <t>0058091A2</t>
  </si>
  <si>
    <t>0058053A2</t>
  </si>
  <si>
    <t>0058052A2</t>
  </si>
  <si>
    <t>0058042A2</t>
  </si>
  <si>
    <t>0058033A2</t>
  </si>
  <si>
    <t>0058032A2</t>
  </si>
  <si>
    <t>0058023A2</t>
  </si>
  <si>
    <r>
      <t>Ve 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</si>
  <si>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Ve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</si>
  <si>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Ae [mm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</si>
  <si>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Ae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</si>
  <si>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HT max [mm]</t>
  </si>
  <si>
    <t>HT max [inches]</t>
  </si>
  <si>
    <t>OD max [mm]</t>
  </si>
  <si>
    <t>OD max [inches]</t>
  </si>
  <si>
    <t>ID min [mm]</t>
  </si>
  <si>
    <t>ID min [inches]</t>
  </si>
  <si>
    <t>Le [mm]</t>
  </si>
  <si>
    <t>Le [cm]</t>
  </si>
  <si>
    <t>Shape</t>
  </si>
  <si>
    <r>
      <t>AL [nH/T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</si>
  <si>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Material</t>
  </si>
  <si>
    <t>Perm</t>
  </si>
  <si>
    <t>Part #</t>
  </si>
  <si>
    <t>Sales Part Number</t>
  </si>
  <si>
    <t>Base Part Number</t>
  </si>
  <si>
    <t>102RT</t>
  </si>
  <si>
    <t>130LE</t>
  </si>
  <si>
    <t>133RT</t>
  </si>
  <si>
    <t>160LE</t>
  </si>
  <si>
    <t>1808</t>
  </si>
  <si>
    <t>2510</t>
  </si>
  <si>
    <t>3007</t>
  </si>
  <si>
    <t>3112</t>
  </si>
  <si>
    <t>3515</t>
  </si>
  <si>
    <t>4017</t>
  </si>
  <si>
    <t>4020</t>
  </si>
  <si>
    <t>4022</t>
  </si>
  <si>
    <t>4110</t>
  </si>
  <si>
    <t>4111</t>
  </si>
  <si>
    <t>4119</t>
  </si>
  <si>
    <t>4317</t>
  </si>
  <si>
    <t>5527</t>
  </si>
  <si>
    <t>5528</t>
  </si>
  <si>
    <t>5529</t>
  </si>
  <si>
    <t>5530</t>
  </si>
  <si>
    <t>6527</t>
  </si>
  <si>
    <t>6533</t>
  </si>
  <si>
    <t>7228</t>
  </si>
  <si>
    <t>7236</t>
  </si>
  <si>
    <t>8020</t>
  </si>
  <si>
    <t>8038</t>
  </si>
  <si>
    <t>8044</t>
  </si>
  <si>
    <t>0502</t>
  </si>
  <si>
    <t>0301</t>
  </si>
  <si>
    <t>0302</t>
  </si>
  <si>
    <t>0402</t>
  </si>
  <si>
    <t>0603</t>
  </si>
  <si>
    <t>0804</t>
  </si>
  <si>
    <t>020</t>
  </si>
  <si>
    <t>030</t>
  </si>
  <si>
    <t>040</t>
  </si>
  <si>
    <t>050</t>
  </si>
  <si>
    <t>089</t>
  </si>
  <si>
    <t>Segment</t>
  </si>
  <si>
    <t>00K4741B026</t>
  </si>
  <si>
    <t>Block</t>
  </si>
  <si>
    <t>00K5528B026</t>
  </si>
  <si>
    <t>00K6030B026</t>
  </si>
  <si>
    <t>00K4741B060</t>
  </si>
  <si>
    <t>00K5528B040</t>
  </si>
  <si>
    <t>00K5528B060</t>
  </si>
  <si>
    <t>00K6030B090</t>
  </si>
  <si>
    <t>00K4741B02603</t>
  </si>
  <si>
    <t>00K8020E02601</t>
  </si>
  <si>
    <t>00K8020E02602</t>
  </si>
  <si>
    <t>00K8044E02601</t>
  </si>
  <si>
    <t>0077102A7</t>
  </si>
  <si>
    <t>00K6030B060</t>
  </si>
  <si>
    <t>C055411A2</t>
  </si>
  <si>
    <t>C055195A2</t>
  </si>
  <si>
    <t>0058587A2</t>
  </si>
  <si>
    <t>0055614A2</t>
  </si>
  <si>
    <t>0055615A2</t>
  </si>
  <si>
    <t>C055617A2</t>
  </si>
  <si>
    <t>C055620A2</t>
  </si>
  <si>
    <t>0058614A2</t>
  </si>
  <si>
    <t>0058615A2</t>
  </si>
  <si>
    <t>C058617A2</t>
  </si>
  <si>
    <t>C058620A2</t>
  </si>
  <si>
    <t>0055734A2</t>
  </si>
  <si>
    <t>0055735A2</t>
  </si>
  <si>
    <t>C055737A2</t>
  </si>
  <si>
    <t>C055740A2</t>
  </si>
  <si>
    <t>0058734A2</t>
  </si>
  <si>
    <t>0058735A2</t>
  </si>
  <si>
    <t>C058737A2</t>
  </si>
  <si>
    <t>C058740A2</t>
  </si>
  <si>
    <t>0055101A2</t>
  </si>
  <si>
    <t>0055102A2</t>
  </si>
  <si>
    <t>0055099A2</t>
  </si>
  <si>
    <t>0055098A2</t>
  </si>
  <si>
    <t>0058101A2</t>
  </si>
  <si>
    <t>0058102A2</t>
  </si>
  <si>
    <t>0058099A2</t>
  </si>
  <si>
    <t>0058098A2</t>
  </si>
  <si>
    <t>0077100A7</t>
  </si>
  <si>
    <t>0077099A7</t>
  </si>
  <si>
    <t>0077098A7</t>
  </si>
  <si>
    <t>0055336A2</t>
  </si>
  <si>
    <t>0055337A2</t>
  </si>
  <si>
    <t>0055339A2</t>
  </si>
  <si>
    <t>0055340A2</t>
  </si>
  <si>
    <t>0058336A2</t>
  </si>
  <si>
    <t>0058337A2</t>
  </si>
  <si>
    <t>0058339A2</t>
  </si>
  <si>
    <t>0058340A2</t>
  </si>
  <si>
    <t>0077337A7</t>
  </si>
  <si>
    <t>0055164A2</t>
  </si>
  <si>
    <t>0055165A2</t>
  </si>
  <si>
    <t>0055167A2</t>
  </si>
  <si>
    <t>0058164A2</t>
  </si>
  <si>
    <t>0058165A2</t>
  </si>
  <si>
    <t>0058167A2</t>
  </si>
  <si>
    <t>0077165A7</t>
  </si>
  <si>
    <t>00K3112U040</t>
  </si>
  <si>
    <t>00K3112U090</t>
  </si>
  <si>
    <t>00K4110U040</t>
  </si>
  <si>
    <t>00K4110U090</t>
  </si>
  <si>
    <t>00K4111U040</t>
  </si>
  <si>
    <t>00K4111U090</t>
  </si>
  <si>
    <t>00K8030E026</t>
  </si>
  <si>
    <t>00K8030E040</t>
  </si>
  <si>
    <t>0077615A7</t>
  </si>
  <si>
    <t>0077616A7</t>
  </si>
  <si>
    <t>0077617A7</t>
  </si>
  <si>
    <t>0077618A7</t>
  </si>
  <si>
    <t>0077619A7</t>
  </si>
  <si>
    <t>0077620A7</t>
  </si>
  <si>
    <t>0077735A7</t>
  </si>
  <si>
    <t>0077736A7</t>
  </si>
  <si>
    <t>0077740A7</t>
  </si>
  <si>
    <t>0077739A7</t>
  </si>
  <si>
    <t>0077738A7</t>
  </si>
  <si>
    <t>0077737A7</t>
  </si>
  <si>
    <r>
      <t>WA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</si>
  <si>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Inductor Requirements</t>
  </si>
  <si>
    <t>Inductance Required (mH)</t>
  </si>
  <si>
    <t>PK-Pk Frequency (kHz)</t>
  </si>
  <si>
    <t>Design Criteria</t>
  </si>
  <si>
    <t>Wire AWG</t>
  </si>
  <si>
    <t># of Strands</t>
  </si>
  <si>
    <t>Core Selection</t>
  </si>
  <si>
    <t>Part Number</t>
  </si>
  <si>
    <t>Permeability</t>
  </si>
  <si>
    <t>Path Length (cm)</t>
  </si>
  <si>
    <r>
      <t>Window Area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</si>
  <si>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</si>
  <si>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AWG
Wire Size</t>
  </si>
  <si>
    <t>Wire
O.D. (cm)
Heavy Build</t>
  </si>
  <si>
    <t>Wire Area    sq. cm
(x0.001)</t>
  </si>
  <si>
    <t>Current Capacity, Amps
(listed by columns of amps/sq.cm.)</t>
  </si>
  <si>
    <r>
      <t>AL (nH/T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MIN</t>
    </r>
  </si>
  <si>
    <t>Design #1</t>
  </si>
  <si>
    <r>
      <t>AL (nH/T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+/- 8%</t>
    </r>
  </si>
  <si>
    <t>Design #2</t>
  </si>
  <si>
    <t>Number of Cores (Stack)</t>
  </si>
  <si>
    <t>Winding Selection</t>
  </si>
  <si>
    <t>Wire Area/ Strand (cm2)</t>
  </si>
  <si>
    <t>MLT (mm)</t>
  </si>
  <si>
    <t>Wire Area/ All Strands</t>
  </si>
  <si>
    <t>No Load Turns</t>
  </si>
  <si>
    <t>Adjust Turns</t>
  </si>
  <si>
    <t>Core Loss</t>
  </si>
  <si>
    <t>Design 1</t>
  </si>
  <si>
    <t>Design 2</t>
  </si>
  <si>
    <t>Design 3</t>
  </si>
  <si>
    <t>Adjusted Turns</t>
  </si>
  <si>
    <t>No Load Inductance (mH) +/- 8%</t>
  </si>
  <si>
    <t>HAC MAX</t>
  </si>
  <si>
    <t>HAC MIN</t>
  </si>
  <si>
    <t>BAC MAX</t>
  </si>
  <si>
    <t>BAC MIN</t>
  </si>
  <si>
    <t>B Peak (DeltaB/2)</t>
  </si>
  <si>
    <t>Core Loss (mW/cm3)</t>
  </si>
  <si>
    <t>Approximate Fill Factor</t>
  </si>
  <si>
    <t>Copper Loss (W)</t>
  </si>
  <si>
    <t>Total Loss (W)</t>
  </si>
  <si>
    <t>Core Loss (W)</t>
  </si>
  <si>
    <t>RMS Ripple Current (Amps)</t>
  </si>
  <si>
    <t>Pk-Pk Ripple Current (Amps)</t>
  </si>
  <si>
    <r>
      <t xml:space="preserve"> Wound Surface Area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</si>
  <si>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Core Info</t>
  </si>
  <si>
    <t>Core Winding Circumference (mm)</t>
  </si>
  <si>
    <t>Number of Layers</t>
  </si>
  <si>
    <t>First Layer Circumference (mm)</t>
  </si>
  <si>
    <t>Wire OD (mm)</t>
  </si>
  <si>
    <t># of Turns possible on layer 1</t>
  </si>
  <si>
    <t>OD MAX (mm)</t>
  </si>
  <si>
    <t>ID MIN (mm)</t>
  </si>
  <si>
    <t>HT MAX (mm)</t>
  </si>
  <si>
    <t>Window Area (mm2)</t>
  </si>
  <si>
    <t>Turns on Layer 1</t>
  </si>
  <si>
    <t>Turns on Layer 2</t>
  </si>
  <si>
    <t>Turns on Layer 3</t>
  </si>
  <si>
    <t>Turns on Layer 4</t>
  </si>
  <si>
    <t>Length per turn Layer 2</t>
  </si>
  <si>
    <t>Length per turn Layer 3</t>
  </si>
  <si>
    <t>Length per turn Layer 4</t>
  </si>
  <si>
    <t>Length per turn Layer 1 (mm)</t>
  </si>
  <si>
    <t>Total wire length (mm)</t>
  </si>
  <si>
    <t>Surface Area</t>
  </si>
  <si>
    <t>Core</t>
  </si>
  <si>
    <t>Slope</t>
  </si>
  <si>
    <t>Intercept</t>
  </si>
  <si>
    <t>Single Toroid Surface Area</t>
  </si>
  <si>
    <t>Stacking Surface Area</t>
  </si>
  <si>
    <t>Stacked HT MAX (mm)</t>
  </si>
  <si>
    <t>Core Ht for SA</t>
  </si>
  <si>
    <t>Determined using slope of line by plotting 0% and 40% winding factor.</t>
  </si>
  <si>
    <t>Total Surface Area</t>
  </si>
  <si>
    <r>
      <t>Temp Rise (C</t>
    </r>
    <r>
      <rPr>
        <sz val="11"/>
        <color theme="1"/>
        <rFont val="Calibri"/>
        <family val="2"/>
      </rPr>
      <t>°)</t>
    </r>
  </si>
  <si>
    <t>Number of Turns</t>
  </si>
  <si>
    <t>0077166A7</t>
  </si>
  <si>
    <t>0078737A7</t>
  </si>
  <si>
    <t>Xflux</t>
  </si>
  <si>
    <t>0078617A7</t>
  </si>
  <si>
    <t>0077151A7</t>
  </si>
  <si>
    <t>0077154A7</t>
  </si>
  <si>
    <t>0077155A7</t>
  </si>
  <si>
    <t>C055147A2</t>
  </si>
  <si>
    <t>C055181A2</t>
  </si>
  <si>
    <t>C058181A2</t>
  </si>
  <si>
    <t>0077184A7</t>
  </si>
  <si>
    <t>0077185A7</t>
  </si>
  <si>
    <t>C055016A2</t>
  </si>
  <si>
    <t>0058022A2</t>
  </si>
  <si>
    <t>0058242A2</t>
  </si>
  <si>
    <t>0077241A7</t>
  </si>
  <si>
    <t>0077245A7</t>
  </si>
  <si>
    <t>High FLux</t>
  </si>
  <si>
    <t>0055273A2</t>
  </si>
  <si>
    <t>C058269A2</t>
  </si>
  <si>
    <t>0058272A2</t>
  </si>
  <si>
    <t>0055412A2</t>
  </si>
  <si>
    <t>0055413A2</t>
  </si>
  <si>
    <t>C058409A2</t>
  </si>
  <si>
    <t>C058411A2</t>
  </si>
  <si>
    <t>0058412A2</t>
  </si>
  <si>
    <t>0058413A2</t>
  </si>
  <si>
    <t>0077411A7</t>
  </si>
  <si>
    <t>0077415A7</t>
  </si>
  <si>
    <t>C055026A2</t>
  </si>
  <si>
    <t>0058283A2</t>
  </si>
  <si>
    <t>0077295A7</t>
  </si>
  <si>
    <t>0058043A2</t>
  </si>
  <si>
    <t>0077845A7</t>
  </si>
  <si>
    <t>0077313A7</t>
  </si>
  <si>
    <t>0077353A7</t>
  </si>
  <si>
    <t>0077933A7</t>
  </si>
  <si>
    <t>0077551A7</t>
  </si>
  <si>
    <t>C055584A2</t>
  </si>
  <si>
    <t>C058584A2</t>
  </si>
  <si>
    <t>0077588A7</t>
  </si>
  <si>
    <t>0058588A2</t>
  </si>
  <si>
    <t>C058323A2</t>
  </si>
  <si>
    <t>0077327A7</t>
  </si>
  <si>
    <t>0077257A7</t>
  </si>
  <si>
    <t>C058437A2</t>
  </si>
  <si>
    <t>0077441A7</t>
  </si>
  <si>
    <t>0077092A7</t>
  </si>
  <si>
    <t>C055082A2</t>
  </si>
  <si>
    <t>0077718A7</t>
  </si>
  <si>
    <t>C055709A2</t>
  </si>
  <si>
    <t>C055712A2</t>
  </si>
  <si>
    <t>C055196A2</t>
  </si>
  <si>
    <t>C055197A2</t>
  </si>
  <si>
    <t>C055198A2</t>
  </si>
  <si>
    <t>C055199A2</t>
  </si>
  <si>
    <t>0077190A7</t>
  </si>
  <si>
    <t>0077112A7</t>
  </si>
  <si>
    <t>0077614A7</t>
  </si>
  <si>
    <t>0077734A7</t>
  </si>
  <si>
    <t>0077869A7</t>
  </si>
  <si>
    <t>0077909A7</t>
  </si>
  <si>
    <t>0077866A7</t>
  </si>
  <si>
    <t>0077101A7</t>
  </si>
  <si>
    <t>0077338A7</t>
  </si>
  <si>
    <t>0077339A7</t>
  </si>
  <si>
    <t>0077336A7</t>
  </si>
  <si>
    <t>0077164A7</t>
  </si>
  <si>
    <t>0078099A7</t>
  </si>
  <si>
    <t>0078339A7</t>
  </si>
  <si>
    <r>
      <t>LI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(DC + Peak Ripple)</t>
    </r>
  </si>
  <si>
    <t>Feet per Pound</t>
  </si>
  <si>
    <t>Wire Length (mm)</t>
  </si>
  <si>
    <t>Add. Lead Length/ end (mm)</t>
  </si>
  <si>
    <t>Feet/Pound</t>
  </si>
  <si>
    <t>Pounds of Wire</t>
  </si>
  <si>
    <t>$/pound</t>
  </si>
  <si>
    <t>0078167A7</t>
  </si>
  <si>
    <t>0078072A7</t>
  </si>
  <si>
    <t>070</t>
  </si>
  <si>
    <t>0077070A7</t>
  </si>
  <si>
    <t>0077072A7</t>
  </si>
  <si>
    <t>0077073A7</t>
  </si>
  <si>
    <t>0077074A7</t>
  </si>
  <si>
    <t>0077075A7</t>
  </si>
  <si>
    <t>Max Current L MIN (mH)</t>
  </si>
  <si>
    <t>Min Current L MIN (mH)</t>
  </si>
  <si>
    <t>Average Current Inductance MIN (mH)</t>
  </si>
  <si>
    <t>DC or AC RMS (Amps)</t>
  </si>
  <si>
    <t>% Initial Perm at AVG Current</t>
  </si>
  <si>
    <t>% Initial Perm Adj. Turns AVG</t>
  </si>
  <si>
    <t>DC Bias</t>
  </si>
  <si>
    <t>a</t>
  </si>
  <si>
    <t>b</t>
  </si>
  <si>
    <t>c</t>
  </si>
  <si>
    <t>d</t>
  </si>
  <si>
    <t>e</t>
  </si>
  <si>
    <t>Norm Mag</t>
  </si>
  <si>
    <t>x</t>
  </si>
  <si>
    <t>Equations</t>
  </si>
  <si>
    <t>DC A</t>
  </si>
  <si>
    <t>DC B</t>
  </si>
  <si>
    <t>DC C</t>
  </si>
  <si>
    <t>DC D</t>
  </si>
  <si>
    <t>DC E</t>
  </si>
  <si>
    <t>NM A</t>
  </si>
  <si>
    <t>NM B</t>
  </si>
  <si>
    <t>NM C</t>
  </si>
  <si>
    <t>NM D</t>
  </si>
  <si>
    <t>NM E</t>
  </si>
  <si>
    <t>NM X</t>
  </si>
  <si>
    <t>CL A</t>
  </si>
  <si>
    <t>CL B</t>
  </si>
  <si>
    <t>CL C</t>
  </si>
  <si>
    <t>% Initial Perm Max Rip Current</t>
  </si>
  <si>
    <t>% Initial Perm Min Rip Current</t>
  </si>
  <si>
    <t>% Intial Perm MAX Current AC low f</t>
  </si>
  <si>
    <t>DC + AC Ripple Drive</t>
  </si>
  <si>
    <t>DC-AC Ripple Drive</t>
  </si>
  <si>
    <t>If low f AC Drive</t>
  </si>
  <si>
    <t>DC or low f AC RMS Drive Init</t>
  </si>
  <si>
    <t>DC or low f AC RMS Drive 2nd</t>
  </si>
  <si>
    <t>L +/- 8% if Max Current is low f AC</t>
  </si>
  <si>
    <t>Cross Section (cm2)</t>
  </si>
  <si>
    <t>Specified Current</t>
  </si>
  <si>
    <t>Specified Current Drive</t>
  </si>
  <si>
    <t>Operating Temperature (C°)</t>
  </si>
  <si>
    <t>ABS HAC MIN</t>
  </si>
  <si>
    <t>DC + AC Ripple Current</t>
  </si>
  <si>
    <t>DC-AC Ripple Current</t>
  </si>
  <si>
    <t>DC or fundamental AC rms Current</t>
  </si>
  <si>
    <t>Fundamental AC, peak Current</t>
  </si>
  <si>
    <t>Leakage Inductance (uH)</t>
  </si>
  <si>
    <t>0078102A7</t>
  </si>
  <si>
    <t>0078337A7</t>
  </si>
  <si>
    <t>0078165A7</t>
  </si>
  <si>
    <r>
      <t>DCR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</si>
  <si>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Specified Current (Amps)</t>
  </si>
  <si>
    <t>% Intial Perm Spec. Current</t>
  </si>
  <si>
    <t>Specified Current Inductance MIN(mH)</t>
  </si>
  <si>
    <r>
      <t>Ambient Temperature (</t>
    </r>
    <r>
      <rPr>
        <sz val="11"/>
        <color theme="1"/>
        <rFont val="Calibri"/>
        <family val="2"/>
      </rPr>
      <t>°C)</t>
    </r>
  </si>
  <si>
    <t>Resistance/mm (20 °C)</t>
  </si>
  <si>
    <t>Cir Mils</t>
  </si>
  <si>
    <t>Circ Mills/strand</t>
  </si>
  <si>
    <t>Resistance/m (20 °C)</t>
  </si>
  <si>
    <r>
      <t>DCR (m</t>
    </r>
    <r>
      <rPr>
        <sz val="11"/>
        <color theme="1"/>
        <rFont val="Calibri"/>
        <family val="2"/>
      </rPr>
      <t>Ω, 20° C</t>
    </r>
    <r>
      <rPr>
        <sz val="11"/>
        <color theme="1"/>
        <rFont val="Calibri"/>
        <family val="2"/>
        <scheme val="minor"/>
      </rPr>
      <t>)</t>
    </r>
  </si>
  <si>
    <r>
      <t>Resistance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/m) (@20 °C) all strands</t>
    </r>
  </si>
  <si>
    <r>
      <t>Resistance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/mm) (@20 °C)</t>
    </r>
  </si>
  <si>
    <r>
      <t>DCR (m</t>
    </r>
    <r>
      <rPr>
        <sz val="11"/>
        <color theme="1"/>
        <rFont val="Calibri"/>
        <family val="2"/>
      </rPr>
      <t>Ω, @ 20° C</t>
    </r>
    <r>
      <rPr>
        <sz val="11"/>
        <color theme="1"/>
        <rFont val="Calibri"/>
        <family val="2"/>
        <scheme val="minor"/>
      </rPr>
      <t>)</t>
    </r>
  </si>
  <si>
    <t>Skin Depth (mm)</t>
  </si>
  <si>
    <t>Wire Radius (mm)</t>
  </si>
  <si>
    <t>Current Skin Depth (mm)</t>
  </si>
  <si>
    <t>Bare Wire OD (Inches)</t>
  </si>
  <si>
    <t>Bare Wire Radius (mm)</t>
  </si>
  <si>
    <t>Copper info</t>
  </si>
  <si>
    <t>Aluminum info</t>
  </si>
  <si>
    <t>Catalog page</t>
  </si>
  <si>
    <t>Size Code</t>
  </si>
  <si>
    <t>550u</t>
  </si>
  <si>
    <t>300u</t>
  </si>
  <si>
    <t>200u</t>
  </si>
  <si>
    <t>173u</t>
  </si>
  <si>
    <t>160u</t>
  </si>
  <si>
    <t>147u</t>
  </si>
  <si>
    <t>125u</t>
  </si>
  <si>
    <t>60u</t>
  </si>
  <si>
    <t>26u</t>
  </si>
  <si>
    <t>14u</t>
  </si>
  <si>
    <t>LI^2 max (%ui=0.5min)</t>
  </si>
  <si>
    <t>LI^2 min (%ui=0.5min)</t>
  </si>
  <si>
    <t>P/N, page</t>
  </si>
  <si>
    <t>%ui win limit</t>
  </si>
  <si>
    <t>%ui limit</t>
  </si>
  <si>
    <t>140, pg 4-1</t>
  </si>
  <si>
    <t>55135 (300µ), pg 4-1</t>
  </si>
  <si>
    <t>150, pg 4-2</t>
  </si>
  <si>
    <t>55145 (300µ), pg 4-2</t>
  </si>
  <si>
    <t>180, pg 4-3</t>
  </si>
  <si>
    <t>55175 (300µ), pg 4-3</t>
  </si>
  <si>
    <t>020, pg 4-4</t>
  </si>
  <si>
    <t>55015 (300µ), pg 4-4</t>
  </si>
  <si>
    <t>240, pg 4-5</t>
  </si>
  <si>
    <t>55235 (300µ), pg 4-5</t>
  </si>
  <si>
    <t>270, pg 4-6</t>
  </si>
  <si>
    <t>55265 (300µ), pg 4-6</t>
  </si>
  <si>
    <t>030, pg 4-8</t>
  </si>
  <si>
    <t>55025 (300µ), pg 4-8</t>
  </si>
  <si>
    <t>410, pg 4-7</t>
  </si>
  <si>
    <t>55405 (300µ), pg 4-7</t>
  </si>
  <si>
    <t>280, pg 4-9</t>
  </si>
  <si>
    <t>55275 (300µ), pg 4-9</t>
  </si>
  <si>
    <t>290, pg 4-10</t>
  </si>
  <si>
    <t>55285 (300µ), pg 4-10</t>
  </si>
  <si>
    <t>040, pg 4-11</t>
  </si>
  <si>
    <t>55035 (300µ), pg 4-11</t>
  </si>
  <si>
    <t>130, pg 4-12</t>
  </si>
  <si>
    <t>55125 (300µ), pg 4-12</t>
  </si>
  <si>
    <t>050, pg 4-13</t>
  </si>
  <si>
    <t>55047 (200µ), pg 4-13</t>
  </si>
  <si>
    <t>120, pg 4-14</t>
  </si>
  <si>
    <t>55117 (200µ), pg 4-14</t>
  </si>
  <si>
    <t>380, pg 4-15</t>
  </si>
  <si>
    <t>55377 (200µ), pg 4-15</t>
  </si>
  <si>
    <t>206, pg 4-16</t>
  </si>
  <si>
    <t>55206 (125µ), pg 4-16</t>
  </si>
  <si>
    <t>310, pg 4-17</t>
  </si>
  <si>
    <t>55310 (125µ), pg 4-17</t>
  </si>
  <si>
    <t>350, pg 4-18</t>
  </si>
  <si>
    <t>55350 (125µ), pg 4-18</t>
  </si>
  <si>
    <t>930, pg 4-19</t>
  </si>
  <si>
    <t>55930 (125µ), pg 4-19</t>
  </si>
  <si>
    <t>548, pg 4-20</t>
  </si>
  <si>
    <t>55071 (60µ), pg 4-20</t>
  </si>
  <si>
    <t>585, pg 4-21</t>
  </si>
  <si>
    <t>55586 (60µ), pg 4-21</t>
  </si>
  <si>
    <t>324, pg 4-22</t>
  </si>
  <si>
    <t>55076 (60µ), pg 4-22</t>
  </si>
  <si>
    <t>254, pg 4-23</t>
  </si>
  <si>
    <t>55083 (60µ), pg 4-23</t>
  </si>
  <si>
    <t>438, pg 4-24</t>
  </si>
  <si>
    <t>55439 (60µ), pg 4-24</t>
  </si>
  <si>
    <t>089, pg 4-25</t>
  </si>
  <si>
    <t>55090 (60µ), pg 4-25</t>
  </si>
  <si>
    <t>715, pg 4-26</t>
  </si>
  <si>
    <t>55716 (60µ), pg 4-26</t>
  </si>
  <si>
    <t>Set to 0.5</t>
  </si>
  <si>
    <t>195, pg 4-27</t>
  </si>
  <si>
    <t>55192 (60µ), pg 4-27</t>
  </si>
  <si>
    <t>109, pg 4-28</t>
  </si>
  <si>
    <t>55111 (26µ), pg 4-28</t>
  </si>
  <si>
    <t>620, pg 4-29</t>
  </si>
  <si>
    <t>55617 (60µ), pg 4-29</t>
  </si>
  <si>
    <t>866, pg 4-31</t>
  </si>
  <si>
    <t>55868 (26µ), pg 4-31</t>
  </si>
  <si>
    <t>906, pg 4-32</t>
  </si>
  <si>
    <t>55908 (26µ), pg 4-32</t>
  </si>
  <si>
    <t>740, pg 4-30</t>
  </si>
  <si>
    <t>55735 (26µ), pg 4-30</t>
  </si>
  <si>
    <t>102, pg 4-33</t>
  </si>
  <si>
    <t>55102 (26µ), pg 4-33</t>
  </si>
  <si>
    <t>337, pg 4-34</t>
  </si>
  <si>
    <t>55336 (14µ), pg 4-34</t>
  </si>
  <si>
    <t>165, pg 4-35</t>
  </si>
  <si>
    <t>55164 (14µ), pg 4-35</t>
  </si>
  <si>
    <t>Wire size</t>
  </si>
  <si>
    <t>HF</t>
  </si>
  <si>
    <t>140</t>
  </si>
  <si>
    <t>150</t>
  </si>
  <si>
    <t>180</t>
  </si>
  <si>
    <t>240</t>
  </si>
  <si>
    <t>270</t>
  </si>
  <si>
    <t>410</t>
  </si>
  <si>
    <t>280</t>
  </si>
  <si>
    <t>290</t>
  </si>
  <si>
    <t>130</t>
  </si>
  <si>
    <t>380</t>
  </si>
  <si>
    <t>120</t>
  </si>
  <si>
    <t>206</t>
  </si>
  <si>
    <t>310</t>
  </si>
  <si>
    <t>350</t>
  </si>
  <si>
    <t>930</t>
  </si>
  <si>
    <t>585</t>
  </si>
  <si>
    <t>548</t>
  </si>
  <si>
    <t>324</t>
  </si>
  <si>
    <t>254</t>
  </si>
  <si>
    <t>438</t>
  </si>
  <si>
    <t>715</t>
  </si>
  <si>
    <t>195</t>
  </si>
  <si>
    <t>109</t>
  </si>
  <si>
    <t>620</t>
  </si>
  <si>
    <t>866</t>
  </si>
  <si>
    <t>906</t>
  </si>
  <si>
    <t>102</t>
  </si>
  <si>
    <t>740</t>
  </si>
  <si>
    <t>337</t>
  </si>
  <si>
    <t>165</t>
  </si>
  <si>
    <t>XFLUX</t>
  </si>
  <si>
    <t>90u</t>
  </si>
  <si>
    <t>75u</t>
  </si>
  <si>
    <t>40u</t>
  </si>
  <si>
    <t>LI^2 max %ui=0.5min</t>
  </si>
  <si>
    <t>78051 (60µ), pg 4-13</t>
  </si>
  <si>
    <t>78381 (60µ), pg 4-15</t>
  </si>
  <si>
    <t>78121 (60µ), pg 4-14</t>
  </si>
  <si>
    <t>78848 (60µ), pg 4-16</t>
  </si>
  <si>
    <t>78059 (60µ), pg 4-17</t>
  </si>
  <si>
    <t>78351 (60µ), pg 4-18</t>
  </si>
  <si>
    <t>78894 (60µ), pg 4-19</t>
  </si>
  <si>
    <t>78071 (60µ), pg 4-20</t>
  </si>
  <si>
    <t>78586 (60µ), pg 4-21</t>
  </si>
  <si>
    <t>78076 (60µ), pg 4-22</t>
  </si>
  <si>
    <t>78083 (60µ), pg 4-23</t>
  </si>
  <si>
    <t>78439 (60µ), pg 4-24</t>
  </si>
  <si>
    <t>78090 (60µ), pg 4-25</t>
  </si>
  <si>
    <t>78716 (60µ), pg 4-26</t>
  </si>
  <si>
    <t>78192 (60µ), pg 4-27</t>
  </si>
  <si>
    <t>78110 (60µ), pg 4-28</t>
  </si>
  <si>
    <t>78867 (60µ), pg 4-31</t>
  </si>
  <si>
    <t>78907 (60µ), pg 4-32</t>
  </si>
  <si>
    <t>Number of Cores</t>
  </si>
  <si>
    <t>Stack Cores</t>
  </si>
  <si>
    <t>Design Input</t>
  </si>
  <si>
    <t>Input a Part Number</t>
  </si>
  <si>
    <t>Total Loss</t>
  </si>
  <si>
    <t>Finished OD(mm)</t>
  </si>
  <si>
    <t>Finished HT(mm)</t>
  </si>
  <si>
    <t>STEP 1</t>
  </si>
  <si>
    <t>STEP 2</t>
  </si>
  <si>
    <t>STEP 3</t>
  </si>
  <si>
    <t>STEP 4</t>
  </si>
  <si>
    <t>Amps</t>
  </si>
  <si>
    <t>Ripple Current</t>
  </si>
  <si>
    <t>KHz</t>
  </si>
  <si>
    <t>mH</t>
  </si>
  <si>
    <t xml:space="preserve"> Amps            (peak to peak)</t>
  </si>
  <si>
    <t xml:space="preserve">DC Current </t>
  </si>
  <si>
    <t xml:space="preserve">Frequency </t>
  </si>
  <si>
    <t xml:space="preserve">Full Load L </t>
  </si>
  <si>
    <t xml:space="preserve">Specified Current </t>
  </si>
  <si>
    <t>°C</t>
  </si>
  <si>
    <t>Temp Rise</t>
  </si>
  <si>
    <t>W</t>
  </si>
  <si>
    <t>mΩ</t>
  </si>
  <si>
    <t>mm</t>
  </si>
  <si>
    <t>Winding Factor</t>
  </si>
  <si>
    <t xml:space="preserve">DC Resistance of Winding </t>
  </si>
  <si>
    <t>Finished OD</t>
  </si>
  <si>
    <t>Finished HT</t>
  </si>
  <si>
    <t>AWG</t>
  </si>
  <si>
    <t>Specified Current Inductance</t>
  </si>
  <si>
    <t>INSTRUCTIONS:</t>
  </si>
  <si>
    <t>1.  Enter the input parameters in STEP 1.</t>
  </si>
  <si>
    <t xml:space="preserve">  -  Full Load DC Current is the full load or peak bias current.  Enter zero if there is no bias current.</t>
  </si>
  <si>
    <t xml:space="preserve">  -  Full Load L is the inductance required with  full load bias current plus ripple current.</t>
  </si>
  <si>
    <t xml:space="preserve">  -  Specified Current is any RMS or bias current of interest.  </t>
  </si>
  <si>
    <t xml:space="preserve">Inductance at Full Load </t>
  </si>
  <si>
    <t xml:space="preserve">Inductance at No Load </t>
  </si>
  <si>
    <t>1kHz-10kHz</t>
  </si>
  <si>
    <t>10kHz-20kHz</t>
  </si>
  <si>
    <t>20kHz-100kHz</t>
  </si>
  <si>
    <t>Unfinished OD</t>
  </si>
  <si>
    <t>Select your Inductor Type</t>
  </si>
  <si>
    <t>Number of Cores (Stack-per set)</t>
  </si>
  <si>
    <t>Ambient Temperature(°C)</t>
  </si>
  <si>
    <t>Type of Wire</t>
  </si>
  <si>
    <t>copper</t>
  </si>
  <si>
    <t>DCR(mΩ, 20° C)</t>
  </si>
  <si>
    <t>Number of Layers Possible</t>
  </si>
  <si>
    <t>Layers Needed</t>
  </si>
  <si>
    <t>Wire Cost</t>
  </si>
  <si>
    <t>Per Core Cost</t>
  </si>
  <si>
    <t>Total Cost</t>
  </si>
  <si>
    <r>
      <t>LI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(Peak Current)</t>
    </r>
  </si>
  <si>
    <t>Current Skin Depth(mm)</t>
  </si>
  <si>
    <t>Circ Mils/ All Strands</t>
  </si>
  <si>
    <t>Resistivity(Ω-Circ Mills/FT)</t>
  </si>
  <si>
    <t>Resistance/mm</t>
  </si>
  <si>
    <t>Leave Blank When starting new design -------------------&gt;</t>
  </si>
  <si>
    <r>
      <t>Bobbin Window Area(cm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</si>
  <si>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 (mm)</t>
  </si>
  <si>
    <t>B (mm)</t>
  </si>
  <si>
    <t>C (mm)</t>
  </si>
  <si>
    <t>D (mm)</t>
  </si>
  <si>
    <t>E (mm)</t>
  </si>
  <si>
    <t>F (mm)</t>
  </si>
  <si>
    <t>L (mm)</t>
  </si>
  <si>
    <t>M (mm)</t>
  </si>
  <si>
    <t>Bobbin Thickness (mm)</t>
  </si>
  <si>
    <t>C +F+4Bob</t>
  </si>
  <si>
    <t xml:space="preserve"> Bobbin Width (mm)</t>
  </si>
  <si>
    <t># of Turns possible per layer</t>
  </si>
  <si>
    <t>Turns on Layer 5</t>
  </si>
  <si>
    <t>Turns on Layer 6</t>
  </si>
  <si>
    <t>Turns on Layer 7</t>
  </si>
  <si>
    <t>Turns on Layer 8</t>
  </si>
  <si>
    <t>Turns on Layer 9</t>
  </si>
  <si>
    <t>Length per turn Layer 2 (mm)</t>
  </si>
  <si>
    <t>Length per turn Layer 5</t>
  </si>
  <si>
    <t>Wire Price Per Pound</t>
  </si>
  <si>
    <t>Kgs of Wire</t>
  </si>
  <si>
    <t>Finished W (mm)</t>
  </si>
  <si>
    <t>Finished HT (mm)</t>
  </si>
  <si>
    <t>Single Core Weight(KG)</t>
  </si>
  <si>
    <t>Total Core Weight(KG)</t>
  </si>
  <si>
    <t>Finished Weight(kG)</t>
  </si>
  <si>
    <r>
      <t>WA w/o bobbin 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</si>
  <si>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 w/o bobbin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</si>
  <si>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 w/ PC bobbin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</si>
  <si>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 w/ Plain bobbin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</si>
  <si>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Bobbin Width  (mm)</t>
  </si>
  <si>
    <t>2D</t>
  </si>
  <si>
    <t>Bobbin Thickness</t>
  </si>
  <si>
    <t>00X4020E026</t>
  </si>
  <si>
    <t>00X4020E040</t>
  </si>
  <si>
    <t>00X4022E026</t>
  </si>
  <si>
    <t>00X4022E040</t>
  </si>
  <si>
    <t>00X4317E026</t>
  </si>
  <si>
    <t>00X4317E040</t>
  </si>
  <si>
    <t>00X5528E026</t>
  </si>
  <si>
    <t>00X5528E040</t>
  </si>
  <si>
    <t>00X5530E026</t>
  </si>
  <si>
    <t>00X5530E040</t>
  </si>
  <si>
    <t>00X6527E026</t>
  </si>
  <si>
    <t>00X6527E040</t>
  </si>
  <si>
    <t>00X7228E026</t>
  </si>
  <si>
    <t>00X7228E040</t>
  </si>
  <si>
    <t>00X8020E026</t>
  </si>
  <si>
    <t>00X8020E040</t>
  </si>
  <si>
    <t>00X8044E026</t>
  </si>
  <si>
    <t>00K114LE060</t>
  </si>
  <si>
    <t>114LE</t>
  </si>
  <si>
    <t>00K114LE026</t>
  </si>
  <si>
    <t>00K114LE026HT26</t>
  </si>
  <si>
    <t>00X8030B040</t>
  </si>
  <si>
    <t>00X8030B026</t>
  </si>
  <si>
    <t>00X6030B040</t>
  </si>
  <si>
    <t>00X6030B026</t>
  </si>
  <si>
    <t>00X5030B040</t>
  </si>
  <si>
    <t>00X5030B026</t>
  </si>
  <si>
    <t>00X5528B040</t>
  </si>
  <si>
    <t>00X5528B026</t>
  </si>
  <si>
    <t>00X4741B040</t>
  </si>
  <si>
    <t>00X4741B026</t>
  </si>
  <si>
    <t>00K8030B060</t>
  </si>
  <si>
    <t>00K8030B040</t>
  </si>
  <si>
    <t>00K8030B026</t>
  </si>
  <si>
    <t>00K8030B014</t>
  </si>
  <si>
    <t>00K6030B040</t>
  </si>
  <si>
    <t>00K6030B014</t>
  </si>
  <si>
    <t>00K5528B014</t>
  </si>
  <si>
    <t>00K5030B060</t>
  </si>
  <si>
    <t>00K5030B040</t>
  </si>
  <si>
    <t>00K5030B026</t>
  </si>
  <si>
    <t>00K5030B014</t>
  </si>
  <si>
    <t>00K4741B040</t>
  </si>
  <si>
    <t>00K4741B014</t>
  </si>
  <si>
    <t>00K4017E0040</t>
  </si>
  <si>
    <t>Spec sheet weight (grams)</t>
  </si>
  <si>
    <t>Weight Ration</t>
  </si>
  <si>
    <t>Resistivity</t>
  </si>
  <si>
    <t>Copper</t>
  </si>
  <si>
    <t>Aluminum</t>
  </si>
  <si>
    <t>Litz</t>
  </si>
  <si>
    <t>Temperature Coefficient of resistance</t>
  </si>
  <si>
    <r>
      <t>ACR (m</t>
    </r>
    <r>
      <rPr>
        <sz val="11"/>
        <color theme="1"/>
        <rFont val="Calibri"/>
        <family val="2"/>
      </rPr>
      <t>Ω, @ 20° C</t>
    </r>
    <r>
      <rPr>
        <sz val="11"/>
        <color theme="1"/>
        <rFont val="Calibri"/>
        <family val="2"/>
        <scheme val="minor"/>
      </rPr>
      <t>)</t>
    </r>
  </si>
  <si>
    <t>DC w/ ripple</t>
  </si>
  <si>
    <t>Kool Mu E</t>
  </si>
  <si>
    <t>Xflux E</t>
  </si>
  <si>
    <t>Number of cores</t>
  </si>
  <si>
    <t>Wire Size</t>
  </si>
  <si>
    <t>1808E</t>
  </si>
  <si>
    <t>2510E</t>
  </si>
  <si>
    <t>3007E</t>
  </si>
  <si>
    <t>3515E</t>
  </si>
  <si>
    <t>4317E</t>
  </si>
  <si>
    <t>4020E</t>
  </si>
  <si>
    <t>4017E</t>
  </si>
  <si>
    <t>4022E</t>
  </si>
  <si>
    <t>5528E</t>
  </si>
  <si>
    <t>5530E</t>
  </si>
  <si>
    <t>7228E</t>
  </si>
  <si>
    <t>6527E</t>
  </si>
  <si>
    <t>8020E</t>
  </si>
  <si>
    <t>8044E</t>
  </si>
  <si>
    <t>Perm, LI^2 max, %ui=0.5 min</t>
  </si>
  <si>
    <t>P/N, pg</t>
  </si>
  <si>
    <t>K1808E090, pg 4-???37-2</t>
  </si>
  <si>
    <t>K2510E090, pg 4-???37-3</t>
  </si>
  <si>
    <t>K3007E090, pg 4-???37-4</t>
  </si>
  <si>
    <t>K3515E090, pg 4-???37-5</t>
  </si>
  <si>
    <t>K4317E090, pg 4-???37-9</t>
  </si>
  <si>
    <t>K4020E060, pg 4-???37-7</t>
  </si>
  <si>
    <t>K4017E060, pg 4-???37-6</t>
  </si>
  <si>
    <t>K4022E090, pg 4-???37-8</t>
  </si>
  <si>
    <t>K5528E060, pg 4-???37-10</t>
  </si>
  <si>
    <t>K5530E060, pg 4-???37-11</t>
  </si>
  <si>
    <t>K7228E040, pg 4-???37-13</t>
  </si>
  <si>
    <t>K6527E040, pg 4-???37-12</t>
  </si>
  <si>
    <t>K8020E040, pg 4-???37-14</t>
  </si>
  <si>
    <t>K8044E026, pg 4-???37-15</t>
  </si>
  <si>
    <t>K130LE026, pg 4-???37-16</t>
  </si>
  <si>
    <t>K160LE026, pg 4-???37-17</t>
  </si>
  <si>
    <t>Adjust Wire Strand</t>
  </si>
  <si>
    <t>Adjust Strand</t>
  </si>
  <si>
    <t>X4317E060</t>
  </si>
  <si>
    <t>X4020E060</t>
  </si>
  <si>
    <t>X4022E060</t>
  </si>
  <si>
    <t>X5528E060</t>
  </si>
  <si>
    <t>X5530E060</t>
  </si>
  <si>
    <t>X7228E060</t>
  </si>
  <si>
    <t>X6527E060</t>
  </si>
  <si>
    <t>X8020E060</t>
  </si>
  <si>
    <t>X8024E060</t>
  </si>
  <si>
    <t>X8044E026</t>
  </si>
  <si>
    <t>00X4317E060</t>
  </si>
  <si>
    <t>00X4020E060</t>
  </si>
  <si>
    <t>00X4022E060</t>
  </si>
  <si>
    <t>00X5528E060</t>
  </si>
  <si>
    <t>00X5530E060</t>
  </si>
  <si>
    <t>00X7228E060</t>
  </si>
  <si>
    <t>00X6527E060</t>
  </si>
  <si>
    <t>00X8020E060</t>
  </si>
  <si>
    <t>00X8024E060</t>
  </si>
  <si>
    <t>00X8024E040</t>
  </si>
  <si>
    <t>00X8024E026</t>
  </si>
  <si>
    <t>00X8044E060</t>
  </si>
  <si>
    <t>00X8044E040</t>
  </si>
  <si>
    <t>Finished A(mm)</t>
  </si>
  <si>
    <t>Finished A</t>
  </si>
  <si>
    <t>0078052A7</t>
  </si>
  <si>
    <t>0078112A7</t>
  </si>
  <si>
    <t>0078328A7</t>
  </si>
  <si>
    <t>0078208A7</t>
  </si>
  <si>
    <t>0078312A7</t>
  </si>
  <si>
    <t>0078352A7</t>
  </si>
  <si>
    <t>0078932A7</t>
  </si>
  <si>
    <t>0078550A7</t>
  </si>
  <si>
    <t>0078587A7</t>
  </si>
  <si>
    <t>0078326A7</t>
  </si>
  <si>
    <t>0078256A7</t>
  </si>
  <si>
    <t>0078440A7</t>
  </si>
  <si>
    <t>0078091A7</t>
  </si>
  <si>
    <t>0078717A7</t>
  </si>
  <si>
    <t>0078191A7</t>
  </si>
  <si>
    <t>0078111A7</t>
  </si>
  <si>
    <t>0078615A7</t>
  </si>
  <si>
    <t>0078735A7</t>
  </si>
  <si>
    <t>Core OD (mm)</t>
  </si>
  <si>
    <t>Core A Dimension (mm)</t>
  </si>
  <si>
    <t>Calculated LI^2 value</t>
  </si>
  <si>
    <t xml:space="preserve">Based on the LI^2 value choose a part number to fill in STEP 3. </t>
  </si>
  <si>
    <t>Core Perm</t>
  </si>
  <si>
    <t xml:space="preserve">2.  LI^2 value will be calculated in STEP 2. </t>
  </si>
  <si>
    <t>Design Output</t>
  </si>
  <si>
    <t>Input a Wire Size</t>
  </si>
  <si>
    <t>4.  Enter a Part Number you selected into STEP 3 and press "Enter". Then enter a wire size by selecting from wire table and press "Enter".</t>
  </si>
  <si>
    <t>5.  Adjust turns or strand if desired by entering new numbers in the input box in STEP 4, and press "Enter".</t>
  </si>
  <si>
    <t>6.  To return to STEP 3, clear the "Adjust Turns" box, enter a new part number, and press "Enter".</t>
  </si>
  <si>
    <t>3.  Use calculated LI^2 value to select a part number from "Toroid LI^2 Chart" by different materials.</t>
  </si>
  <si>
    <t>3.  Use calculated LI^2 value to select a part number from "E Core LI^2 Chart" by Kool Mu material. A smaller size Xflux core may work vs. Kool</t>
  </si>
  <si>
    <t>Mu core.</t>
  </si>
  <si>
    <t xml:space="preserve"> </t>
  </si>
  <si>
    <t xml:space="preserve">4.  Select a Part Number you STEP 3 and press "Enter". Then enter a wire size by selecting from wire table and press "Enter". </t>
  </si>
  <si>
    <t xml:space="preserve">Default strand is 1. </t>
  </si>
  <si>
    <t>Default strand is 1.</t>
  </si>
  <si>
    <t>0075099A7</t>
  </si>
  <si>
    <t>75</t>
  </si>
  <si>
    <t>0075100A7</t>
  </si>
  <si>
    <t>0075102A7</t>
  </si>
  <si>
    <t>0075165A7</t>
  </si>
  <si>
    <t>0075337A7</t>
  </si>
  <si>
    <t>0075615A7</t>
  </si>
  <si>
    <t>0075616A7</t>
  </si>
  <si>
    <t>0075617A7</t>
  </si>
  <si>
    <t>0075735A7</t>
  </si>
  <si>
    <t>0075736A7</t>
  </si>
  <si>
    <t>0075737A7</t>
  </si>
  <si>
    <t>0075059A7</t>
  </si>
  <si>
    <t>0075071A7</t>
  </si>
  <si>
    <t>0075076A7</t>
  </si>
  <si>
    <t>0075083A7</t>
  </si>
  <si>
    <t>0075090A7</t>
  </si>
  <si>
    <t>0075091A7</t>
  </si>
  <si>
    <t>0075095A7</t>
  </si>
  <si>
    <t>0075110A7</t>
  </si>
  <si>
    <t>0075111A7</t>
  </si>
  <si>
    <t>0075189A7</t>
  </si>
  <si>
    <t>0075191A7</t>
  </si>
  <si>
    <t>0075192A7</t>
  </si>
  <si>
    <t>0075212A7</t>
  </si>
  <si>
    <t>0075256A7</t>
  </si>
  <si>
    <t>0075260A7</t>
  </si>
  <si>
    <t>0075312A7</t>
  </si>
  <si>
    <t>0075316A7</t>
  </si>
  <si>
    <t>0075326A7</t>
  </si>
  <si>
    <t>0075330A7</t>
  </si>
  <si>
    <t>0075351A7</t>
  </si>
  <si>
    <t>0075352A7</t>
  </si>
  <si>
    <t>0075356A7</t>
  </si>
  <si>
    <t>0075431A7</t>
  </si>
  <si>
    <t>0075439A7</t>
  </si>
  <si>
    <t>0075440A7</t>
  </si>
  <si>
    <t>0075550A7</t>
  </si>
  <si>
    <t>0075555A7</t>
  </si>
  <si>
    <t>0075586A7</t>
  </si>
  <si>
    <t>0075587A7</t>
  </si>
  <si>
    <t>0075591A7</t>
  </si>
  <si>
    <t>0075716A7</t>
  </si>
  <si>
    <t>0075717A7</t>
  </si>
  <si>
    <t>0075721A7</t>
  </si>
  <si>
    <t>0075867A7</t>
  </si>
  <si>
    <t>0075868A7</t>
  </si>
  <si>
    <t>0075872A7</t>
  </si>
  <si>
    <t>0075894A7</t>
  </si>
  <si>
    <t>0075907A7</t>
  </si>
  <si>
    <t>0075908A7</t>
  </si>
  <si>
    <t>0075912A7</t>
  </si>
  <si>
    <t>0075932A7</t>
  </si>
  <si>
    <t>0075936A7</t>
  </si>
  <si>
    <t>0075166A7</t>
  </si>
  <si>
    <t>0075338A7</t>
  </si>
  <si>
    <t>0075339A7</t>
  </si>
  <si>
    <t>0075072A7</t>
  </si>
  <si>
    <t>0075073A7</t>
  </si>
  <si>
    <t>0075074A7</t>
  </si>
  <si>
    <t>Core ID (mm)</t>
  </si>
  <si>
    <t>Core HT (mm)</t>
  </si>
  <si>
    <t>Core Al</t>
  </si>
  <si>
    <t>Total Wire Length</t>
  </si>
  <si>
    <t>Core B Dimension (mm)</t>
  </si>
  <si>
    <t>Core C Dimension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</si>
</sst>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"/>
    <numFmt numFmtId="166" formatCode="0.00000"/>
    <numFmt numFmtId="167" formatCode="0.0000"/>
    <numFmt numFmtId="168" formatCode="0.0%"/>
    <numFmt numFmtId="169" formatCode="0.000E+00"/>
    <numFmt numFmtId="170" formatCode="0.000000000"/>
    <numFmt numFmtId="171" formatCode="&quot;$&quot;#,##0.000"/>
  </numFmts>
  <fonts count="4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u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Arial"/>
      <family val="2"/>
    </font>
    <font>
      <sz val="11"/>
      <color rgb="FFFF0000"/>
      <name val="Courier New"/>
      <family val="3"/>
    </font>
    <font>
      <b/>
      <sz val="11"/>
      <color rgb="FFFF0000"/>
      <name val="Batang"/>
      <family val="1"/>
    </font>
    <font>
      <b/>
      <sz val="10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DAEEF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0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56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10" fillId="4" borderId="0" applyNumberFormat="0" applyBorder="0" applyAlignment="0" applyProtection="0"/>
    <xf numFmtId="0" fontId="15" fillId="0" borderId="0"/>
    <xf numFmtId="0" fontId="19" fillId="16" borderId="26" applyNumberFormat="0" applyAlignment="0" applyProtection="0"/>
    <xf numFmtId="0" fontId="20" fillId="0" borderId="0"/>
    <xf numFmtId="0" fontId="21" fillId="17" borderId="27" applyNumberFormat="0" applyAlignment="0" applyProtection="0"/>
    <xf numFmtId="0" fontId="24" fillId="0" borderId="0" applyNumberFormat="0" applyFill="0" applyBorder="0" applyAlignment="0" applyProtection="0"/>
    <xf numFmtId="0" fontId="23" fillId="20" borderId="77" applyNumberFormat="0" applyFont="0" applyAlignment="0" applyProtection="0"/>
    <xf numFmtId="0" fontId="4" fillId="0" borderId="0"/>
    <xf numFmtId="0" fontId="26" fillId="0" borderId="0" applyNumberFormat="0" applyFill="0" applyBorder="0" applyAlignment="0" applyProtection="0"/>
    <xf numFmtId="0" fontId="23" fillId="39" borderId="0" applyNumberFormat="0" applyBorder="0" applyAlignment="0" applyProtection="0"/>
    <xf numFmtId="0" fontId="23" fillId="23" borderId="0" applyNumberFormat="0" applyBorder="0" applyAlignment="0" applyProtection="0"/>
    <xf numFmtId="0" fontId="23" fillId="31" borderId="0" applyNumberFormat="0" applyBorder="0" applyAlignment="0" applyProtection="0"/>
    <xf numFmtId="0" fontId="23" fillId="35" borderId="0" applyNumberFormat="0" applyBorder="0" applyAlignment="0" applyProtection="0"/>
    <xf numFmtId="0" fontId="23" fillId="43" borderId="0" applyNumberFormat="0" applyBorder="0" applyAlignment="0" applyProtection="0"/>
    <xf numFmtId="0" fontId="4" fillId="0" borderId="0"/>
    <xf numFmtId="0" fontId="23" fillId="0" borderId="0"/>
    <xf numFmtId="0" fontId="5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31" fillId="17" borderId="26" applyNumberFormat="0" applyAlignment="0" applyProtection="0"/>
    <xf numFmtId="0" fontId="30" fillId="18" borderId="0" applyNumberFormat="0" applyBorder="0" applyAlignment="0" applyProtection="0"/>
    <xf numFmtId="0" fontId="27" fillId="0" borderId="72" applyNumberFormat="0" applyFill="0" applyAlignment="0" applyProtection="0"/>
    <xf numFmtId="0" fontId="29" fillId="0" borderId="74" applyNumberFormat="0" applyFill="0" applyAlignment="0" applyProtection="0"/>
    <xf numFmtId="0" fontId="29" fillId="0" borderId="0" applyNumberFormat="0" applyFill="0" applyBorder="0" applyAlignment="0" applyProtection="0"/>
    <xf numFmtId="0" fontId="32" fillId="0" borderId="75" applyNumberFormat="0" applyFill="0" applyAlignment="0" applyProtection="0"/>
    <xf numFmtId="0" fontId="25" fillId="0" borderId="0" applyNumberFormat="0" applyFill="0" applyBorder="0" applyAlignment="0" applyProtection="0"/>
    <xf numFmtId="0" fontId="19" fillId="16" borderId="26" applyNumberFormat="0" applyAlignment="0" applyProtection="0"/>
    <xf numFmtId="0" fontId="33" fillId="19" borderId="76" applyNumberFormat="0" applyAlignment="0" applyProtection="0"/>
    <xf numFmtId="0" fontId="28" fillId="0" borderId="73" applyNumberFormat="0" applyFill="0" applyAlignment="0" applyProtection="0"/>
    <xf numFmtId="0" fontId="21" fillId="17" borderId="27" applyNumberFormat="0" applyAlignment="0" applyProtection="0"/>
    <xf numFmtId="0" fontId="6" fillId="0" borderId="78" applyNumberFormat="0" applyFill="0" applyAlignment="0" applyProtection="0"/>
    <xf numFmtId="0" fontId="34" fillId="21" borderId="0" applyNumberFormat="0" applyBorder="0" applyAlignment="0" applyProtection="0"/>
    <xf numFmtId="0" fontId="23" fillId="22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2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23" fillId="34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23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23" fillId="42" borderId="0" applyNumberFormat="0" applyBorder="0" applyAlignment="0" applyProtection="0"/>
    <xf numFmtId="0" fontId="34" fillId="44" borderId="0" applyNumberFormat="0" applyBorder="0" applyAlignment="0" applyProtection="0"/>
    <xf numFmtId="0" fontId="1" fillId="0" borderId="0"/>
    <xf numFmtId="0" fontId="35" fillId="3" borderId="0" applyNumberFormat="0" applyBorder="0" applyAlignment="0" applyProtection="0"/>
    <xf numFmtId="0" fontId="1" fillId="0" borderId="0"/>
  </cellStyleXfs>
  <cellXfs count="47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49" fontId="7" fillId="0" borderId="9" xfId="0" applyNumberFormat="1" applyFont="1" applyBorder="1" applyAlignment="1">
      <alignment horizontal="center" vertical="center"/>
    </xf>
    <xf numFmtId="11" fontId="7" fillId="0" borderId="9" xfId="0" applyNumberFormat="1" applyFont="1" applyBorder="1" applyAlignment="1" applyProtection="1">
      <alignment horizontal="center" vertical="center"/>
      <protection locked="0"/>
    </xf>
    <xf numFmtId="11" fontId="8" fillId="0" borderId="9" xfId="0" applyNumberFormat="1" applyFont="1" applyFill="1" applyBorder="1" applyAlignment="1" applyProtection="1">
      <alignment horizontal="center" vertical="center"/>
      <protection locked="0"/>
    </xf>
    <xf numFmtId="165" fontId="7" fillId="0" borderId="9" xfId="0" applyNumberFormat="1" applyFont="1" applyBorder="1" applyAlignment="1" applyProtection="1">
      <alignment horizontal="center" vertical="center"/>
      <protection locked="0"/>
    </xf>
    <xf numFmtId="49" fontId="9" fillId="0" borderId="9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/>
    </xf>
    <xf numFmtId="11" fontId="7" fillId="0" borderId="10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166" fontId="7" fillId="0" borderId="9" xfId="0" applyNumberFormat="1" applyFont="1" applyBorder="1" applyAlignment="1" applyProtection="1">
      <alignment horizontal="center" vertical="center"/>
      <protection locked="0"/>
    </xf>
    <xf numFmtId="166" fontId="7" fillId="0" borderId="9" xfId="0" applyNumberFormat="1" applyFont="1" applyBorder="1" applyAlignment="1" applyProtection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 applyProtection="1">
      <alignment horizontal="center" vertical="center"/>
      <protection locked="0"/>
    </xf>
    <xf numFmtId="49" fontId="9" fillId="0" borderId="12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169" fontId="13" fillId="0" borderId="0" xfId="0" applyNumberFormat="1" applyFont="1" applyBorder="1" applyAlignment="1">
      <alignment horizontal="center" vertical="top" wrapText="1"/>
    </xf>
    <xf numFmtId="0" fontId="0" fillId="0" borderId="0" xfId="0"/>
    <xf numFmtId="0" fontId="0" fillId="0" borderId="0" xfId="0" applyFont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67" fontId="7" fillId="0" borderId="0" xfId="0" applyNumberFormat="1" applyFont="1" applyFill="1" applyBorder="1" applyAlignment="1" applyProtection="1">
      <alignment horizontal="center" vertical="center"/>
      <protection locked="0"/>
    </xf>
    <xf numFmtId="167" fontId="0" fillId="0" borderId="0" xfId="0" applyNumberFormat="1"/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16" fillId="5" borderId="0" xfId="4" applyFont="1" applyFill="1" applyBorder="1" applyAlignment="1">
      <alignment horizontal="right" wrapText="1"/>
    </xf>
    <xf numFmtId="0" fontId="16" fillId="5" borderId="0" xfId="4" applyFont="1" applyFill="1" applyBorder="1" applyAlignment="1">
      <alignment wrapText="1"/>
    </xf>
    <xf numFmtId="0" fontId="4" fillId="5" borderId="0" xfId="0" applyFont="1" applyFill="1" applyBorder="1"/>
    <xf numFmtId="49" fontId="16" fillId="5" borderId="0" xfId="4" applyNumberFormat="1" applyFont="1" applyFill="1" applyBorder="1" applyAlignment="1">
      <alignment wrapText="1"/>
    </xf>
    <xf numFmtId="0" fontId="17" fillId="5" borderId="0" xfId="0" applyFont="1" applyFill="1" applyBorder="1"/>
    <xf numFmtId="0" fontId="16" fillId="10" borderId="1" xfId="4" applyFont="1" applyFill="1" applyBorder="1" applyAlignment="1">
      <alignment horizontal="center" wrapText="1"/>
    </xf>
    <xf numFmtId="0" fontId="18" fillId="11" borderId="0" xfId="4" applyFont="1" applyFill="1" applyBorder="1" applyAlignment="1">
      <alignment horizontal="center" wrapText="1"/>
    </xf>
    <xf numFmtId="0" fontId="16" fillId="5" borderId="25" xfId="4" applyFont="1" applyFill="1" applyBorder="1" applyAlignment="1">
      <alignment wrapText="1"/>
    </xf>
    <xf numFmtId="2" fontId="17" fillId="5" borderId="0" xfId="0" applyNumberFormat="1" applyFont="1" applyFill="1" applyBorder="1"/>
    <xf numFmtId="0" fontId="16" fillId="12" borderId="1" xfId="4" applyFont="1" applyFill="1" applyBorder="1" applyAlignment="1">
      <alignment horizontal="center" wrapText="1"/>
    </xf>
    <xf numFmtId="0" fontId="0" fillId="13" borderId="0" xfId="0" applyFill="1"/>
    <xf numFmtId="0" fontId="0" fillId="14" borderId="0" xfId="0" applyFill="1"/>
    <xf numFmtId="170" fontId="0" fillId="14" borderId="0" xfId="0" applyNumberFormat="1" applyFill="1"/>
    <xf numFmtId="0" fontId="0" fillId="15" borderId="0" xfId="0" applyFill="1"/>
    <xf numFmtId="0" fontId="19" fillId="16" borderId="33" xfId="5" applyBorder="1" applyAlignment="1" applyProtection="1">
      <alignment horizontal="center"/>
      <protection locked="0"/>
    </xf>
    <xf numFmtId="0" fontId="19" fillId="16" borderId="33" xfId="5" applyBorder="1" applyAlignment="1" applyProtection="1">
      <alignment horizontal="center" vertical="center"/>
      <protection locked="0"/>
    </xf>
    <xf numFmtId="0" fontId="20" fillId="0" borderId="36" xfId="6" applyBorder="1" applyAlignment="1" applyProtection="1">
      <alignment horizontal="center"/>
    </xf>
    <xf numFmtId="0" fontId="20" fillId="0" borderId="48" xfId="6" applyBorder="1" applyProtection="1"/>
    <xf numFmtId="0" fontId="2" fillId="0" borderId="48" xfId="6" applyFont="1" applyBorder="1" applyAlignment="1" applyProtection="1">
      <alignment horizontal="left" vertical="top" wrapText="1"/>
    </xf>
    <xf numFmtId="0" fontId="20" fillId="0" borderId="48" xfId="6" applyBorder="1" applyAlignment="1" applyProtection="1">
      <alignment horizontal="left" vertical="top" wrapText="1"/>
    </xf>
    <xf numFmtId="0" fontId="2" fillId="0" borderId="48" xfId="6" applyFont="1" applyBorder="1" applyProtection="1"/>
    <xf numFmtId="0" fontId="20" fillId="0" borderId="48" xfId="6" applyBorder="1" applyAlignment="1" applyProtection="1">
      <alignment horizontal="left"/>
    </xf>
    <xf numFmtId="0" fontId="2" fillId="0" borderId="48" xfId="6" applyFont="1" applyBorder="1" applyAlignment="1" applyProtection="1">
      <alignment horizontal="left"/>
    </xf>
    <xf numFmtId="0" fontId="0" fillId="0" borderId="29" xfId="0" applyBorder="1" applyProtection="1"/>
    <xf numFmtId="0" fontId="20" fillId="0" borderId="31" xfId="6" applyBorder="1" applyAlignment="1" applyProtection="1"/>
    <xf numFmtId="0" fontId="0" fillId="0" borderId="28" xfId="0" applyBorder="1" applyProtection="1"/>
    <xf numFmtId="0" fontId="0" fillId="0" borderId="31" xfId="0" applyBorder="1" applyProtection="1"/>
    <xf numFmtId="0" fontId="2" fillId="0" borderId="31" xfId="0" applyFont="1" applyBorder="1" applyAlignment="1" applyProtection="1">
      <alignment horizontal="center" vertical="center"/>
    </xf>
    <xf numFmtId="0" fontId="0" fillId="0" borderId="30" xfId="0" applyBorder="1" applyProtection="1"/>
    <xf numFmtId="0" fontId="20" fillId="0" borderId="47" xfId="6" applyBorder="1" applyAlignment="1" applyProtection="1"/>
    <xf numFmtId="0" fontId="0" fillId="0" borderId="40" xfId="0" applyBorder="1" applyProtection="1"/>
    <xf numFmtId="0" fontId="0" fillId="0" borderId="34" xfId="0" applyBorder="1" applyProtection="1"/>
    <xf numFmtId="0" fontId="0" fillId="0" borderId="48" xfId="0" applyBorder="1" applyProtection="1"/>
    <xf numFmtId="0" fontId="0" fillId="0" borderId="49" xfId="0" applyBorder="1" applyProtection="1"/>
    <xf numFmtId="0" fontId="20" fillId="0" borderId="48" xfId="6" applyBorder="1" applyAlignment="1" applyProtection="1"/>
    <xf numFmtId="0" fontId="20" fillId="0" borderId="29" xfId="6" applyBorder="1" applyAlignment="1" applyProtection="1"/>
    <xf numFmtId="0" fontId="2" fillId="0" borderId="49" xfId="0" applyFont="1" applyBorder="1" applyAlignment="1" applyProtection="1">
      <alignment horizontal="center" vertical="center"/>
    </xf>
    <xf numFmtId="0" fontId="20" fillId="0" borderId="40" xfId="6" applyBorder="1" applyProtection="1"/>
    <xf numFmtId="0" fontId="0" fillId="0" borderId="50" xfId="0" applyBorder="1" applyProtection="1"/>
    <xf numFmtId="0" fontId="0" fillId="0" borderId="62" xfId="0" applyBorder="1" applyProtection="1"/>
    <xf numFmtId="0" fontId="20" fillId="0" borderId="30" xfId="6" applyBorder="1" applyProtection="1"/>
    <xf numFmtId="0" fontId="20" fillId="0" borderId="34" xfId="6" applyBorder="1" applyProtection="1"/>
    <xf numFmtId="0" fontId="20" fillId="0" borderId="35" xfId="6" applyBorder="1" applyAlignment="1" applyProtection="1">
      <alignment horizontal="center"/>
    </xf>
    <xf numFmtId="0" fontId="0" fillId="0" borderId="59" xfId="0" applyBorder="1" applyProtection="1"/>
    <xf numFmtId="0" fontId="0" fillId="0" borderId="60" xfId="0" applyBorder="1" applyProtection="1"/>
    <xf numFmtId="0" fontId="2" fillId="0" borderId="50" xfId="0" applyFont="1" applyBorder="1" applyAlignment="1" applyProtection="1">
      <alignment horizontal="center"/>
    </xf>
    <xf numFmtId="0" fontId="20" fillId="0" borderId="29" xfId="6" applyBorder="1" applyAlignment="1" applyProtection="1">
      <alignment horizontal="left"/>
    </xf>
    <xf numFmtId="0" fontId="20" fillId="0" borderId="29" xfId="6" applyBorder="1" applyProtection="1"/>
    <xf numFmtId="2" fontId="20" fillId="0" borderId="35" xfId="6" applyNumberFormat="1" applyBorder="1" applyAlignment="1" applyProtection="1">
      <alignment horizontal="center" vertical="center"/>
    </xf>
    <xf numFmtId="0" fontId="20" fillId="0" borderId="40" xfId="6" applyBorder="1" applyAlignment="1" applyProtection="1">
      <alignment horizontal="left" vertical="top" wrapText="1"/>
    </xf>
    <xf numFmtId="0" fontId="2" fillId="0" borderId="50" xfId="0" applyFont="1" applyBorder="1" applyAlignment="1" applyProtection="1">
      <alignment horizontal="center" vertical="center"/>
    </xf>
    <xf numFmtId="0" fontId="20" fillId="0" borderId="28" xfId="6" applyBorder="1" applyAlignment="1" applyProtection="1">
      <alignment horizontal="center"/>
    </xf>
    <xf numFmtId="0" fontId="0" fillId="0" borderId="48" xfId="0" applyBorder="1" applyAlignment="1" applyProtection="1">
      <alignment horizontal="left"/>
    </xf>
    <xf numFmtId="0" fontId="0" fillId="0" borderId="29" xfId="0" applyBorder="1" applyAlignment="1" applyProtection="1">
      <alignment horizontal="left"/>
    </xf>
    <xf numFmtId="0" fontId="0" fillId="0" borderId="35" xfId="0" applyBorder="1" applyAlignment="1" applyProtection="1">
      <alignment horizontal="center" vertical="center"/>
    </xf>
    <xf numFmtId="0" fontId="0" fillId="0" borderId="53" xfId="0" applyBorder="1" applyProtection="1"/>
    <xf numFmtId="0" fontId="0" fillId="0" borderId="55" xfId="0" applyBorder="1" applyProtection="1"/>
    <xf numFmtId="0" fontId="0" fillId="0" borderId="56" xfId="0" applyBorder="1" applyProtection="1"/>
    <xf numFmtId="0" fontId="6" fillId="0" borderId="28" xfId="0" applyFont="1" applyBorder="1" applyProtection="1"/>
    <xf numFmtId="0" fontId="6" fillId="0" borderId="29" xfId="0" applyFont="1" applyBorder="1" applyProtection="1"/>
    <xf numFmtId="0" fontId="0" fillId="0" borderId="35" xfId="0" applyBorder="1" applyAlignment="1" applyProtection="1">
      <alignment horizontal="center"/>
    </xf>
    <xf numFmtId="0" fontId="20" fillId="0" borderId="35" xfId="6" applyBorder="1" applyAlignment="1" applyProtection="1">
      <alignment horizontal="center" vertical="center"/>
    </xf>
    <xf numFmtId="0" fontId="0" fillId="0" borderId="54" xfId="0" applyBorder="1" applyProtection="1"/>
    <xf numFmtId="0" fontId="0" fillId="8" borderId="69" xfId="0" applyFill="1" applyBorder="1" applyProtection="1"/>
    <xf numFmtId="0" fontId="0" fillId="8" borderId="13" xfId="0" applyFill="1" applyBorder="1" applyProtection="1"/>
    <xf numFmtId="0" fontId="0" fillId="8" borderId="13" xfId="0" applyFill="1" applyBorder="1" applyAlignment="1" applyProtection="1">
      <alignment horizontal="center"/>
    </xf>
    <xf numFmtId="0" fontId="0" fillId="8" borderId="71" xfId="0" applyFill="1" applyBorder="1" applyProtection="1"/>
    <xf numFmtId="0" fontId="0" fillId="8" borderId="0" xfId="0" applyFill="1" applyBorder="1" applyProtection="1"/>
    <xf numFmtId="0" fontId="0" fillId="8" borderId="0" xfId="0" applyFill="1" applyBorder="1" applyAlignment="1" applyProtection="1">
      <alignment horizontal="center"/>
    </xf>
    <xf numFmtId="0" fontId="0" fillId="8" borderId="11" xfId="0" applyFill="1" applyBorder="1" applyProtection="1"/>
    <xf numFmtId="0" fontId="0" fillId="0" borderId="67" xfId="0" applyBorder="1" applyProtection="1"/>
    <xf numFmtId="0" fontId="2" fillId="0" borderId="28" xfId="0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/>
    </xf>
    <xf numFmtId="0" fontId="0" fillId="0" borderId="32" xfId="0" applyBorder="1" applyProtection="1"/>
    <xf numFmtId="0" fontId="0" fillId="0" borderId="0" xfId="0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169" fontId="13" fillId="0" borderId="0" xfId="0" applyNumberFormat="1" applyFont="1" applyBorder="1" applyAlignment="1">
      <alignment horizontal="center" vertical="top" wrapText="1"/>
    </xf>
    <xf numFmtId="0" fontId="13" fillId="0" borderId="33" xfId="0" applyFont="1" applyBorder="1" applyAlignment="1">
      <alignment vertical="top" wrapText="1"/>
    </xf>
    <xf numFmtId="169" fontId="0" fillId="0" borderId="33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8" borderId="0" xfId="0" applyFill="1" applyBorder="1" applyAlignment="1" applyProtection="1">
      <alignment wrapText="1"/>
    </xf>
    <xf numFmtId="0" fontId="0" fillId="8" borderId="79" xfId="0" applyFill="1" applyBorder="1" applyProtection="1"/>
    <xf numFmtId="0" fontId="0" fillId="8" borderId="41" xfId="0" applyFill="1" applyBorder="1" applyProtection="1"/>
    <xf numFmtId="0" fontId="0" fillId="8" borderId="41" xfId="0" applyFill="1" applyBorder="1" applyAlignment="1" applyProtection="1">
      <alignment horizontal="center"/>
    </xf>
    <xf numFmtId="0" fontId="0" fillId="0" borderId="80" xfId="0" applyBorder="1" applyProtection="1"/>
    <xf numFmtId="0" fontId="0" fillId="0" borderId="81" xfId="0" applyBorder="1" applyProtection="1"/>
    <xf numFmtId="0" fontId="0" fillId="0" borderId="82" xfId="0" applyBorder="1" applyProtection="1"/>
    <xf numFmtId="0" fontId="0" fillId="0" borderId="83" xfId="0" applyBorder="1" applyProtection="1"/>
    <xf numFmtId="1" fontId="0" fillId="2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36" fillId="0" borderId="40" xfId="0" applyFont="1" applyBorder="1" applyProtection="1"/>
    <xf numFmtId="49" fontId="0" fillId="2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4" fillId="0" borderId="0" xfId="17" applyNumberFormat="1" applyFill="1" applyAlignment="1">
      <alignment horizontal="center"/>
    </xf>
    <xf numFmtId="0" fontId="4" fillId="0" borderId="0" xfId="17" applyFont="1" applyFill="1"/>
    <xf numFmtId="0" fontId="41" fillId="0" borderId="0" xfId="17" applyNumberFormat="1" applyFont="1" applyFill="1" applyAlignment="1">
      <alignment horizontal="center"/>
    </xf>
    <xf numFmtId="164" fontId="4" fillId="0" borderId="0" xfId="17" applyNumberFormat="1" applyFont="1" applyFill="1"/>
    <xf numFmtId="164" fontId="4" fillId="0" borderId="0" xfId="17" applyNumberFormat="1" applyFont="1"/>
    <xf numFmtId="0" fontId="4" fillId="0" borderId="0" xfId="17" applyNumberFormat="1" applyAlignment="1">
      <alignment horizontal="center"/>
    </xf>
    <xf numFmtId="0" fontId="4" fillId="0" borderId="0" xfId="17" applyFont="1"/>
    <xf numFmtId="0" fontId="41" fillId="0" borderId="0" xfId="17" applyNumberFormat="1" applyFont="1" applyAlignment="1">
      <alignment horizontal="center"/>
    </xf>
    <xf numFmtId="164" fontId="4" fillId="0" borderId="0" xfId="17" applyNumberFormat="1"/>
    <xf numFmtId="164" fontId="41" fillId="0" borderId="0" xfId="17" applyNumberFormat="1" applyFont="1"/>
    <xf numFmtId="0" fontId="41" fillId="0" borderId="0" xfId="17" applyFont="1"/>
    <xf numFmtId="0" fontId="4" fillId="0" borderId="0" xfId="17"/>
    <xf numFmtId="0" fontId="4" fillId="0" borderId="0" xfId="17" applyFont="1" applyAlignment="1">
      <alignment horizontal="center"/>
    </xf>
    <xf numFmtId="0" fontId="41" fillId="0" borderId="0" xfId="17" applyFont="1" applyAlignment="1">
      <alignment horizontal="center"/>
    </xf>
    <xf numFmtId="0" fontId="4" fillId="0" borderId="0" xfId="17" applyNumberFormat="1" applyFont="1" applyAlignment="1">
      <alignment horizontal="center"/>
    </xf>
    <xf numFmtId="0" fontId="42" fillId="0" borderId="84" xfId="17" applyFont="1" applyBorder="1"/>
    <xf numFmtId="0" fontId="2" fillId="0" borderId="64" xfId="0" applyFont="1" applyBorder="1" applyAlignment="1" applyProtection="1">
      <alignment horizontal="center" vertical="center"/>
    </xf>
    <xf numFmtId="0" fontId="1" fillId="0" borderId="61" xfId="6" applyFont="1" applyBorder="1" applyAlignment="1" applyProtection="1">
      <alignment vertical="center"/>
    </xf>
    <xf numFmtId="0" fontId="2" fillId="0" borderId="88" xfId="6" applyFont="1" applyBorder="1" applyAlignment="1" applyProtection="1">
      <alignment horizontal="left"/>
    </xf>
    <xf numFmtId="0" fontId="2" fillId="0" borderId="34" xfId="6" applyFont="1" applyBorder="1" applyAlignment="1" applyProtection="1">
      <alignment horizontal="left"/>
    </xf>
    <xf numFmtId="0" fontId="20" fillId="0" borderId="88" xfId="6" applyBorder="1" applyAlignment="1" applyProtection="1">
      <alignment horizontal="left"/>
    </xf>
    <xf numFmtId="0" fontId="20" fillId="0" borderId="34" xfId="6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34" xfId="0" applyBorder="1" applyAlignment="1" applyProtection="1">
      <alignment horizontal="left"/>
    </xf>
    <xf numFmtId="0" fontId="1" fillId="0" borderId="48" xfId="0" applyFont="1" applyBorder="1" applyAlignment="1" applyProtection="1">
      <alignment horizontal="left"/>
    </xf>
    <xf numFmtId="0" fontId="2" fillId="0" borderId="90" xfId="0" applyFont="1" applyBorder="1" applyAlignment="1" applyProtection="1">
      <alignment horizontal="center" vertical="center"/>
    </xf>
    <xf numFmtId="0" fontId="2" fillId="0" borderId="91" xfId="0" applyFont="1" applyBorder="1" applyAlignment="1" applyProtection="1">
      <alignment horizontal="center" vertical="center"/>
    </xf>
    <xf numFmtId="0" fontId="2" fillId="0" borderId="92" xfId="0" applyFont="1" applyBorder="1" applyAlignment="1" applyProtection="1">
      <alignment horizontal="center" vertical="center"/>
    </xf>
    <xf numFmtId="0" fontId="2" fillId="0" borderId="93" xfId="0" applyFont="1" applyBorder="1" applyAlignment="1" applyProtection="1">
      <alignment horizontal="center" vertical="center"/>
    </xf>
    <xf numFmtId="0" fontId="2" fillId="0" borderId="95" xfId="0" applyFont="1" applyBorder="1" applyAlignment="1" applyProtection="1">
      <alignment horizontal="center" vertical="center"/>
    </xf>
    <xf numFmtId="0" fontId="0" fillId="0" borderId="97" xfId="0" applyBorder="1" applyProtection="1"/>
    <xf numFmtId="0" fontId="0" fillId="0" borderId="98" xfId="0" applyBorder="1" applyProtection="1"/>
    <xf numFmtId="0" fontId="2" fillId="0" borderId="99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4" fillId="45" borderId="0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2" applyBorder="1" applyAlignment="1">
      <alignment horizontal="center"/>
    </xf>
    <xf numFmtId="0" fontId="5" fillId="3" borderId="0" xfId="2" applyBorder="1" applyAlignment="1">
      <alignment horizontal="center" vertical="top" wrapText="1"/>
    </xf>
    <xf numFmtId="169" fontId="5" fillId="3" borderId="0" xfId="2" applyNumberFormat="1" applyBorder="1" applyAlignment="1">
      <alignment horizontal="center" vertical="top" wrapText="1"/>
    </xf>
    <xf numFmtId="0" fontId="5" fillId="3" borderId="0" xfId="2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2" fontId="17" fillId="5" borderId="0" xfId="0" applyNumberFormat="1" applyFont="1" applyFill="1" applyBorder="1" applyAlignment="1">
      <alignment horizontal="center"/>
    </xf>
    <xf numFmtId="2" fontId="17" fillId="5" borderId="0" xfId="0" applyNumberFormat="1" applyFont="1" applyFill="1" applyBorder="1" applyAlignment="1">
      <alignment horizontal="center" vertical="center"/>
    </xf>
    <xf numFmtId="0" fontId="0" fillId="0" borderId="36" xfId="0" applyBorder="1" applyProtection="1"/>
    <xf numFmtId="0" fontId="0" fillId="0" borderId="68" xfId="0" applyBorder="1" applyAlignment="1" applyProtection="1">
      <alignment horizontal="center"/>
    </xf>
    <xf numFmtId="0" fontId="0" fillId="0" borderId="101" xfId="0" applyBorder="1" applyProtection="1"/>
    <xf numFmtId="0" fontId="0" fillId="0" borderId="102" xfId="0" applyBorder="1" applyProtection="1"/>
    <xf numFmtId="0" fontId="1" fillId="0" borderId="50" xfId="0" applyFont="1" applyBorder="1" applyAlignment="1" applyProtection="1">
      <alignment horizontal="center" vertical="center"/>
    </xf>
    <xf numFmtId="0" fontId="7" fillId="0" borderId="53" xfId="0" applyFont="1" applyBorder="1" applyAlignment="1" applyProtection="1">
      <alignment horizontal="center"/>
    </xf>
    <xf numFmtId="0" fontId="7" fillId="0" borderId="55" xfId="0" applyFont="1" applyBorder="1" applyAlignment="1" applyProtection="1">
      <alignment horizontal="center"/>
    </xf>
    <xf numFmtId="0" fontId="6" fillId="0" borderId="56" xfId="0" applyFont="1" applyBorder="1" applyProtection="1"/>
    <xf numFmtId="0" fontId="0" fillId="0" borderId="28" xfId="0" applyBorder="1" applyAlignment="1" applyProtection="1">
      <alignment horizontal="center"/>
    </xf>
    <xf numFmtId="0" fontId="0" fillId="8" borderId="71" xfId="0" applyFill="1" applyBorder="1" applyAlignment="1" applyProtection="1">
      <alignment vertical="top"/>
    </xf>
    <xf numFmtId="0" fontId="43" fillId="0" borderId="67" xfId="0" applyFont="1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6" fillId="0" borderId="110" xfId="0" applyFont="1" applyBorder="1" applyProtection="1"/>
    <xf numFmtId="2" fontId="38" fillId="0" borderId="112" xfId="0" applyNumberFormat="1" applyFont="1" applyBorder="1" applyProtection="1"/>
    <xf numFmtId="0" fontId="6" fillId="0" borderId="113" xfId="0" applyFont="1" applyBorder="1" applyProtection="1"/>
    <xf numFmtId="0" fontId="6" fillId="0" borderId="49" xfId="0" applyFont="1" applyBorder="1" applyProtection="1"/>
    <xf numFmtId="2" fontId="38" fillId="0" borderId="111" xfId="0" applyNumberFormat="1" applyFont="1" applyBorder="1" applyProtection="1"/>
    <xf numFmtId="0" fontId="2" fillId="0" borderId="52" xfId="0" applyFont="1" applyBorder="1" applyAlignment="1" applyProtection="1">
      <alignment horizontal="center" vertical="center"/>
    </xf>
    <xf numFmtId="0" fontId="20" fillId="0" borderId="29" xfId="6" applyBorder="1" applyAlignment="1" applyProtection="1">
      <alignment horizontal="left" wrapText="1"/>
    </xf>
    <xf numFmtId="0" fontId="20" fillId="0" borderId="48" xfId="6" applyBorder="1" applyAlignment="1" applyProtection="1">
      <alignment horizontal="left" wrapText="1"/>
    </xf>
    <xf numFmtId="0" fontId="22" fillId="0" borderId="44" xfId="6" applyFont="1" applyBorder="1" applyAlignment="1" applyProtection="1">
      <alignment horizontal="center" vertical="center"/>
    </xf>
    <xf numFmtId="0" fontId="20" fillId="0" borderId="31" xfId="6" applyBorder="1" applyAlignment="1" applyProtection="1">
      <alignment horizontal="center"/>
    </xf>
    <xf numFmtId="0" fontId="1" fillId="0" borderId="34" xfId="6" applyFont="1" applyBorder="1" applyAlignment="1" applyProtection="1">
      <alignment horizontal="left"/>
    </xf>
    <xf numFmtId="0" fontId="0" fillId="0" borderId="114" xfId="0" applyBorder="1" applyProtection="1"/>
    <xf numFmtId="0" fontId="0" fillId="0" borderId="115" xfId="0" applyBorder="1" applyProtection="1"/>
    <xf numFmtId="0" fontId="0" fillId="0" borderId="88" xfId="0" applyBorder="1" applyAlignment="1" applyProtection="1">
      <alignment horizontal="left"/>
    </xf>
    <xf numFmtId="0" fontId="0" fillId="0" borderId="40" xfId="0" applyBorder="1" applyAlignment="1" applyProtection="1">
      <alignment horizontal="left"/>
    </xf>
    <xf numFmtId="0" fontId="0" fillId="0" borderId="50" xfId="0" applyBorder="1" applyAlignment="1" applyProtection="1">
      <alignment horizontal="left"/>
    </xf>
    <xf numFmtId="0" fontId="0" fillId="8" borderId="70" xfId="0" applyFill="1" applyBorder="1" applyAlignment="1" applyProtection="1">
      <alignment horizontal="center"/>
    </xf>
    <xf numFmtId="0" fontId="0" fillId="0" borderId="0" xfId="0" applyProtection="1"/>
    <xf numFmtId="0" fontId="0" fillId="6" borderId="20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1" xfId="0" applyFill="1" applyBorder="1" applyAlignment="1" applyProtection="1">
      <alignment horizontal="center"/>
    </xf>
    <xf numFmtId="0" fontId="0" fillId="7" borderId="20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7" borderId="21" xfId="0" applyFill="1" applyBorder="1" applyAlignment="1" applyProtection="1">
      <alignment horizontal="center"/>
    </xf>
    <xf numFmtId="0" fontId="5" fillId="3" borderId="1" xfId="2" applyBorder="1" applyAlignment="1" applyProtection="1">
      <alignment horizontal="center"/>
    </xf>
    <xf numFmtId="0" fontId="5" fillId="3" borderId="4" xfId="2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45" fillId="0" borderId="48" xfId="0" applyFont="1" applyBorder="1" applyAlignment="1" applyProtection="1">
      <alignment horizontal="center"/>
    </xf>
    <xf numFmtId="0" fontId="45" fillId="0" borderId="29" xfId="0" applyFont="1" applyBorder="1" applyAlignment="1" applyProtection="1">
      <alignment horizontal="left"/>
    </xf>
    <xf numFmtId="0" fontId="45" fillId="0" borderId="49" xfId="0" applyFont="1" applyBorder="1" applyAlignment="1" applyProtection="1">
      <alignment horizontal="left"/>
    </xf>
    <xf numFmtId="167" fontId="10" fillId="4" borderId="1" xfId="3" applyNumberFormat="1" applyBorder="1" applyAlignment="1" applyProtection="1">
      <alignment horizontal="center"/>
    </xf>
    <xf numFmtId="0" fontId="7" fillId="0" borderId="48" xfId="0" applyFont="1" applyBorder="1" applyAlignment="1" applyProtection="1">
      <alignment horizontal="center"/>
    </xf>
    <xf numFmtId="0" fontId="7" fillId="0" borderId="29" xfId="0" applyFont="1" applyBorder="1" applyAlignment="1" applyProtection="1">
      <alignment horizontal="center"/>
    </xf>
    <xf numFmtId="0" fontId="7" fillId="0" borderId="49" xfId="0" applyFont="1" applyBorder="1" applyAlignment="1" applyProtection="1">
      <alignment horizontal="center"/>
    </xf>
    <xf numFmtId="0" fontId="0" fillId="6" borderId="22" xfId="0" applyFill="1" applyBorder="1" applyAlignment="1" applyProtection="1">
      <alignment horizontal="center"/>
    </xf>
    <xf numFmtId="0" fontId="0" fillId="6" borderId="23" xfId="0" applyFill="1" applyBorder="1" applyAlignment="1" applyProtection="1">
      <alignment horizontal="center"/>
    </xf>
    <xf numFmtId="0" fontId="0" fillId="6" borderId="24" xfId="0" applyFill="1" applyBorder="1" applyAlignment="1" applyProtection="1">
      <alignment horizontal="center"/>
    </xf>
    <xf numFmtId="0" fontId="0" fillId="7" borderId="22" xfId="0" applyFill="1" applyBorder="1" applyAlignment="1" applyProtection="1">
      <alignment horizontal="center"/>
    </xf>
    <xf numFmtId="0" fontId="0" fillId="7" borderId="23" xfId="0" applyFill="1" applyBorder="1" applyAlignment="1" applyProtection="1">
      <alignment horizontal="center"/>
    </xf>
    <xf numFmtId="0" fontId="0" fillId="7" borderId="24" xfId="0" applyFill="1" applyBorder="1" applyAlignment="1" applyProtection="1">
      <alignment horizontal="center"/>
    </xf>
    <xf numFmtId="2" fontId="21" fillId="17" borderId="0" xfId="7" applyNumberFormat="1" applyBorder="1" applyAlignment="1" applyProtection="1">
      <alignment horizontal="center" vertical="center"/>
    </xf>
    <xf numFmtId="0" fontId="7" fillId="0" borderId="67" xfId="0" applyFont="1" applyBorder="1" applyProtection="1"/>
    <xf numFmtId="0" fontId="7" fillId="0" borderId="31" xfId="0" applyFont="1" applyBorder="1" applyProtection="1"/>
    <xf numFmtId="0" fontId="7" fillId="0" borderId="49" xfId="0" applyFont="1" applyBorder="1" applyProtection="1"/>
    <xf numFmtId="2" fontId="21" fillId="17" borderId="33" xfId="7" applyNumberFormat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center"/>
    </xf>
    <xf numFmtId="2" fontId="10" fillId="4" borderId="1" xfId="3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 vertical="center"/>
    </xf>
    <xf numFmtId="0" fontId="0" fillId="8" borderId="20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1" xfId="0" applyFill="1" applyBorder="1" applyAlignment="1" applyProtection="1">
      <alignment horizontal="center"/>
    </xf>
    <xf numFmtId="0" fontId="0" fillId="9" borderId="20" xfId="0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center"/>
    </xf>
    <xf numFmtId="0" fontId="0" fillId="9" borderId="2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37" fillId="0" borderId="50" xfId="0" applyFont="1" applyBorder="1" applyProtection="1"/>
    <xf numFmtId="168" fontId="10" fillId="4" borderId="1" xfId="3" applyNumberForma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46" fillId="17" borderId="33" xfId="7" applyNumberFormat="1" applyFont="1" applyBorder="1" applyAlignment="1" applyProtection="1">
      <alignment horizontal="center" vertical="center"/>
    </xf>
    <xf numFmtId="164" fontId="10" fillId="4" borderId="1" xfId="3" applyNumberFormat="1" applyBorder="1" applyAlignment="1" applyProtection="1">
      <alignment horizontal="center"/>
    </xf>
    <xf numFmtId="0" fontId="0" fillId="0" borderId="103" xfId="0" applyBorder="1" applyProtection="1"/>
    <xf numFmtId="0" fontId="0" fillId="0" borderId="104" xfId="0" applyBorder="1" applyProtection="1"/>
    <xf numFmtId="0" fontId="0" fillId="0" borderId="105" xfId="0" applyBorder="1" applyProtection="1"/>
    <xf numFmtId="0" fontId="0" fillId="0" borderId="106" xfId="0" applyBorder="1" applyProtection="1"/>
    <xf numFmtId="0" fontId="21" fillId="17" borderId="33" xfId="7" applyBorder="1" applyAlignment="1" applyProtection="1">
      <alignment horizontal="center" vertical="center"/>
    </xf>
    <xf numFmtId="0" fontId="0" fillId="8" borderId="22" xfId="0" applyFill="1" applyBorder="1" applyAlignment="1" applyProtection="1">
      <alignment horizontal="center"/>
    </xf>
    <xf numFmtId="0" fontId="0" fillId="8" borderId="23" xfId="0" applyFill="1" applyBorder="1" applyAlignment="1" applyProtection="1">
      <alignment horizontal="center"/>
    </xf>
    <xf numFmtId="0" fontId="0" fillId="8" borderId="24" xfId="0" applyFill="1" applyBorder="1" applyAlignment="1" applyProtection="1">
      <alignment horizontal="center"/>
    </xf>
    <xf numFmtId="0" fontId="0" fillId="9" borderId="22" xfId="0" applyFill="1" applyBorder="1" applyAlignment="1" applyProtection="1">
      <alignment horizontal="center"/>
    </xf>
    <xf numFmtId="0" fontId="0" fillId="9" borderId="23" xfId="0" applyFill="1" applyBorder="1" applyAlignment="1" applyProtection="1">
      <alignment horizontal="center"/>
    </xf>
    <xf numFmtId="0" fontId="0" fillId="9" borderId="24" xfId="0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1" xfId="0" applyBorder="1" applyProtection="1"/>
    <xf numFmtId="168" fontId="21" fillId="17" borderId="33" xfId="7" applyNumberFormat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0" xfId="0" applyAlignment="1" applyProtection="1"/>
    <xf numFmtId="1" fontId="5" fillId="3" borderId="1" xfId="2" applyNumberFormat="1" applyBorder="1" applyAlignment="1" applyProtection="1">
      <alignment horizontal="center"/>
    </xf>
    <xf numFmtId="164" fontId="21" fillId="17" borderId="33" xfId="7" applyNumberFormat="1" applyBorder="1" applyAlignment="1" applyProtection="1">
      <alignment horizontal="center" vertical="center"/>
    </xf>
    <xf numFmtId="167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2" fontId="0" fillId="0" borderId="0" xfId="0" applyNumberFormat="1" applyAlignment="1" applyProtection="1"/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0" fontId="0" fillId="0" borderId="1" xfId="0" applyNumberFormat="1" applyBorder="1" applyAlignment="1" applyProtection="1">
      <alignment horizontal="center"/>
    </xf>
    <xf numFmtId="11" fontId="0" fillId="0" borderId="1" xfId="0" applyNumberFormat="1" applyBorder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5" fillId="3" borderId="1" xfId="2" applyBorder="1" applyAlignment="1" applyProtection="1">
      <alignment horizontal="left"/>
    </xf>
    <xf numFmtId="0" fontId="45" fillId="0" borderId="29" xfId="0" applyFont="1" applyBorder="1" applyAlignment="1" applyProtection="1">
      <alignment horizontal="center"/>
    </xf>
    <xf numFmtId="0" fontId="45" fillId="0" borderId="49" xfId="0" applyFont="1" applyBorder="1" applyAlignment="1" applyProtection="1">
      <alignment horizontal="center"/>
    </xf>
    <xf numFmtId="2" fontId="45" fillId="0" borderId="29" xfId="0" applyNumberFormat="1" applyFont="1" applyBorder="1" applyAlignment="1" applyProtection="1">
      <alignment horizontal="center"/>
    </xf>
    <xf numFmtId="0" fontId="10" fillId="4" borderId="1" xfId="3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100" xfId="0" applyFont="1" applyBorder="1" applyProtection="1"/>
    <xf numFmtId="0" fontId="6" fillId="0" borderId="0" xfId="0" applyFont="1" applyAlignment="1" applyProtection="1">
      <alignment horizontal="left"/>
    </xf>
    <xf numFmtId="164" fontId="0" fillId="0" borderId="1" xfId="0" applyNumberFormat="1" applyFill="1" applyBorder="1" applyAlignment="1" applyProtection="1">
      <alignment horizontal="center"/>
    </xf>
    <xf numFmtId="11" fontId="0" fillId="0" borderId="0" xfId="0" applyNumberFormat="1" applyProtection="1"/>
    <xf numFmtId="171" fontId="40" fillId="0" borderId="1" xfId="1" applyNumberFormat="1" applyFont="1" applyFill="1" applyBorder="1" applyAlignment="1" applyProtection="1">
      <alignment horizontal="center"/>
    </xf>
    <xf numFmtId="171" fontId="0" fillId="0" borderId="1" xfId="0" applyNumberForma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horizontal="center"/>
    </xf>
    <xf numFmtId="0" fontId="0" fillId="0" borderId="1" xfId="0" applyFill="1" applyBorder="1" applyProtection="1"/>
    <xf numFmtId="11" fontId="0" fillId="0" borderId="1" xfId="0" applyNumberFormat="1" applyFill="1" applyBorder="1" applyAlignment="1" applyProtection="1">
      <alignment horizontal="center"/>
    </xf>
    <xf numFmtId="167" fontId="0" fillId="0" borderId="1" xfId="0" applyNumberFormat="1" applyFill="1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0" borderId="52" xfId="0" applyFont="1" applyBorder="1" applyAlignment="1" applyProtection="1">
      <alignment horizontal="center" vertical="center"/>
    </xf>
    <xf numFmtId="0" fontId="20" fillId="0" borderId="29" xfId="6" applyBorder="1" applyAlignment="1" applyProtection="1">
      <alignment horizontal="left" wrapText="1"/>
    </xf>
    <xf numFmtId="0" fontId="20" fillId="0" borderId="48" xfId="6" applyBorder="1" applyAlignment="1" applyProtection="1">
      <alignment horizontal="left" wrapText="1"/>
    </xf>
    <xf numFmtId="0" fontId="0" fillId="0" borderId="116" xfId="0" applyBorder="1" applyProtection="1"/>
    <xf numFmtId="0" fontId="0" fillId="0" borderId="117" xfId="0" applyBorder="1" applyProtection="1"/>
    <xf numFmtId="0" fontId="0" fillId="0" borderId="118" xfId="0" applyBorder="1" applyProtection="1"/>
    <xf numFmtId="0" fontId="0" fillId="0" borderId="35" xfId="0" applyBorder="1" applyProtection="1"/>
    <xf numFmtId="0" fontId="0" fillId="8" borderId="5" xfId="0" applyFill="1" applyBorder="1" applyProtection="1"/>
    <xf numFmtId="0" fontId="0" fillId="8" borderId="119" xfId="0" applyFill="1" applyBorder="1" applyProtection="1"/>
    <xf numFmtId="0" fontId="0" fillId="8" borderId="89" xfId="0" applyFill="1" applyBorder="1" applyProtection="1"/>
    <xf numFmtId="0" fontId="0" fillId="8" borderId="120" xfId="0" applyFill="1" applyBorder="1" applyProtection="1"/>
    <xf numFmtId="0" fontId="0" fillId="8" borderId="121" xfId="0" applyFill="1" applyBorder="1" applyProtection="1"/>
    <xf numFmtId="0" fontId="0" fillId="8" borderId="122" xfId="0" applyFill="1" applyBorder="1" applyProtection="1"/>
    <xf numFmtId="0" fontId="0" fillId="8" borderId="123" xfId="0" applyFill="1" applyBorder="1" applyProtection="1"/>
    <xf numFmtId="0" fontId="1" fillId="0" borderId="52" xfId="0" applyFont="1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/>
    </xf>
    <xf numFmtId="0" fontId="20" fillId="0" borderId="88" xfId="6" applyBorder="1" applyAlignment="1" applyProtection="1">
      <alignment horizontal="left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07" xfId="0" applyBorder="1" applyAlignment="1" applyProtection="1">
      <alignment horizontal="center"/>
    </xf>
    <xf numFmtId="0" fontId="0" fillId="0" borderId="108" xfId="0" applyBorder="1" applyAlignment="1" applyProtection="1">
      <alignment horizontal="center"/>
    </xf>
    <xf numFmtId="0" fontId="0" fillId="0" borderId="109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1" xfId="0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8" borderId="17" xfId="0" applyFill="1" applyBorder="1" applyAlignment="1" applyProtection="1">
      <alignment horizontal="center"/>
    </xf>
    <xf numFmtId="0" fontId="0" fillId="8" borderId="18" xfId="0" applyFill="1" applyBorder="1" applyAlignment="1" applyProtection="1">
      <alignment horizontal="center"/>
    </xf>
    <xf numFmtId="0" fontId="0" fillId="8" borderId="19" xfId="0" applyFill="1" applyBorder="1" applyAlignment="1" applyProtection="1">
      <alignment horizontal="center"/>
    </xf>
    <xf numFmtId="0" fontId="0" fillId="9" borderId="17" xfId="0" applyFill="1" applyBorder="1" applyAlignment="1" applyProtection="1">
      <alignment horizontal="center"/>
    </xf>
    <xf numFmtId="0" fontId="0" fillId="9" borderId="18" xfId="0" applyFill="1" applyBorder="1" applyAlignment="1" applyProtection="1">
      <alignment horizontal="center"/>
    </xf>
    <xf numFmtId="0" fontId="0" fillId="9" borderId="19" xfId="0" applyFill="1" applyBorder="1" applyAlignment="1" applyProtection="1">
      <alignment horizontal="center"/>
    </xf>
    <xf numFmtId="0" fontId="1" fillId="0" borderId="48" xfId="6" applyFont="1" applyBorder="1" applyAlignment="1" applyProtection="1">
      <alignment horizontal="left" wrapText="1"/>
    </xf>
    <xf numFmtId="0" fontId="20" fillId="0" borderId="29" xfId="6" applyBorder="1" applyAlignment="1" applyProtection="1">
      <alignment horizontal="left" wrapText="1"/>
    </xf>
    <xf numFmtId="0" fontId="20" fillId="0" borderId="48" xfId="6" applyBorder="1" applyAlignment="1" applyProtection="1">
      <alignment horizontal="left" wrapText="1"/>
    </xf>
    <xf numFmtId="165" fontId="21" fillId="17" borderId="38" xfId="7" applyNumberFormat="1" applyBorder="1" applyAlignment="1" applyProtection="1">
      <alignment horizontal="center" vertical="center"/>
    </xf>
    <xf numFmtId="165" fontId="21" fillId="17" borderId="39" xfId="7" applyNumberFormat="1" applyBorder="1" applyAlignment="1" applyProtection="1">
      <alignment horizontal="center" vertical="center"/>
    </xf>
    <xf numFmtId="0" fontId="2" fillId="0" borderId="48" xfId="6" applyFont="1" applyBorder="1" applyAlignment="1" applyProtection="1">
      <alignment horizontal="left" wrapText="1"/>
    </xf>
    <xf numFmtId="2" fontId="21" fillId="17" borderId="38" xfId="7" applyNumberFormat="1" applyBorder="1" applyAlignment="1" applyProtection="1">
      <alignment horizontal="center" vertical="center"/>
    </xf>
    <xf numFmtId="2" fontId="21" fillId="17" borderId="39" xfId="7" applyNumberFormat="1" applyBorder="1" applyAlignment="1" applyProtection="1">
      <alignment horizontal="center" vertical="center"/>
    </xf>
    <xf numFmtId="0" fontId="21" fillId="17" borderId="39" xfId="7" applyBorder="1" applyAlignment="1" applyProtection="1">
      <alignment horizontal="center" vertical="center"/>
    </xf>
    <xf numFmtId="0" fontId="20" fillId="0" borderId="31" xfId="6" applyBorder="1" applyAlignment="1" applyProtection="1">
      <alignment horizontal="center"/>
    </xf>
    <xf numFmtId="0" fontId="22" fillId="0" borderId="44" xfId="6" applyFont="1" applyBorder="1" applyAlignment="1" applyProtection="1">
      <alignment horizontal="center" vertical="center"/>
    </xf>
    <xf numFmtId="0" fontId="22" fillId="0" borderId="57" xfId="6" applyFont="1" applyBorder="1" applyAlignment="1" applyProtection="1">
      <alignment horizontal="center" vertical="center"/>
    </xf>
    <xf numFmtId="0" fontId="22" fillId="0" borderId="47" xfId="6" applyFont="1" applyBorder="1" applyAlignment="1" applyProtection="1">
      <alignment horizontal="center" vertical="center"/>
    </xf>
    <xf numFmtId="0" fontId="0" fillId="6" borderId="17" xfId="0" applyFill="1" applyBorder="1" applyAlignment="1" applyProtection="1">
      <alignment horizontal="center"/>
    </xf>
    <xf numFmtId="0" fontId="0" fillId="6" borderId="18" xfId="0" applyFill="1" applyBorder="1" applyAlignment="1" applyProtection="1">
      <alignment horizontal="center"/>
    </xf>
    <xf numFmtId="0" fontId="0" fillId="6" borderId="19" xfId="0" applyFill="1" applyBorder="1" applyAlignment="1" applyProtection="1">
      <alignment horizontal="center"/>
    </xf>
    <xf numFmtId="0" fontId="0" fillId="7" borderId="14" xfId="0" applyFill="1" applyBorder="1" applyAlignment="1" applyProtection="1">
      <alignment horizontal="center"/>
    </xf>
    <xf numFmtId="0" fontId="0" fillId="7" borderId="15" xfId="0" applyFill="1" applyBorder="1" applyAlignment="1" applyProtection="1">
      <alignment horizontal="center"/>
    </xf>
    <xf numFmtId="0" fontId="0" fillId="7" borderId="16" xfId="0" applyFill="1" applyBorder="1" applyAlignment="1" applyProtection="1">
      <alignment horizontal="center"/>
    </xf>
    <xf numFmtId="0" fontId="1" fillId="0" borderId="51" xfId="0" applyFont="1" applyBorder="1" applyAlignment="1" applyProtection="1">
      <alignment horizontal="center" vertical="center"/>
    </xf>
    <xf numFmtId="0" fontId="2" fillId="0" borderId="52" xfId="0" applyFont="1" applyBorder="1" applyAlignment="1" applyProtection="1">
      <alignment horizontal="center" vertical="center"/>
    </xf>
    <xf numFmtId="0" fontId="22" fillId="0" borderId="65" xfId="6" applyFont="1" applyBorder="1" applyAlignment="1" applyProtection="1">
      <alignment horizontal="center" vertical="center"/>
    </xf>
    <xf numFmtId="0" fontId="22" fillId="0" borderId="45" xfId="6" applyFont="1" applyBorder="1" applyAlignment="1" applyProtection="1">
      <alignment horizontal="center" vertical="center"/>
    </xf>
    <xf numFmtId="0" fontId="22" fillId="0" borderId="66" xfId="6" applyFont="1" applyBorder="1" applyAlignment="1" applyProtection="1">
      <alignment horizontal="center" vertical="center"/>
    </xf>
    <xf numFmtId="0" fontId="2" fillId="0" borderId="63" xfId="0" applyFont="1" applyBorder="1" applyAlignment="1" applyProtection="1">
      <alignment horizontal="center" wrapText="1"/>
    </xf>
    <xf numFmtId="0" fontId="2" fillId="0" borderId="64" xfId="0" applyFont="1" applyBorder="1" applyAlignment="1" applyProtection="1">
      <alignment horizontal="center" wrapText="1"/>
    </xf>
    <xf numFmtId="0" fontId="22" fillId="0" borderId="46" xfId="6" applyFont="1" applyBorder="1" applyAlignment="1" applyProtection="1">
      <alignment horizontal="center" vertical="center"/>
    </xf>
    <xf numFmtId="0" fontId="2" fillId="0" borderId="41" xfId="6" applyFont="1" applyBorder="1" applyAlignment="1" applyProtection="1">
      <alignment horizontal="center" vertical="center"/>
    </xf>
    <xf numFmtId="0" fontId="2" fillId="0" borderId="36" xfId="6" applyFont="1" applyBorder="1" applyAlignment="1" applyProtection="1">
      <alignment horizontal="center" vertical="center"/>
    </xf>
    <xf numFmtId="0" fontId="19" fillId="16" borderId="42" xfId="5" applyBorder="1" applyAlignment="1" applyProtection="1">
      <alignment horizontal="center" vertical="center"/>
      <protection locked="0"/>
    </xf>
    <xf numFmtId="0" fontId="19" fillId="16" borderId="43" xfId="5" applyBorder="1" applyAlignment="1" applyProtection="1">
      <alignment horizontal="center" vertical="center"/>
      <protection locked="0"/>
    </xf>
    <xf numFmtId="0" fontId="1" fillId="0" borderId="61" xfId="6" applyFont="1" applyBorder="1" applyAlignment="1" applyProtection="1">
      <alignment horizontal="center" vertical="center"/>
    </xf>
    <xf numFmtId="0" fontId="2" fillId="0" borderId="58" xfId="6" applyFont="1" applyBorder="1" applyAlignment="1" applyProtection="1">
      <alignment horizontal="center" vertical="center"/>
    </xf>
    <xf numFmtId="0" fontId="2" fillId="0" borderId="51" xfId="6" applyFont="1" applyBorder="1" applyAlignment="1" applyProtection="1">
      <alignment horizontal="center" vertical="center"/>
    </xf>
    <xf numFmtId="0" fontId="2" fillId="0" borderId="51" xfId="0" applyFont="1" applyBorder="1" applyAlignment="1" applyProtection="1">
      <alignment horizontal="center" vertical="center"/>
    </xf>
    <xf numFmtId="0" fontId="1" fillId="0" borderId="88" xfId="6" applyFont="1" applyBorder="1" applyAlignment="1" applyProtection="1">
      <alignment horizontal="center"/>
    </xf>
    <xf numFmtId="0" fontId="20" fillId="0" borderId="40" xfId="6" applyBorder="1" applyAlignment="1" applyProtection="1">
      <alignment horizontal="center"/>
    </xf>
    <xf numFmtId="0" fontId="20" fillId="0" borderId="50" xfId="6" applyBorder="1" applyAlignment="1" applyProtection="1">
      <alignment horizontal="center"/>
    </xf>
    <xf numFmtId="0" fontId="7" fillId="0" borderId="61" xfId="0" applyFont="1" applyBorder="1" applyAlignment="1" applyProtection="1">
      <alignment horizontal="left" wrapText="1"/>
    </xf>
    <xf numFmtId="0" fontId="7" fillId="0" borderId="41" xfId="0" applyFont="1" applyBorder="1" applyAlignment="1" applyProtection="1">
      <alignment horizontal="left" wrapText="1"/>
    </xf>
    <xf numFmtId="0" fontId="7" fillId="0" borderId="51" xfId="0" applyFont="1" applyBorder="1" applyAlignment="1" applyProtection="1">
      <alignment horizontal="left" wrapText="1"/>
    </xf>
    <xf numFmtId="0" fontId="7" fillId="0" borderId="85" xfId="0" applyFont="1" applyBorder="1" applyAlignment="1" applyProtection="1">
      <alignment horizontal="left" wrapText="1"/>
    </xf>
    <xf numFmtId="0" fontId="7" fillId="0" borderId="89" xfId="0" applyFont="1" applyBorder="1" applyAlignment="1" applyProtection="1">
      <alignment horizontal="left" wrapText="1"/>
    </xf>
    <xf numFmtId="0" fontId="7" fillId="0" borderId="52" xfId="0" applyFont="1" applyBorder="1" applyAlignment="1" applyProtection="1">
      <alignment horizontal="left" wrapText="1"/>
    </xf>
    <xf numFmtId="0" fontId="39" fillId="0" borderId="86" xfId="0" applyFont="1" applyBorder="1" applyAlignment="1" applyProtection="1">
      <alignment horizontal="center"/>
    </xf>
    <xf numFmtId="0" fontId="39" fillId="0" borderId="3" xfId="0" applyFont="1" applyBorder="1" applyAlignment="1" applyProtection="1">
      <alignment horizontal="center"/>
    </xf>
    <xf numFmtId="0" fontId="39" fillId="0" borderId="87" xfId="0" applyFont="1" applyBorder="1" applyAlignment="1" applyProtection="1">
      <alignment horizontal="center"/>
    </xf>
    <xf numFmtId="0" fontId="0" fillId="0" borderId="86" xfId="0" applyBorder="1" applyAlignment="1" applyProtection="1">
      <alignment horizontal="center"/>
    </xf>
    <xf numFmtId="0" fontId="0" fillId="0" borderId="87" xfId="0" applyBorder="1" applyAlignment="1" applyProtection="1">
      <alignment horizontal="center"/>
    </xf>
    <xf numFmtId="0" fontId="20" fillId="0" borderId="30" xfId="6" applyBorder="1" applyAlignment="1" applyProtection="1">
      <alignment horizontal="left" wrapText="1"/>
    </xf>
    <xf numFmtId="0" fontId="1" fillId="0" borderId="32" xfId="6" applyFont="1" applyBorder="1" applyAlignment="1" applyProtection="1">
      <alignment horizontal="center" vertical="center"/>
    </xf>
    <xf numFmtId="0" fontId="20" fillId="0" borderId="41" xfId="6" applyBorder="1" applyAlignment="1" applyProtection="1">
      <alignment horizontal="center" vertical="center"/>
    </xf>
    <xf numFmtId="0" fontId="20" fillId="0" borderId="36" xfId="6" applyBorder="1" applyAlignment="1" applyProtection="1">
      <alignment horizontal="center" vertical="center"/>
    </xf>
    <xf numFmtId="0" fontId="0" fillId="0" borderId="88" xfId="0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94" xfId="0" applyBorder="1" applyAlignment="1" applyProtection="1">
      <alignment horizontal="center"/>
    </xf>
    <xf numFmtId="0" fontId="0" fillId="0" borderId="58" xfId="0" applyBorder="1" applyAlignment="1" applyProtection="1">
      <alignment horizontal="center"/>
    </xf>
    <xf numFmtId="0" fontId="0" fillId="0" borderId="93" xfId="0" applyBorder="1" applyAlignment="1" applyProtection="1">
      <alignment horizontal="center"/>
    </xf>
    <xf numFmtId="2" fontId="45" fillId="0" borderId="88" xfId="0" applyNumberFormat="1" applyFont="1" applyBorder="1" applyAlignment="1" applyProtection="1">
      <alignment horizontal="center"/>
    </xf>
    <xf numFmtId="2" fontId="45" fillId="0" borderId="40" xfId="0" applyNumberFormat="1" applyFont="1" applyBorder="1" applyAlignment="1" applyProtection="1">
      <alignment horizontal="center"/>
    </xf>
    <xf numFmtId="2" fontId="45" fillId="0" borderId="50" xfId="0" applyNumberFormat="1" applyFont="1" applyBorder="1" applyAlignment="1" applyProtection="1">
      <alignment horizontal="center"/>
    </xf>
    <xf numFmtId="0" fontId="1" fillId="0" borderId="88" xfId="6" applyFont="1" applyBorder="1" applyAlignment="1" applyProtection="1">
      <alignment horizontal="left"/>
    </xf>
    <xf numFmtId="0" fontId="1" fillId="0" borderId="34" xfId="6" applyFont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/>
    </xf>
    <xf numFmtId="0" fontId="1" fillId="0" borderId="41" xfId="6" applyFont="1" applyBorder="1" applyAlignment="1" applyProtection="1">
      <alignment horizontal="center" vertical="center"/>
    </xf>
    <xf numFmtId="0" fontId="1" fillId="0" borderId="51" xfId="6" applyFont="1" applyBorder="1" applyAlignment="1" applyProtection="1">
      <alignment horizontal="center" vertical="center"/>
    </xf>
    <xf numFmtId="2" fontId="21" fillId="17" borderId="42" xfId="7" applyNumberFormat="1" applyBorder="1" applyAlignment="1" applyProtection="1">
      <alignment horizontal="center" vertical="center"/>
    </xf>
    <xf numFmtId="2" fontId="21" fillId="17" borderId="43" xfId="7" applyNumberFormat="1" applyBorder="1" applyAlignment="1" applyProtection="1">
      <alignment horizontal="center" vertical="center"/>
    </xf>
    <xf numFmtId="0" fontId="2" fillId="0" borderId="67" xfId="6" applyFont="1" applyBorder="1" applyAlignment="1" applyProtection="1">
      <alignment horizontal="center" vertical="top" wrapText="1"/>
    </xf>
    <xf numFmtId="0" fontId="2" fillId="0" borderId="59" xfId="6" applyFont="1" applyBorder="1" applyAlignment="1" applyProtection="1">
      <alignment horizontal="center" vertical="top" wrapText="1"/>
    </xf>
    <xf numFmtId="0" fontId="1" fillId="0" borderId="63" xfId="0" applyFont="1" applyBorder="1" applyAlignment="1" applyProtection="1">
      <alignment horizontal="center" wrapText="1"/>
    </xf>
    <xf numFmtId="0" fontId="1" fillId="0" borderId="61" xfId="6" applyFont="1" applyBorder="1" applyAlignment="1" applyProtection="1">
      <alignment horizontal="left" wrapText="1"/>
    </xf>
    <xf numFmtId="0" fontId="1" fillId="0" borderId="36" xfId="6" applyFont="1" applyBorder="1" applyAlignment="1" applyProtection="1">
      <alignment horizontal="left" wrapText="1"/>
    </xf>
    <xf numFmtId="0" fontId="1" fillId="0" borderId="85" xfId="6" applyFont="1" applyBorder="1" applyAlignment="1" applyProtection="1">
      <alignment horizontal="left" wrapText="1"/>
    </xf>
    <xf numFmtId="0" fontId="1" fillId="0" borderId="37" xfId="6" applyFont="1" applyBorder="1" applyAlignment="1" applyProtection="1">
      <alignment horizontal="left" wrapText="1"/>
    </xf>
    <xf numFmtId="0" fontId="2" fillId="0" borderId="61" xfId="6" applyFont="1" applyBorder="1" applyAlignment="1" applyProtection="1">
      <alignment horizontal="left"/>
    </xf>
    <xf numFmtId="0" fontId="2" fillId="0" borderId="36" xfId="6" applyFont="1" applyBorder="1" applyAlignment="1" applyProtection="1">
      <alignment horizontal="left"/>
    </xf>
    <xf numFmtId="0" fontId="2" fillId="0" borderId="85" xfId="6" applyFont="1" applyBorder="1" applyAlignment="1" applyProtection="1">
      <alignment horizontal="left"/>
    </xf>
    <xf numFmtId="0" fontId="2" fillId="0" borderId="37" xfId="6" applyFont="1" applyBorder="1" applyAlignment="1" applyProtection="1">
      <alignment horizontal="left"/>
    </xf>
    <xf numFmtId="0" fontId="2" fillId="0" borderId="32" xfId="6" applyFont="1" applyBorder="1" applyAlignment="1" applyProtection="1">
      <alignment horizontal="center" vertical="center"/>
    </xf>
    <xf numFmtId="0" fontId="22" fillId="0" borderId="96" xfId="6" applyFont="1" applyBorder="1" applyAlignment="1" applyProtection="1">
      <alignment horizontal="center" vertical="center"/>
    </xf>
    <xf numFmtId="0" fontId="6" fillId="0" borderId="86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6" fillId="0" borderId="87" xfId="0" applyFont="1" applyBorder="1" applyAlignment="1" applyProtection="1">
      <alignment horizontal="center"/>
    </xf>
    <xf numFmtId="165" fontId="21" fillId="17" borderId="42" xfId="7" applyNumberFormat="1" applyBorder="1" applyAlignment="1" applyProtection="1">
      <alignment horizontal="center" vertical="center"/>
    </xf>
    <xf numFmtId="165" fontId="21" fillId="17" borderId="43" xfId="7" applyNumberForma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 vertical="center"/>
    </xf>
    <xf numFmtId="0" fontId="5" fillId="3" borderId="0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6">
    <cellStyle name="20% - Accent1 2" xfId="35"/>
    <cellStyle name="20% - Accent2 2" xfId="38"/>
    <cellStyle name="20% - Accent3 2" xfId="42"/>
    <cellStyle name="20% - Accent4 2" xfId="45"/>
    <cellStyle name="20% - Accent5 2" xfId="48"/>
    <cellStyle name="20% - Accent6 2" xfId="51"/>
    <cellStyle name="40% - Accent1 2" xfId="13"/>
    <cellStyle name="40% - Accent2 2" xfId="39"/>
    <cellStyle name="40% - Accent3 2" xfId="14"/>
    <cellStyle name="40% - Accent4 2" xfId="15"/>
    <cellStyle name="40% - Accent5 2" xfId="12"/>
    <cellStyle name="40% - Accent6 2" xfId="16"/>
    <cellStyle name="60% - Accent1 2" xfId="36"/>
    <cellStyle name="60% - Accent2 2" xfId="40"/>
    <cellStyle name="60% - Accent3 2" xfId="43"/>
    <cellStyle name="60% - Accent4 2" xfId="46"/>
    <cellStyle name="60% - Accent5 2" xfId="49"/>
    <cellStyle name="60% - Accent6 2" xfId="52"/>
    <cellStyle name="Accent1 2" xfId="34"/>
    <cellStyle name="Accent2 2" xfId="37"/>
    <cellStyle name="Accent3 2" xfId="41"/>
    <cellStyle name="Accent4 2" xfId="44"/>
    <cellStyle name="Accent5 2" xfId="47"/>
    <cellStyle name="Accent6 2" xfId="50"/>
    <cellStyle name="Bad 2" xfId="23"/>
    <cellStyle name="Bom" xfId="2" builtinId="26" customBuiltin="1"/>
    <cellStyle name="Calculation 2" xfId="22"/>
    <cellStyle name="Check Cell 2" xfId="30"/>
    <cellStyle name="Entrada" xfId="5" builtinId="20"/>
    <cellStyle name="Explanatory Text 2" xfId="11"/>
    <cellStyle name="Good 2" xfId="19"/>
    <cellStyle name="Good 3" xfId="54"/>
    <cellStyle name="Heading 1 2" xfId="24"/>
    <cellStyle name="Heading 2 2" xfId="31"/>
    <cellStyle name="Heading 3 2" xfId="25"/>
    <cellStyle name="Heading 4 2" xfId="26"/>
    <cellStyle name="Input 2" xfId="29"/>
    <cellStyle name="Linked Cell 2" xfId="27"/>
    <cellStyle name="Neutra" xfId="3" builtinId="28" customBuiltin="1"/>
    <cellStyle name="Neutral 2" xfId="20"/>
    <cellStyle name="Normal" xfId="0" builtinId="0"/>
    <cellStyle name="Normal 2" xfId="1"/>
    <cellStyle name="Normal 3" xfId="6"/>
    <cellStyle name="Normal 3 2" xfId="10"/>
    <cellStyle name="Normal 4" xfId="17"/>
    <cellStyle name="Normal 4 2" xfId="18"/>
    <cellStyle name="Normal 4 3" xfId="21"/>
    <cellStyle name="Normal 5" xfId="53"/>
    <cellStyle name="Normal 6" xfId="55"/>
    <cellStyle name="Normal_Calculator (2)" xfId="4"/>
    <cellStyle name="Nota" xfId="9" builtinId="10" customBuiltin="1"/>
    <cellStyle name="Output 2" xfId="32"/>
    <cellStyle name="Saída" xfId="7" builtinId="21"/>
    <cellStyle name="Título" xfId="8" builtinId="15" customBuiltin="1"/>
    <cellStyle name="Total 2" xfId="33"/>
    <cellStyle name="Warning Text 2" xfId="2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BABAB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750094</xdr:colOff>
      <xdr:row>41</xdr:row>
      <xdr:rowOff>128588</xdr:rowOff>
    </xdr:from>
    <xdr:to>
      <xdr:col>45</xdr:col>
      <xdr:colOff>28575</xdr:colOff>
      <xdr:row>49</xdr:row>
      <xdr:rowOff>114300</xdr:rowOff>
    </xdr:to>
    <xdr:pic>
      <xdr:nvPicPr>
        <xdr:cNvPr id="5" name="Picture 4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85313" y="8605838"/>
          <a:ext cx="2564606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46247</xdr:colOff>
      <xdr:row>37</xdr:row>
      <xdr:rowOff>75309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34915</xdr:rowOff>
    </xdr:from>
    <xdr:to>
      <xdr:col>18</xdr:col>
      <xdr:colOff>38100</xdr:colOff>
      <xdr:row>68</xdr:row>
      <xdr:rowOff>189752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83415"/>
          <a:ext cx="11010900" cy="6060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171450</xdr:rowOff>
    </xdr:from>
    <xdr:to>
      <xdr:col>18</xdr:col>
      <xdr:colOff>47624</xdr:colOff>
      <xdr:row>100</xdr:row>
      <xdr:rowOff>186497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25450"/>
          <a:ext cx="11020424" cy="6111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180975</xdr:rowOff>
    </xdr:from>
    <xdr:to>
      <xdr:col>18</xdr:col>
      <xdr:colOff>76200</xdr:colOff>
      <xdr:row>134</xdr:row>
      <xdr:rowOff>11839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230975"/>
          <a:ext cx="11049000" cy="6307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95249</xdr:rowOff>
    </xdr:from>
    <xdr:to>
      <xdr:col>18</xdr:col>
      <xdr:colOff>409574</xdr:colOff>
      <xdr:row>176</xdr:row>
      <xdr:rowOff>171533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622249"/>
          <a:ext cx="11382374" cy="8077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383381</xdr:colOff>
      <xdr:row>38</xdr:row>
      <xdr:rowOff>76199</xdr:rowOff>
    </xdr:from>
    <xdr:to>
      <xdr:col>44</xdr:col>
      <xdr:colOff>292893</xdr:colOff>
      <xdr:row>46</xdr:row>
      <xdr:rowOff>90486</xdr:rowOff>
    </xdr:to>
    <xdr:pic>
      <xdr:nvPicPr>
        <xdr:cNvPr id="2" name="Picture 1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6662" y="7874793"/>
          <a:ext cx="2350294" cy="1585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141486</xdr:colOff>
      <xdr:row>32</xdr:row>
      <xdr:rowOff>161143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14286" cy="62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266700</xdr:colOff>
      <xdr:row>60</xdr:row>
      <xdr:rowOff>4274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01100" cy="11434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ng/Desktop/Design%20tools/Inductor%20Design%20Workbook%202-9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 U Core Design Foil"/>
      <sheetName val="E Core Design Foil"/>
      <sheetName val="E Core Design-Magnet Wire"/>
      <sheetName val="Toroid Design with Litz"/>
      <sheetName val="Toroid Design"/>
      <sheetName val="Custom Toroid Design"/>
      <sheetName val="Silicon Steel Cut Core-MW"/>
      <sheetName val="Block Dimensions"/>
      <sheetName val="Block U dimension calculation"/>
      <sheetName val="Powder Core Detail"/>
      <sheetName val="Wire Table"/>
      <sheetName val="Core Costs"/>
      <sheetName val="Surface Area-Litz"/>
      <sheetName val="Surface Area"/>
      <sheetName val="Curve Fit Equations"/>
      <sheetName val="75 CF Constants"/>
      <sheetName val="Kool Mu CF Constants"/>
      <sheetName val="MPP CF"/>
      <sheetName val="HF CF"/>
      <sheetName val="XF CF"/>
      <sheetName val="E Core Detail"/>
      <sheetName val="Cut Core Data"/>
      <sheetName val="Block Foil Wire "/>
      <sheetName val="Block Litz Wire"/>
      <sheetName val="AF CF"/>
      <sheetName val="Wire Resistivity"/>
      <sheetName val="Litz Wire"/>
      <sheetName val="Toroid Core Weight"/>
      <sheetName val="Shape Core Weight"/>
      <sheetName val="E Core Foil Wire "/>
      <sheetName val="Notes"/>
    </sheetNames>
    <sheetDataSet>
      <sheetData sheetId="0"/>
      <sheetData sheetId="1"/>
      <sheetData sheetId="2"/>
      <sheetData sheetId="3"/>
      <sheetData sheetId="4"/>
      <sheetData sheetId="5">
        <row r="57">
          <cell r="C57" t="str">
            <v>Xflux</v>
          </cell>
        </row>
        <row r="58">
          <cell r="C58" t="str">
            <v>Kool Mu</v>
          </cell>
        </row>
        <row r="59">
          <cell r="C59" t="str">
            <v>High Flux</v>
          </cell>
        </row>
        <row r="60">
          <cell r="C60" t="str">
            <v>MPP</v>
          </cell>
        </row>
        <row r="61">
          <cell r="C61" t="str">
            <v>Amo-Flux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topLeftCell="A7" workbookViewId="0">
      <selection activeCell="F15" sqref="F15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5"/>
  <sheetViews>
    <sheetView workbookViewId="0">
      <selection activeCell="B20" sqref="B20"/>
    </sheetView>
  </sheetViews>
  <sheetFormatPr defaultColWidth="9.140625" defaultRowHeight="15"/>
  <cols>
    <col min="1" max="1" width="9" style="53" customWidth="1"/>
    <col min="2" max="3" width="9.140625" style="53"/>
    <col min="4" max="4" width="12.5703125" style="53" customWidth="1"/>
    <col min="5" max="16384" width="9.140625" style="53"/>
  </cols>
  <sheetData>
    <row r="1" spans="1:7">
      <c r="A1" s="56">
        <v>75</v>
      </c>
      <c r="B1" s="147"/>
      <c r="C1" s="147"/>
      <c r="D1" s="147"/>
      <c r="E1" s="147"/>
      <c r="F1" s="147"/>
      <c r="G1" s="147"/>
    </row>
    <row r="2" spans="1:7">
      <c r="A2" s="50" t="s">
        <v>947</v>
      </c>
      <c r="B2" s="50" t="s">
        <v>948</v>
      </c>
      <c r="C2" s="50" t="s">
        <v>949</v>
      </c>
      <c r="D2" s="50" t="s">
        <v>950</v>
      </c>
      <c r="E2" s="50"/>
      <c r="F2" s="50"/>
      <c r="G2" s="147"/>
    </row>
    <row r="3" spans="1:7">
      <c r="A3" s="147"/>
      <c r="B3" s="147"/>
      <c r="C3" s="147"/>
      <c r="D3" s="147"/>
      <c r="E3" s="147"/>
      <c r="F3" s="147"/>
      <c r="G3" s="147"/>
    </row>
    <row r="4" spans="1:7">
      <c r="A4" s="147">
        <v>26</v>
      </c>
      <c r="B4" s="142">
        <v>0.01</v>
      </c>
      <c r="C4" s="143">
        <v>5.05321409868935E-7</v>
      </c>
      <c r="D4" s="143">
        <v>1.7532197104309464</v>
      </c>
      <c r="E4" s="143"/>
      <c r="F4" s="143"/>
      <c r="G4" s="147"/>
    </row>
    <row r="5" spans="1:7">
      <c r="A5" s="147">
        <v>40</v>
      </c>
      <c r="B5" s="142">
        <v>0.01</v>
      </c>
      <c r="C5" s="143">
        <v>1.6079437763953101E-6</v>
      </c>
      <c r="D5" s="143">
        <v>1.6756908783317068</v>
      </c>
      <c r="E5" s="143"/>
      <c r="F5" s="143"/>
      <c r="G5" s="147"/>
    </row>
    <row r="6" spans="1:7">
      <c r="A6" s="147">
        <v>60</v>
      </c>
      <c r="B6" s="142">
        <v>0.01</v>
      </c>
      <c r="C6" s="143">
        <v>1.0876473625775816E-6</v>
      </c>
      <c r="D6" s="143">
        <v>1.9224156534681693</v>
      </c>
      <c r="E6" s="143"/>
      <c r="F6" s="143"/>
      <c r="G6" s="147"/>
    </row>
    <row r="7" spans="1:7">
      <c r="A7" s="147"/>
      <c r="B7" s="142"/>
      <c r="C7" s="143"/>
      <c r="D7" s="143"/>
      <c r="E7" s="143"/>
      <c r="F7" s="143"/>
      <c r="G7" s="147"/>
    </row>
    <row r="8" spans="1:7">
      <c r="A8" s="147"/>
      <c r="B8" s="142"/>
      <c r="C8" s="143"/>
      <c r="D8" s="143"/>
      <c r="E8" s="143"/>
      <c r="F8" s="143"/>
      <c r="G8" s="147"/>
    </row>
    <row r="9" spans="1:7">
      <c r="A9" s="147"/>
      <c r="B9" s="142"/>
      <c r="C9" s="143"/>
      <c r="D9" s="143"/>
      <c r="E9" s="143"/>
      <c r="F9" s="143"/>
      <c r="G9" s="147"/>
    </row>
    <row r="10" spans="1:7">
      <c r="A10" s="50" t="s">
        <v>953</v>
      </c>
      <c r="B10" s="50" t="s">
        <v>948</v>
      </c>
      <c r="C10" s="50" t="s">
        <v>949</v>
      </c>
      <c r="D10" s="50" t="s">
        <v>950</v>
      </c>
      <c r="E10" s="50" t="s">
        <v>951</v>
      </c>
      <c r="F10" s="50" t="s">
        <v>952</v>
      </c>
      <c r="G10" s="50" t="s">
        <v>954</v>
      </c>
    </row>
    <row r="11" spans="1:7">
      <c r="A11" s="147"/>
      <c r="B11" s="147"/>
      <c r="C11" s="147"/>
      <c r="D11" s="147"/>
      <c r="E11" s="147"/>
      <c r="F11" s="147"/>
      <c r="G11" s="147"/>
    </row>
    <row r="12" spans="1:7">
      <c r="A12" s="147">
        <v>26</v>
      </c>
      <c r="B12" s="143">
        <v>4.2059169371583931E-2</v>
      </c>
      <c r="C12" s="143">
        <v>3.238063871540732E-2</v>
      </c>
      <c r="D12" s="143">
        <v>1.1920860485184973E-3</v>
      </c>
      <c r="E12" s="143">
        <v>0.16978129348702473</v>
      </c>
      <c r="F12" s="143">
        <v>9.3994517180284211E-4</v>
      </c>
      <c r="G12" s="142">
        <v>2</v>
      </c>
    </row>
    <row r="13" spans="1:7">
      <c r="A13" s="147">
        <v>40</v>
      </c>
      <c r="B13" s="143">
        <v>4.5007679169876399E-2</v>
      </c>
      <c r="C13" s="143">
        <v>3.6593490830805438E-2</v>
      </c>
      <c r="D13" s="143">
        <v>1.2287429215212186E-3</v>
      </c>
      <c r="E13" s="143">
        <v>0.14074360107654021</v>
      </c>
      <c r="F13" s="143">
        <v>9.8159109322626175E-4</v>
      </c>
      <c r="G13" s="142">
        <v>2</v>
      </c>
    </row>
    <row r="14" spans="1:7">
      <c r="A14" s="147">
        <v>60</v>
      </c>
      <c r="B14" s="143">
        <v>9.9999846055039018E-2</v>
      </c>
      <c r="C14" s="143">
        <v>2.263373933114432E-2</v>
      </c>
      <c r="D14" s="143">
        <v>1.2153485862293778E-3</v>
      </c>
      <c r="E14" s="143">
        <v>6.7693910652702846E-2</v>
      </c>
      <c r="F14" s="143">
        <v>9.7573621985915318E-4</v>
      </c>
      <c r="G14" s="142">
        <v>2</v>
      </c>
    </row>
    <row r="15" spans="1:7">
      <c r="A15" s="147"/>
      <c r="B15" s="143"/>
      <c r="C15" s="143"/>
      <c r="D15" s="143"/>
      <c r="E15" s="143"/>
      <c r="F15" s="143"/>
      <c r="G15" s="142"/>
    </row>
    <row r="16" spans="1:7">
      <c r="A16" s="147"/>
      <c r="B16" s="143"/>
      <c r="C16" s="143"/>
      <c r="D16" s="143"/>
      <c r="E16" s="143"/>
      <c r="F16" s="143"/>
      <c r="G16" s="142"/>
    </row>
    <row r="17" spans="1:7">
      <c r="A17" s="147"/>
      <c r="B17" s="143"/>
      <c r="C17" s="55"/>
      <c r="D17" s="55"/>
      <c r="E17" s="55"/>
      <c r="F17" s="55"/>
      <c r="G17" s="142"/>
    </row>
    <row r="18" spans="1:7">
      <c r="A18" s="50" t="s">
        <v>806</v>
      </c>
      <c r="B18" s="50" t="s">
        <v>948</v>
      </c>
      <c r="C18" s="50" t="s">
        <v>949</v>
      </c>
      <c r="D18" s="50" t="s">
        <v>950</v>
      </c>
      <c r="E18" s="147"/>
      <c r="F18" s="147"/>
      <c r="G18" s="147"/>
    </row>
    <row r="19" spans="1:7">
      <c r="A19" s="147"/>
      <c r="B19" s="147"/>
      <c r="C19" s="147"/>
      <c r="D19" s="147"/>
      <c r="E19" s="147"/>
      <c r="F19" s="147"/>
      <c r="G19" s="147"/>
    </row>
    <row r="20" spans="1:7">
      <c r="A20" s="147">
        <v>26</v>
      </c>
      <c r="B20" s="147">
        <v>271</v>
      </c>
      <c r="C20" s="147">
        <v>2.0310000000000001</v>
      </c>
      <c r="D20" s="147">
        <v>1.44</v>
      </c>
      <c r="E20" s="147"/>
      <c r="F20" s="147"/>
      <c r="G20" s="147"/>
    </row>
    <row r="21" spans="1:7">
      <c r="A21" s="147">
        <v>40</v>
      </c>
      <c r="B21" s="147">
        <v>309</v>
      </c>
      <c r="C21" s="147">
        <v>2.14</v>
      </c>
      <c r="D21" s="147">
        <v>1.46</v>
      </c>
      <c r="E21" s="147"/>
      <c r="F21" s="147"/>
      <c r="G21" s="147"/>
    </row>
    <row r="22" spans="1:7">
      <c r="A22" s="147">
        <v>60</v>
      </c>
      <c r="B22" s="147">
        <v>251.4</v>
      </c>
      <c r="C22" s="147">
        <v>2.0659999999999998</v>
      </c>
      <c r="D22" s="147">
        <v>1.41</v>
      </c>
      <c r="E22" s="147"/>
      <c r="F22" s="147"/>
      <c r="G22" s="147"/>
    </row>
    <row r="23" spans="1:7">
      <c r="A23" s="147"/>
      <c r="B23" s="147"/>
      <c r="C23" s="147"/>
      <c r="D23" s="147"/>
      <c r="E23" s="147"/>
      <c r="F23" s="147"/>
      <c r="G23" s="147"/>
    </row>
    <row r="24" spans="1:7">
      <c r="A24" s="147"/>
      <c r="B24" s="147"/>
      <c r="C24" s="147"/>
      <c r="D24" s="147"/>
      <c r="E24" s="147"/>
      <c r="F24" s="147"/>
      <c r="G24" s="147"/>
    </row>
    <row r="25" spans="1:7">
      <c r="A25" s="147"/>
      <c r="B25" s="147"/>
      <c r="C25" s="147"/>
      <c r="D25" s="147"/>
      <c r="E25" s="147"/>
      <c r="F25" s="147"/>
      <c r="G25" s="1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J13"/>
  <sheetViews>
    <sheetView workbookViewId="0">
      <selection activeCell="G15" sqref="G15"/>
    </sheetView>
  </sheetViews>
  <sheetFormatPr defaultRowHeight="15"/>
  <cols>
    <col min="2" max="2" width="10.140625" bestFit="1" customWidth="1"/>
    <col min="4" max="4" width="10.140625" bestFit="1" customWidth="1"/>
    <col min="5" max="5" width="10.140625" style="53" customWidth="1"/>
  </cols>
  <sheetData>
    <row r="1" spans="2:10">
      <c r="B1" s="53"/>
      <c r="C1" s="53"/>
      <c r="D1" s="201" t="s">
        <v>1021</v>
      </c>
      <c r="E1" s="201" t="s">
        <v>1135</v>
      </c>
      <c r="F1" s="201" t="s">
        <v>1022</v>
      </c>
      <c r="G1" s="53"/>
    </row>
    <row r="2" spans="2:10">
      <c r="B2" s="161" t="s">
        <v>1340</v>
      </c>
      <c r="C2" s="161">
        <v>14.354269295784219</v>
      </c>
      <c r="D2" s="53">
        <v>14.354269295784219</v>
      </c>
      <c r="E2" s="53">
        <v>11.065208356420893</v>
      </c>
      <c r="F2" s="53">
        <v>8.0133597474941265</v>
      </c>
      <c r="G2" s="161">
        <v>14.354269295784219</v>
      </c>
      <c r="H2" s="53"/>
    </row>
    <row r="3" spans="2:10">
      <c r="B3" s="161" t="s">
        <v>1341</v>
      </c>
      <c r="C3" s="161">
        <v>34.057967289186841</v>
      </c>
      <c r="D3" s="53">
        <v>34.057967289186841</v>
      </c>
      <c r="E3" s="53">
        <v>26.504035427002357</v>
      </c>
      <c r="F3" s="53">
        <v>19.519813543873664</v>
      </c>
      <c r="G3" s="161">
        <v>34.057967289186841</v>
      </c>
      <c r="H3" s="161"/>
      <c r="I3" s="161"/>
      <c r="J3" s="161"/>
    </row>
    <row r="4" spans="2:10">
      <c r="B4" s="161" t="s">
        <v>1342</v>
      </c>
      <c r="C4" s="161">
        <v>39.233793934687327</v>
      </c>
      <c r="D4" s="53">
        <v>39.233793934687327</v>
      </c>
      <c r="E4" s="53">
        <v>30.397638641000977</v>
      </c>
      <c r="F4" s="53">
        <v>22.339377539141125</v>
      </c>
      <c r="G4" s="161">
        <v>39.233793934687327</v>
      </c>
      <c r="H4" s="161"/>
      <c r="I4" s="161"/>
      <c r="J4" s="161"/>
    </row>
    <row r="5" spans="2:10">
      <c r="B5" s="161" t="s">
        <v>1343</v>
      </c>
      <c r="C5" s="161">
        <v>101.51875658112716</v>
      </c>
      <c r="D5" s="53">
        <v>101.51875658112716</v>
      </c>
      <c r="E5" s="53">
        <v>80.139878278498188</v>
      </c>
      <c r="F5" s="53">
        <v>59.821934433108687</v>
      </c>
      <c r="G5" s="161">
        <v>101.51875658112716</v>
      </c>
      <c r="H5" s="161"/>
      <c r="I5" s="161"/>
      <c r="J5" s="161"/>
    </row>
    <row r="6" spans="2:10">
      <c r="B6" s="161" t="s">
        <v>1344</v>
      </c>
      <c r="C6" s="161">
        <v>112.26621514685409</v>
      </c>
      <c r="D6" s="53">
        <v>112.26621514685409</v>
      </c>
      <c r="E6" s="53">
        <v>88.067588585584488</v>
      </c>
      <c r="F6" s="53">
        <v>65.31986742352052</v>
      </c>
      <c r="G6" s="161">
        <v>112.26621514685409</v>
      </c>
      <c r="H6" s="161"/>
      <c r="I6" s="161"/>
      <c r="J6" s="161"/>
    </row>
    <row r="7" spans="2:10">
      <c r="B7" s="161" t="s">
        <v>1345</v>
      </c>
      <c r="C7" s="161">
        <v>184.89318874043491</v>
      </c>
      <c r="D7" s="53">
        <v>184.89318874043491</v>
      </c>
      <c r="E7" s="53">
        <v>154.3740660808802</v>
      </c>
      <c r="F7" s="53">
        <v>120.79116749390016</v>
      </c>
      <c r="G7" s="161">
        <v>184.89318874043491</v>
      </c>
      <c r="H7" s="161"/>
      <c r="I7" s="161"/>
      <c r="J7" s="161"/>
    </row>
    <row r="8" spans="2:10">
      <c r="B8" s="161" t="s">
        <v>1346</v>
      </c>
      <c r="C8" s="161">
        <v>287.39581222752918</v>
      </c>
      <c r="D8" s="53">
        <v>287.39581222752918</v>
      </c>
      <c r="E8" s="53">
        <v>251.51969147548886</v>
      </c>
      <c r="F8" s="53">
        <v>185.80530124563825</v>
      </c>
      <c r="G8" s="161">
        <v>287.39581222752918</v>
      </c>
      <c r="H8" s="161"/>
      <c r="I8" s="161"/>
      <c r="J8" s="161"/>
    </row>
    <row r="9" spans="2:10">
      <c r="B9" s="161" t="s">
        <v>1347</v>
      </c>
      <c r="C9" s="161">
        <v>460.54759664414024</v>
      </c>
      <c r="D9" s="53">
        <v>460.54759664414024</v>
      </c>
      <c r="E9" s="53">
        <v>433.52033865741021</v>
      </c>
      <c r="F9" s="53">
        <v>356.49892109874429</v>
      </c>
      <c r="G9" s="161">
        <v>460.54759664414024</v>
      </c>
      <c r="H9" s="161"/>
      <c r="I9" s="161"/>
      <c r="J9" s="161"/>
    </row>
    <row r="10" spans="2:10">
      <c r="B10" s="161" t="s">
        <v>1348</v>
      </c>
      <c r="C10" s="53">
        <v>299.27785893529904</v>
      </c>
      <c r="D10" s="53">
        <v>264.26452094396842</v>
      </c>
      <c r="E10" s="53">
        <v>299.27785893529904</v>
      </c>
      <c r="F10" s="53">
        <v>0</v>
      </c>
      <c r="G10" s="161">
        <v>264.26452094396842</v>
      </c>
      <c r="H10" s="161"/>
      <c r="I10" s="161"/>
      <c r="J10" s="161"/>
    </row>
    <row r="11" spans="2:10">
      <c r="B11" s="161" t="s">
        <v>1349</v>
      </c>
      <c r="C11" s="161">
        <v>848.41445682451922</v>
      </c>
      <c r="D11" s="53">
        <v>0</v>
      </c>
      <c r="F11" s="53">
        <v>848.41445682451922</v>
      </c>
      <c r="G11" s="161">
        <v>848.41445682451922</v>
      </c>
      <c r="H11" s="161"/>
      <c r="I11" s="161"/>
      <c r="J11" s="161"/>
    </row>
    <row r="12" spans="2:10">
      <c r="B12" s="161" t="s">
        <v>662</v>
      </c>
      <c r="C12" s="161"/>
      <c r="D12" s="53">
        <v>0</v>
      </c>
      <c r="F12" s="53">
        <v>0</v>
      </c>
      <c r="G12" s="161">
        <v>0</v>
      </c>
      <c r="H12" s="161"/>
      <c r="I12" s="161"/>
      <c r="J12" s="161"/>
    </row>
    <row r="13" spans="2:10">
      <c r="H13" s="53"/>
      <c r="I13" s="1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C1:F11"/>
  <sheetViews>
    <sheetView workbookViewId="0">
      <selection activeCell="I13" sqref="I13"/>
    </sheetView>
  </sheetViews>
  <sheetFormatPr defaultRowHeight="15"/>
  <cols>
    <col min="3" max="3" width="10.140625" bestFit="1" customWidth="1"/>
    <col min="4" max="6" width="12.140625" bestFit="1" customWidth="1"/>
  </cols>
  <sheetData>
    <row r="1" spans="3:6">
      <c r="D1">
        <v>60</v>
      </c>
      <c r="E1">
        <v>40</v>
      </c>
      <c r="F1">
        <v>26</v>
      </c>
    </row>
    <row r="2" spans="3:6">
      <c r="C2" s="161" t="s">
        <v>1340</v>
      </c>
      <c r="D2" s="161" t="s">
        <v>1350</v>
      </c>
      <c r="E2" s="161" t="s">
        <v>1253</v>
      </c>
      <c r="F2" s="161" t="s">
        <v>1252</v>
      </c>
    </row>
    <row r="3" spans="3:6">
      <c r="C3" s="161" t="s">
        <v>1341</v>
      </c>
      <c r="D3" s="161" t="s">
        <v>1351</v>
      </c>
      <c r="E3" s="161" t="s">
        <v>1249</v>
      </c>
      <c r="F3" s="161" t="s">
        <v>1248</v>
      </c>
    </row>
    <row r="4" spans="3:6">
      <c r="C4" s="161" t="s">
        <v>1342</v>
      </c>
      <c r="D4" s="161" t="s">
        <v>1352</v>
      </c>
      <c r="E4" s="161" t="s">
        <v>1251</v>
      </c>
      <c r="F4" s="161" t="s">
        <v>1250</v>
      </c>
    </row>
    <row r="5" spans="3:6">
      <c r="C5" s="161" t="s">
        <v>1343</v>
      </c>
      <c r="D5" s="161" t="s">
        <v>1353</v>
      </c>
      <c r="E5" s="161" t="s">
        <v>1255</v>
      </c>
      <c r="F5" s="161" t="s">
        <v>1254</v>
      </c>
    </row>
    <row r="6" spans="3:6">
      <c r="C6" s="161" t="s">
        <v>1344</v>
      </c>
      <c r="D6" s="161" t="s">
        <v>1354</v>
      </c>
      <c r="E6" s="161" t="s">
        <v>1257</v>
      </c>
      <c r="F6" s="161" t="s">
        <v>1256</v>
      </c>
    </row>
    <row r="7" spans="3:6">
      <c r="C7" s="161" t="s">
        <v>1345</v>
      </c>
      <c r="D7" s="161" t="s">
        <v>1355</v>
      </c>
      <c r="E7" s="161" t="s">
        <v>1261</v>
      </c>
      <c r="F7" s="161" t="s">
        <v>1260</v>
      </c>
    </row>
    <row r="8" spans="3:6">
      <c r="C8" s="161" t="s">
        <v>1346</v>
      </c>
      <c r="D8" s="161" t="s">
        <v>1356</v>
      </c>
      <c r="E8" s="161" t="s">
        <v>1259</v>
      </c>
      <c r="F8" s="161" t="s">
        <v>1258</v>
      </c>
    </row>
    <row r="9" spans="3:6">
      <c r="C9" s="161" t="s">
        <v>1347</v>
      </c>
      <c r="D9" s="161" t="s">
        <v>1357</v>
      </c>
      <c r="E9" s="161" t="s">
        <v>1263</v>
      </c>
      <c r="F9" s="161" t="s">
        <v>1262</v>
      </c>
    </row>
    <row r="10" spans="3:6">
      <c r="C10" s="161" t="s">
        <v>1348</v>
      </c>
      <c r="D10" s="161" t="s">
        <v>1358</v>
      </c>
      <c r="E10" s="161" t="s">
        <v>1359</v>
      </c>
      <c r="F10" s="161" t="s">
        <v>1360</v>
      </c>
    </row>
    <row r="11" spans="3:6">
      <c r="C11" s="161" t="s">
        <v>1349</v>
      </c>
      <c r="D11" s="161" t="s">
        <v>1361</v>
      </c>
      <c r="E11" s="161" t="s">
        <v>1362</v>
      </c>
      <c r="F11" s="161" t="s">
        <v>1264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81"/>
  <sheetViews>
    <sheetView workbookViewId="0">
      <pane ySplit="1" topLeftCell="A2" activePane="bottomLeft" state="frozen"/>
      <selection pane="bottomLeft" activeCell="A81" sqref="A81"/>
    </sheetView>
  </sheetViews>
  <sheetFormatPr defaultRowHeight="15"/>
  <cols>
    <col min="1" max="1" width="18.28515625" style="146" customWidth="1"/>
    <col min="2" max="2" width="10.85546875" style="146" customWidth="1"/>
    <col min="3" max="3" width="9.140625" style="53"/>
    <col min="4" max="20" width="9.140625" style="53" customWidth="1"/>
    <col min="21" max="21" width="21.7109375" style="53" bestFit="1" customWidth="1"/>
    <col min="22" max="22" width="20.7109375" style="53" bestFit="1" customWidth="1"/>
    <col min="23" max="23" width="22.42578125" style="34" bestFit="1" customWidth="1"/>
    <col min="24" max="24" width="24.42578125" style="34" customWidth="1"/>
    <col min="25" max="25" width="17.7109375" style="53" customWidth="1"/>
    <col min="26" max="16384" width="9.140625" style="53"/>
  </cols>
  <sheetData>
    <row r="1" spans="1:27" s="34" customFormat="1" ht="17.25">
      <c r="A1" s="28" t="s">
        <v>657</v>
      </c>
      <c r="B1" s="164" t="s">
        <v>658</v>
      </c>
      <c r="C1" s="29" t="s">
        <v>655</v>
      </c>
      <c r="D1" s="29" t="s">
        <v>654</v>
      </c>
      <c r="E1" s="29" t="s">
        <v>653</v>
      </c>
      <c r="F1" s="29" t="s">
        <v>652</v>
      </c>
      <c r="G1" s="30" t="s">
        <v>651</v>
      </c>
      <c r="H1" s="30" t="s">
        <v>650</v>
      </c>
      <c r="I1" s="30" t="s">
        <v>1215</v>
      </c>
      <c r="J1" s="30" t="s">
        <v>1216</v>
      </c>
      <c r="K1" s="30" t="s">
        <v>1217</v>
      </c>
      <c r="L1" s="30" t="s">
        <v>1218</v>
      </c>
      <c r="M1" s="30" t="s">
        <v>1219</v>
      </c>
      <c r="N1" s="30" t="s">
        <v>1220</v>
      </c>
      <c r="O1" s="30" t="s">
        <v>1221</v>
      </c>
      <c r="P1" s="30" t="s">
        <v>1222</v>
      </c>
      <c r="Q1" s="31" t="s">
        <v>643</v>
      </c>
      <c r="R1" s="31" t="s">
        <v>642</v>
      </c>
      <c r="S1" s="32" t="s">
        <v>641</v>
      </c>
      <c r="T1" s="32" t="s">
        <v>640</v>
      </c>
      <c r="U1" s="28" t="s">
        <v>1241</v>
      </c>
      <c r="V1" s="28" t="s">
        <v>1242</v>
      </c>
      <c r="W1" s="28" t="s">
        <v>1243</v>
      </c>
      <c r="X1" s="28" t="s">
        <v>1244</v>
      </c>
      <c r="Y1" s="28" t="s">
        <v>1245</v>
      </c>
      <c r="Z1" s="34" t="s">
        <v>1246</v>
      </c>
      <c r="AA1" s="34" t="s">
        <v>1247</v>
      </c>
    </row>
    <row r="2" spans="1:27">
      <c r="A2" s="146" t="s">
        <v>364</v>
      </c>
      <c r="B2" s="146" t="s">
        <v>663</v>
      </c>
      <c r="C2" s="146">
        <v>26</v>
      </c>
      <c r="D2" s="146" t="s">
        <v>298</v>
      </c>
      <c r="E2" s="146">
        <v>26</v>
      </c>
      <c r="F2" s="146" t="s">
        <v>297</v>
      </c>
      <c r="G2" s="146">
        <v>4.01</v>
      </c>
      <c r="H2" s="146">
        <v>40.099999999999994</v>
      </c>
      <c r="I2" s="4">
        <v>19.3</v>
      </c>
      <c r="J2" s="165">
        <v>8.1</v>
      </c>
      <c r="K2" s="165">
        <v>4.78</v>
      </c>
      <c r="L2" s="4">
        <v>5.53</v>
      </c>
      <c r="M2" s="4">
        <v>13.9</v>
      </c>
      <c r="N2" s="4">
        <v>4.78</v>
      </c>
      <c r="O2" s="4">
        <v>2.39</v>
      </c>
      <c r="P2" s="4">
        <v>4.6399999999999997</v>
      </c>
      <c r="Q2" s="146">
        <v>0.22800000000000001</v>
      </c>
      <c r="R2" s="146">
        <v>22.8</v>
      </c>
      <c r="S2" s="146">
        <v>0.91400000000000003</v>
      </c>
      <c r="T2" s="146">
        <v>914</v>
      </c>
      <c r="U2" s="146">
        <f>2*L2*P2</f>
        <v>51.318399999999997</v>
      </c>
      <c r="V2" s="53">
        <f>0.01*U2</f>
        <v>0.51318399999999997</v>
      </c>
      <c r="W2" s="34">
        <v>0.316</v>
      </c>
      <c r="X2" s="34">
        <v>0.34200000000000003</v>
      </c>
      <c r="Y2" s="53">
        <v>9.3000000000000007</v>
      </c>
      <c r="Z2" s="53">
        <f>2*L2</f>
        <v>11.06</v>
      </c>
      <c r="AA2" s="53">
        <f>0.5*(Z2-Y2)</f>
        <v>0.87999999999999989</v>
      </c>
    </row>
    <row r="3" spans="1:27">
      <c r="A3" s="146" t="s">
        <v>363</v>
      </c>
      <c r="B3" s="146" t="s">
        <v>663</v>
      </c>
      <c r="C3" s="146">
        <v>40</v>
      </c>
      <c r="D3" s="146" t="s">
        <v>298</v>
      </c>
      <c r="E3" s="146">
        <v>35</v>
      </c>
      <c r="F3" s="146" t="s">
        <v>297</v>
      </c>
      <c r="G3" s="146">
        <v>4.01</v>
      </c>
      <c r="H3" s="146">
        <v>40.099999999999994</v>
      </c>
      <c r="I3" s="4">
        <v>19.3</v>
      </c>
      <c r="J3" s="165">
        <v>8.1</v>
      </c>
      <c r="K3" s="165">
        <v>4.78</v>
      </c>
      <c r="L3" s="4">
        <v>5.53</v>
      </c>
      <c r="M3" s="4">
        <v>13.9</v>
      </c>
      <c r="N3" s="4">
        <v>4.78</v>
      </c>
      <c r="O3" s="4">
        <v>2.39</v>
      </c>
      <c r="P3" s="4">
        <v>4.6399999999999997</v>
      </c>
      <c r="Q3" s="146">
        <v>0.22800000000000001</v>
      </c>
      <c r="R3" s="146">
        <v>22.8</v>
      </c>
      <c r="S3" s="146">
        <v>0.91400000000000003</v>
      </c>
      <c r="T3" s="146">
        <v>914</v>
      </c>
      <c r="U3" s="146">
        <f t="shared" ref="U3:U53" si="0">2*L3*P3</f>
        <v>51.318399999999997</v>
      </c>
      <c r="V3" s="53">
        <f t="shared" ref="V3:V72" si="1">0.01*U3</f>
        <v>0.51318399999999997</v>
      </c>
      <c r="W3" s="34">
        <v>0.316</v>
      </c>
      <c r="X3" s="34">
        <v>0.34200000000000003</v>
      </c>
      <c r="Y3" s="53">
        <v>9.3000000000000007</v>
      </c>
      <c r="Z3" s="53">
        <f t="shared" ref="Z3:Z72" si="2">2*L3</f>
        <v>11.06</v>
      </c>
      <c r="AA3" s="53">
        <f t="shared" ref="AA3:AA72" si="3">0.5*(Z3-Y3)</f>
        <v>0.87999999999999989</v>
      </c>
    </row>
    <row r="4" spans="1:27">
      <c r="A4" s="146" t="s">
        <v>362</v>
      </c>
      <c r="B4" s="146" t="s">
        <v>663</v>
      </c>
      <c r="C4" s="146">
        <v>60</v>
      </c>
      <c r="D4" s="146" t="s">
        <v>298</v>
      </c>
      <c r="E4" s="146">
        <v>48</v>
      </c>
      <c r="F4" s="146" t="s">
        <v>297</v>
      </c>
      <c r="G4" s="146">
        <v>4.01</v>
      </c>
      <c r="H4" s="146">
        <v>40.099999999999994</v>
      </c>
      <c r="I4" s="4">
        <v>19.3</v>
      </c>
      <c r="J4" s="165">
        <v>8.1</v>
      </c>
      <c r="K4" s="165">
        <v>4.78</v>
      </c>
      <c r="L4" s="4">
        <v>5.53</v>
      </c>
      <c r="M4" s="4">
        <v>13.9</v>
      </c>
      <c r="N4" s="4">
        <v>4.78</v>
      </c>
      <c r="O4" s="4">
        <v>2.39</v>
      </c>
      <c r="P4" s="4">
        <v>4.6399999999999997</v>
      </c>
      <c r="Q4" s="146">
        <v>0.22800000000000001</v>
      </c>
      <c r="R4" s="146">
        <v>22.8</v>
      </c>
      <c r="S4" s="146">
        <v>0.91400000000000003</v>
      </c>
      <c r="T4" s="146">
        <v>914</v>
      </c>
      <c r="U4" s="146">
        <f t="shared" si="0"/>
        <v>51.318399999999997</v>
      </c>
      <c r="V4" s="53">
        <f t="shared" si="1"/>
        <v>0.51318399999999997</v>
      </c>
      <c r="W4" s="34">
        <v>0.316</v>
      </c>
      <c r="X4" s="34">
        <v>0.34200000000000003</v>
      </c>
      <c r="Y4" s="53">
        <v>9.3000000000000007</v>
      </c>
      <c r="Z4" s="53">
        <f t="shared" si="2"/>
        <v>11.06</v>
      </c>
      <c r="AA4" s="53">
        <f t="shared" si="3"/>
        <v>0.87999999999999989</v>
      </c>
    </row>
    <row r="5" spans="1:27">
      <c r="A5" s="146" t="s">
        <v>361</v>
      </c>
      <c r="B5" s="146" t="s">
        <v>663</v>
      </c>
      <c r="C5" s="146">
        <v>90</v>
      </c>
      <c r="D5" s="146" t="s">
        <v>298</v>
      </c>
      <c r="E5" s="146">
        <v>69</v>
      </c>
      <c r="F5" s="146" t="s">
        <v>297</v>
      </c>
      <c r="G5" s="146">
        <v>4.01</v>
      </c>
      <c r="H5" s="146">
        <v>40.099999999999994</v>
      </c>
      <c r="I5" s="4">
        <v>19.3</v>
      </c>
      <c r="J5" s="165">
        <v>8.1</v>
      </c>
      <c r="K5" s="165">
        <v>4.78</v>
      </c>
      <c r="L5" s="4">
        <v>5.53</v>
      </c>
      <c r="M5" s="4">
        <v>13.9</v>
      </c>
      <c r="N5" s="4">
        <v>4.78</v>
      </c>
      <c r="O5" s="4">
        <v>2.39</v>
      </c>
      <c r="P5" s="4">
        <v>4.6399999999999997</v>
      </c>
      <c r="Q5" s="146">
        <v>0.22800000000000001</v>
      </c>
      <c r="R5" s="146">
        <v>22.8</v>
      </c>
      <c r="S5" s="146">
        <v>0.91400000000000003</v>
      </c>
      <c r="T5" s="146">
        <v>914</v>
      </c>
      <c r="U5" s="146">
        <f t="shared" si="0"/>
        <v>51.318399999999997</v>
      </c>
      <c r="V5" s="53">
        <f t="shared" si="1"/>
        <v>0.51318399999999997</v>
      </c>
      <c r="W5" s="34">
        <v>0.316</v>
      </c>
      <c r="X5" s="34">
        <v>0.34200000000000003</v>
      </c>
      <c r="Y5" s="53">
        <v>9.3000000000000007</v>
      </c>
      <c r="Z5" s="53">
        <f t="shared" si="2"/>
        <v>11.06</v>
      </c>
      <c r="AA5" s="53">
        <f t="shared" si="3"/>
        <v>0.87999999999999989</v>
      </c>
    </row>
    <row r="6" spans="1:27">
      <c r="A6" s="146" t="s">
        <v>360</v>
      </c>
      <c r="B6" s="146" t="s">
        <v>664</v>
      </c>
      <c r="C6" s="146">
        <v>26</v>
      </c>
      <c r="D6" s="146" t="s">
        <v>298</v>
      </c>
      <c r="E6" s="146">
        <v>39</v>
      </c>
      <c r="F6" s="146" t="s">
        <v>297</v>
      </c>
      <c r="G6" s="146">
        <v>4.8500000000000005</v>
      </c>
      <c r="H6" s="146">
        <v>48.500000000000007</v>
      </c>
      <c r="I6" s="4">
        <v>25.4</v>
      </c>
      <c r="J6" s="165">
        <v>9.5299999999999994</v>
      </c>
      <c r="K6" s="165">
        <v>6.35</v>
      </c>
      <c r="L6" s="4">
        <v>6.22</v>
      </c>
      <c r="M6" s="4">
        <v>18.7</v>
      </c>
      <c r="N6" s="4">
        <v>6.35</v>
      </c>
      <c r="O6" s="4">
        <v>3.18</v>
      </c>
      <c r="P6" s="4">
        <v>6.24</v>
      </c>
      <c r="Q6" s="146">
        <v>0.38500000000000001</v>
      </c>
      <c r="R6" s="146">
        <v>38.5</v>
      </c>
      <c r="S6" s="2">
        <v>1.87</v>
      </c>
      <c r="T6" s="146">
        <v>1870</v>
      </c>
      <c r="U6" s="146">
        <f t="shared" si="0"/>
        <v>77.625600000000006</v>
      </c>
      <c r="V6" s="53">
        <f t="shared" si="1"/>
        <v>0.77625600000000006</v>
      </c>
      <c r="W6" s="34">
        <v>0.40600000000000003</v>
      </c>
      <c r="X6" s="34">
        <v>0.51</v>
      </c>
      <c r="Y6" s="53">
        <v>10.57</v>
      </c>
      <c r="Z6" s="53">
        <f t="shared" si="2"/>
        <v>12.44</v>
      </c>
      <c r="AA6" s="53">
        <f t="shared" si="3"/>
        <v>0.93499999999999961</v>
      </c>
    </row>
    <row r="7" spans="1:27">
      <c r="A7" s="146" t="s">
        <v>359</v>
      </c>
      <c r="B7" s="146" t="s">
        <v>664</v>
      </c>
      <c r="C7" s="146">
        <v>40</v>
      </c>
      <c r="D7" s="146" t="s">
        <v>298</v>
      </c>
      <c r="E7" s="146">
        <v>52</v>
      </c>
      <c r="F7" s="146" t="s">
        <v>297</v>
      </c>
      <c r="G7" s="146">
        <v>4.8500000000000005</v>
      </c>
      <c r="H7" s="146">
        <v>48.500000000000007</v>
      </c>
      <c r="I7" s="4">
        <v>25.4</v>
      </c>
      <c r="J7" s="165">
        <v>9.5299999999999994</v>
      </c>
      <c r="K7" s="165">
        <v>6.35</v>
      </c>
      <c r="L7" s="4">
        <v>6.22</v>
      </c>
      <c r="M7" s="4">
        <v>18.7</v>
      </c>
      <c r="N7" s="4">
        <v>6.35</v>
      </c>
      <c r="O7" s="4">
        <v>3.18</v>
      </c>
      <c r="P7" s="4">
        <v>6.24</v>
      </c>
      <c r="Q7" s="146">
        <v>0.38500000000000001</v>
      </c>
      <c r="R7" s="146">
        <v>38.5</v>
      </c>
      <c r="S7" s="2">
        <v>1.87</v>
      </c>
      <c r="T7" s="146">
        <v>1870</v>
      </c>
      <c r="U7" s="146">
        <f t="shared" si="0"/>
        <v>77.625600000000006</v>
      </c>
      <c r="V7" s="53">
        <f t="shared" si="1"/>
        <v>0.77625600000000006</v>
      </c>
      <c r="W7" s="34">
        <v>0.40600000000000003</v>
      </c>
      <c r="X7" s="34">
        <v>0.51</v>
      </c>
      <c r="Y7" s="53">
        <v>10.57</v>
      </c>
      <c r="Z7" s="53">
        <f t="shared" si="2"/>
        <v>12.44</v>
      </c>
      <c r="AA7" s="53">
        <f t="shared" si="3"/>
        <v>0.93499999999999961</v>
      </c>
    </row>
    <row r="8" spans="1:27">
      <c r="A8" s="146" t="s">
        <v>358</v>
      </c>
      <c r="B8" s="146" t="s">
        <v>664</v>
      </c>
      <c r="C8" s="146">
        <v>60</v>
      </c>
      <c r="D8" s="146" t="s">
        <v>298</v>
      </c>
      <c r="E8" s="146">
        <v>70</v>
      </c>
      <c r="F8" s="146" t="s">
        <v>297</v>
      </c>
      <c r="G8" s="146">
        <v>4.8500000000000005</v>
      </c>
      <c r="H8" s="146">
        <v>48.500000000000007</v>
      </c>
      <c r="I8" s="4">
        <v>25.4</v>
      </c>
      <c r="J8" s="165">
        <v>9.5299999999999994</v>
      </c>
      <c r="K8" s="165">
        <v>6.35</v>
      </c>
      <c r="L8" s="4">
        <v>6.22</v>
      </c>
      <c r="M8" s="4">
        <v>18.7</v>
      </c>
      <c r="N8" s="4">
        <v>6.35</v>
      </c>
      <c r="O8" s="4">
        <v>3.18</v>
      </c>
      <c r="P8" s="4">
        <v>6.24</v>
      </c>
      <c r="Q8" s="146">
        <v>0.38500000000000001</v>
      </c>
      <c r="R8" s="146">
        <v>38.5</v>
      </c>
      <c r="S8" s="2">
        <v>1.87</v>
      </c>
      <c r="T8" s="146">
        <v>1870</v>
      </c>
      <c r="U8" s="146">
        <f t="shared" si="0"/>
        <v>77.625600000000006</v>
      </c>
      <c r="V8" s="53">
        <f t="shared" si="1"/>
        <v>0.77625600000000006</v>
      </c>
      <c r="W8" s="34">
        <v>0.40600000000000003</v>
      </c>
      <c r="X8" s="34">
        <v>0.51</v>
      </c>
      <c r="Y8" s="53">
        <v>10.57</v>
      </c>
      <c r="Z8" s="53">
        <f t="shared" si="2"/>
        <v>12.44</v>
      </c>
      <c r="AA8" s="53">
        <f t="shared" si="3"/>
        <v>0.93499999999999961</v>
      </c>
    </row>
    <row r="9" spans="1:27">
      <c r="A9" s="146" t="s">
        <v>357</v>
      </c>
      <c r="B9" s="146" t="s">
        <v>664</v>
      </c>
      <c r="C9" s="146">
        <v>90</v>
      </c>
      <c r="D9" s="146" t="s">
        <v>298</v>
      </c>
      <c r="E9" s="146">
        <v>100</v>
      </c>
      <c r="F9" s="146" t="s">
        <v>297</v>
      </c>
      <c r="G9" s="146">
        <v>4.8500000000000005</v>
      </c>
      <c r="H9" s="146">
        <v>48.500000000000007</v>
      </c>
      <c r="I9" s="4">
        <v>25.4</v>
      </c>
      <c r="J9" s="165">
        <v>9.5299999999999994</v>
      </c>
      <c r="K9" s="165">
        <v>6.35</v>
      </c>
      <c r="L9" s="4">
        <v>6.22</v>
      </c>
      <c r="M9" s="4">
        <v>18.7</v>
      </c>
      <c r="N9" s="4">
        <v>6.35</v>
      </c>
      <c r="O9" s="4">
        <v>3.18</v>
      </c>
      <c r="P9" s="4">
        <v>6.24</v>
      </c>
      <c r="Q9" s="146">
        <v>0.38500000000000001</v>
      </c>
      <c r="R9" s="146">
        <v>38.5</v>
      </c>
      <c r="S9" s="2">
        <v>1.87</v>
      </c>
      <c r="T9" s="146">
        <v>1870</v>
      </c>
      <c r="U9" s="146">
        <f t="shared" si="0"/>
        <v>77.625600000000006</v>
      </c>
      <c r="V9" s="53">
        <f>0.01*U9</f>
        <v>0.77625600000000006</v>
      </c>
      <c r="W9" s="34">
        <v>0.40600000000000003</v>
      </c>
      <c r="X9" s="34">
        <v>0.51</v>
      </c>
      <c r="Y9" s="53">
        <v>10.57</v>
      </c>
      <c r="Z9" s="53">
        <f t="shared" si="2"/>
        <v>12.44</v>
      </c>
      <c r="AA9" s="53">
        <f t="shared" si="3"/>
        <v>0.93499999999999961</v>
      </c>
    </row>
    <row r="10" spans="1:27">
      <c r="A10" s="146" t="s">
        <v>356</v>
      </c>
      <c r="B10" s="146" t="s">
        <v>665</v>
      </c>
      <c r="C10" s="146">
        <v>26</v>
      </c>
      <c r="D10" s="146" t="s">
        <v>298</v>
      </c>
      <c r="E10" s="146">
        <v>33</v>
      </c>
      <c r="F10" s="146" t="s">
        <v>297</v>
      </c>
      <c r="G10" s="146">
        <v>6.56</v>
      </c>
      <c r="H10" s="146">
        <v>65.599999999999994</v>
      </c>
      <c r="I10" s="4">
        <v>30.1</v>
      </c>
      <c r="J10" s="165">
        <v>15</v>
      </c>
      <c r="K10" s="165">
        <v>7.06</v>
      </c>
      <c r="L10" s="4">
        <v>9.5500000000000007</v>
      </c>
      <c r="M10" s="4">
        <v>19.8</v>
      </c>
      <c r="N10" s="4">
        <v>6.96</v>
      </c>
      <c r="O10" s="4">
        <v>5.1100000000000003</v>
      </c>
      <c r="P10" s="4">
        <v>6.32</v>
      </c>
      <c r="Q10" s="146">
        <v>0.60099999999999998</v>
      </c>
      <c r="R10" s="146">
        <v>60.099999999999994</v>
      </c>
      <c r="S10" s="2">
        <v>3.94</v>
      </c>
      <c r="T10" s="146">
        <v>3940</v>
      </c>
      <c r="U10" s="146">
        <f t="shared" si="0"/>
        <v>120.71200000000002</v>
      </c>
      <c r="V10" s="53">
        <f t="shared" si="1"/>
        <v>1.2071200000000002</v>
      </c>
      <c r="W10" s="34">
        <v>0.83299999999999996</v>
      </c>
      <c r="X10" s="34">
        <f>W10</f>
        <v>0.83299999999999996</v>
      </c>
      <c r="Y10" s="53">
        <v>17.27</v>
      </c>
      <c r="Z10" s="53">
        <f t="shared" si="2"/>
        <v>19.100000000000001</v>
      </c>
      <c r="AA10" s="53">
        <f t="shared" si="3"/>
        <v>0.91500000000000092</v>
      </c>
    </row>
    <row r="11" spans="1:27">
      <c r="A11" s="146" t="s">
        <v>355</v>
      </c>
      <c r="B11" s="146" t="s">
        <v>665</v>
      </c>
      <c r="C11" s="146">
        <v>40</v>
      </c>
      <c r="D11" s="146" t="s">
        <v>298</v>
      </c>
      <c r="E11" s="146">
        <v>46</v>
      </c>
      <c r="F11" s="146" t="s">
        <v>297</v>
      </c>
      <c r="G11" s="146">
        <v>6.56</v>
      </c>
      <c r="H11" s="146">
        <v>65.599999999999994</v>
      </c>
      <c r="I11" s="4">
        <v>30.1</v>
      </c>
      <c r="J11" s="165">
        <v>15</v>
      </c>
      <c r="K11" s="165">
        <v>7.06</v>
      </c>
      <c r="L11" s="4">
        <v>9.5500000000000007</v>
      </c>
      <c r="M11" s="4">
        <v>19.8</v>
      </c>
      <c r="N11" s="4">
        <v>6.96</v>
      </c>
      <c r="O11" s="4">
        <v>5.1100000000000003</v>
      </c>
      <c r="P11" s="4">
        <v>6.32</v>
      </c>
      <c r="Q11" s="146">
        <v>0.60099999999999998</v>
      </c>
      <c r="R11" s="146">
        <v>60.099999999999994</v>
      </c>
      <c r="S11" s="2">
        <v>3.94</v>
      </c>
      <c r="T11" s="146">
        <v>3940</v>
      </c>
      <c r="U11" s="146">
        <f t="shared" si="0"/>
        <v>120.71200000000002</v>
      </c>
      <c r="V11" s="53">
        <f t="shared" si="1"/>
        <v>1.2071200000000002</v>
      </c>
      <c r="W11" s="34">
        <v>0.83299999999999996</v>
      </c>
      <c r="X11" s="34">
        <f>W11</f>
        <v>0.83299999999999996</v>
      </c>
      <c r="Y11" s="53">
        <v>17.27</v>
      </c>
      <c r="Z11" s="53">
        <f t="shared" si="2"/>
        <v>19.100000000000001</v>
      </c>
      <c r="AA11" s="53">
        <f t="shared" si="3"/>
        <v>0.91500000000000092</v>
      </c>
    </row>
    <row r="12" spans="1:27">
      <c r="A12" s="146" t="s">
        <v>354</v>
      </c>
      <c r="B12" s="146" t="s">
        <v>665</v>
      </c>
      <c r="C12" s="146">
        <v>60</v>
      </c>
      <c r="D12" s="146" t="s">
        <v>298</v>
      </c>
      <c r="E12" s="146">
        <v>71</v>
      </c>
      <c r="F12" s="146" t="s">
        <v>297</v>
      </c>
      <c r="G12" s="146">
        <v>6.56</v>
      </c>
      <c r="H12" s="146">
        <v>65.599999999999994</v>
      </c>
      <c r="I12" s="4">
        <v>30.1</v>
      </c>
      <c r="J12" s="165">
        <v>15</v>
      </c>
      <c r="K12" s="165">
        <v>7.06</v>
      </c>
      <c r="L12" s="4">
        <v>9.5500000000000007</v>
      </c>
      <c r="M12" s="4">
        <v>19.8</v>
      </c>
      <c r="N12" s="4">
        <v>6.96</v>
      </c>
      <c r="O12" s="4">
        <v>5.1100000000000003</v>
      </c>
      <c r="P12" s="4">
        <v>6.32</v>
      </c>
      <c r="Q12" s="146">
        <v>0.60099999999999998</v>
      </c>
      <c r="R12" s="146">
        <v>60.099999999999994</v>
      </c>
      <c r="S12" s="2">
        <v>3.94</v>
      </c>
      <c r="T12" s="146">
        <v>3940</v>
      </c>
      <c r="U12" s="146">
        <f t="shared" si="0"/>
        <v>120.71200000000002</v>
      </c>
      <c r="V12" s="53">
        <f t="shared" si="1"/>
        <v>1.2071200000000002</v>
      </c>
      <c r="W12" s="34">
        <v>0.83299999999999996</v>
      </c>
      <c r="X12" s="34">
        <f>W12</f>
        <v>0.83299999999999996</v>
      </c>
      <c r="Y12" s="53">
        <v>17.27</v>
      </c>
      <c r="Z12" s="53">
        <f t="shared" si="2"/>
        <v>19.100000000000001</v>
      </c>
      <c r="AA12" s="53">
        <f t="shared" si="3"/>
        <v>0.91500000000000092</v>
      </c>
    </row>
    <row r="13" spans="1:27">
      <c r="A13" s="146" t="s">
        <v>353</v>
      </c>
      <c r="B13" s="146" t="s">
        <v>665</v>
      </c>
      <c r="C13" s="146">
        <v>90</v>
      </c>
      <c r="D13" s="146" t="s">
        <v>298</v>
      </c>
      <c r="E13" s="146">
        <v>92</v>
      </c>
      <c r="F13" s="146" t="s">
        <v>297</v>
      </c>
      <c r="G13" s="146">
        <v>6.56</v>
      </c>
      <c r="H13" s="146">
        <v>65.599999999999994</v>
      </c>
      <c r="I13" s="4">
        <v>30.1</v>
      </c>
      <c r="J13" s="165">
        <v>15</v>
      </c>
      <c r="K13" s="165">
        <v>7.06</v>
      </c>
      <c r="L13" s="4">
        <v>9.5500000000000007</v>
      </c>
      <c r="M13" s="4">
        <v>19.8</v>
      </c>
      <c r="N13" s="4">
        <v>6.96</v>
      </c>
      <c r="O13" s="4">
        <v>5.1100000000000003</v>
      </c>
      <c r="P13" s="4">
        <v>6.32</v>
      </c>
      <c r="Q13" s="146">
        <v>0.60099999999999998</v>
      </c>
      <c r="R13" s="146">
        <v>60.099999999999994</v>
      </c>
      <c r="S13" s="2">
        <v>3.94</v>
      </c>
      <c r="T13" s="146">
        <v>3940</v>
      </c>
      <c r="U13" s="146">
        <f t="shared" si="0"/>
        <v>120.71200000000002</v>
      </c>
      <c r="V13" s="53">
        <f t="shared" si="1"/>
        <v>1.2071200000000002</v>
      </c>
      <c r="W13" s="34">
        <v>0.83299999999999996</v>
      </c>
      <c r="X13" s="34">
        <f>W13</f>
        <v>0.83299999999999996</v>
      </c>
      <c r="Y13" s="53">
        <v>17.27</v>
      </c>
      <c r="Z13" s="53">
        <f t="shared" si="2"/>
        <v>19.100000000000001</v>
      </c>
      <c r="AA13" s="53">
        <f t="shared" si="3"/>
        <v>0.91500000000000092</v>
      </c>
    </row>
    <row r="14" spans="1:27">
      <c r="A14" s="146" t="s">
        <v>351</v>
      </c>
      <c r="B14" s="146" t="s">
        <v>667</v>
      </c>
      <c r="C14" s="146">
        <v>26</v>
      </c>
      <c r="D14" s="146" t="s">
        <v>298</v>
      </c>
      <c r="E14" s="146">
        <v>56</v>
      </c>
      <c r="F14" s="146" t="s">
        <v>297</v>
      </c>
      <c r="G14" s="146">
        <v>6.94</v>
      </c>
      <c r="H14" s="146">
        <v>69.400000000000006</v>
      </c>
      <c r="I14" s="4">
        <v>34.54</v>
      </c>
      <c r="J14" s="4">
        <v>14.2</v>
      </c>
      <c r="K14" s="4">
        <v>9.35</v>
      </c>
      <c r="L14" s="4">
        <v>9.6</v>
      </c>
      <c r="M14" s="4">
        <v>25.2</v>
      </c>
      <c r="N14" s="4">
        <v>9.32</v>
      </c>
      <c r="O14" s="4">
        <v>4.45</v>
      </c>
      <c r="P14" s="4">
        <v>7.87</v>
      </c>
      <c r="Q14" s="2">
        <v>0.84</v>
      </c>
      <c r="R14" s="5">
        <v>84</v>
      </c>
      <c r="S14" s="2">
        <v>5.83</v>
      </c>
      <c r="T14" s="146">
        <v>5830</v>
      </c>
      <c r="U14" s="146">
        <f t="shared" si="0"/>
        <v>151.10399999999998</v>
      </c>
      <c r="V14" s="53">
        <f t="shared" si="1"/>
        <v>1.5110399999999999</v>
      </c>
      <c r="W14" s="34">
        <v>0.94799999999999995</v>
      </c>
      <c r="X14" s="34">
        <v>1.1299999999999999</v>
      </c>
      <c r="Y14" s="53">
        <v>16.59</v>
      </c>
      <c r="Z14" s="53">
        <f t="shared" si="2"/>
        <v>19.2</v>
      </c>
      <c r="AA14" s="53">
        <f t="shared" si="3"/>
        <v>1.3049999999999997</v>
      </c>
    </row>
    <row r="15" spans="1:27">
      <c r="A15" s="146" t="s">
        <v>350</v>
      </c>
      <c r="B15" s="146" t="s">
        <v>667</v>
      </c>
      <c r="C15" s="146">
        <v>40</v>
      </c>
      <c r="D15" s="146" t="s">
        <v>298</v>
      </c>
      <c r="E15" s="146">
        <v>75</v>
      </c>
      <c r="F15" s="146" t="s">
        <v>297</v>
      </c>
      <c r="G15" s="146">
        <v>6.94</v>
      </c>
      <c r="H15" s="146">
        <v>69.400000000000006</v>
      </c>
      <c r="I15" s="4">
        <v>34.54</v>
      </c>
      <c r="J15" s="4">
        <v>14.2</v>
      </c>
      <c r="K15" s="4">
        <v>9.35</v>
      </c>
      <c r="L15" s="4">
        <v>9.6</v>
      </c>
      <c r="M15" s="4">
        <v>25.2</v>
      </c>
      <c r="N15" s="4">
        <v>9.32</v>
      </c>
      <c r="O15" s="4">
        <v>4.45</v>
      </c>
      <c r="P15" s="4">
        <v>7.87</v>
      </c>
      <c r="Q15" s="2">
        <v>0.84</v>
      </c>
      <c r="R15" s="5">
        <v>84</v>
      </c>
      <c r="S15" s="2">
        <v>5.83</v>
      </c>
      <c r="T15" s="146">
        <v>5830</v>
      </c>
      <c r="U15" s="146">
        <f t="shared" si="0"/>
        <v>151.10399999999998</v>
      </c>
      <c r="V15" s="53">
        <f t="shared" si="1"/>
        <v>1.5110399999999999</v>
      </c>
      <c r="W15" s="34">
        <v>0.94799999999999995</v>
      </c>
      <c r="X15" s="34">
        <v>1.1299999999999999</v>
      </c>
      <c r="Y15" s="53">
        <v>16.59</v>
      </c>
      <c r="Z15" s="53">
        <f t="shared" si="2"/>
        <v>19.2</v>
      </c>
      <c r="AA15" s="53">
        <f t="shared" si="3"/>
        <v>1.3049999999999997</v>
      </c>
    </row>
    <row r="16" spans="1:27">
      <c r="A16" s="146" t="s">
        <v>349</v>
      </c>
      <c r="B16" s="146" t="s">
        <v>667</v>
      </c>
      <c r="C16" s="146">
        <v>60</v>
      </c>
      <c r="D16" s="146" t="s">
        <v>298</v>
      </c>
      <c r="E16" s="146">
        <v>102</v>
      </c>
      <c r="F16" s="146" t="s">
        <v>297</v>
      </c>
      <c r="G16" s="146">
        <v>6.94</v>
      </c>
      <c r="H16" s="146">
        <v>69.400000000000006</v>
      </c>
      <c r="I16" s="4">
        <v>34.54</v>
      </c>
      <c r="J16" s="4">
        <v>14.2</v>
      </c>
      <c r="K16" s="4">
        <v>9.35</v>
      </c>
      <c r="L16" s="4">
        <v>9.6</v>
      </c>
      <c r="M16" s="4">
        <v>25.2</v>
      </c>
      <c r="N16" s="4">
        <v>9.32</v>
      </c>
      <c r="O16" s="4">
        <v>4.45</v>
      </c>
      <c r="P16" s="4">
        <v>7.87</v>
      </c>
      <c r="Q16" s="2">
        <v>0.84</v>
      </c>
      <c r="R16" s="5">
        <v>84</v>
      </c>
      <c r="S16" s="2">
        <v>5.83</v>
      </c>
      <c r="T16" s="146">
        <v>5830</v>
      </c>
      <c r="U16" s="146">
        <f t="shared" si="0"/>
        <v>151.10399999999998</v>
      </c>
      <c r="V16" s="53">
        <f t="shared" si="1"/>
        <v>1.5110399999999999</v>
      </c>
      <c r="W16" s="34">
        <v>0.94799999999999995</v>
      </c>
      <c r="X16" s="34">
        <v>1.1299999999999999</v>
      </c>
      <c r="Y16" s="53">
        <v>16.59</v>
      </c>
      <c r="Z16" s="53">
        <f t="shared" si="2"/>
        <v>19.2</v>
      </c>
      <c r="AA16" s="53">
        <f t="shared" si="3"/>
        <v>1.3049999999999997</v>
      </c>
    </row>
    <row r="17" spans="1:27">
      <c r="A17" s="146" t="s">
        <v>348</v>
      </c>
      <c r="B17" s="146" t="s">
        <v>667</v>
      </c>
      <c r="C17" s="146">
        <v>90</v>
      </c>
      <c r="D17" s="146" t="s">
        <v>298</v>
      </c>
      <c r="E17" s="146">
        <v>146</v>
      </c>
      <c r="F17" s="146" t="s">
        <v>297</v>
      </c>
      <c r="G17" s="146">
        <v>6.94</v>
      </c>
      <c r="H17" s="146">
        <v>69.400000000000006</v>
      </c>
      <c r="I17" s="4">
        <v>34.54</v>
      </c>
      <c r="J17" s="4">
        <v>14.2</v>
      </c>
      <c r="K17" s="4">
        <v>9.35</v>
      </c>
      <c r="L17" s="4">
        <v>9.6</v>
      </c>
      <c r="M17" s="4">
        <v>25.2</v>
      </c>
      <c r="N17" s="4">
        <v>9.32</v>
      </c>
      <c r="O17" s="4">
        <v>4.45</v>
      </c>
      <c r="P17" s="4">
        <v>7.87</v>
      </c>
      <c r="Q17" s="2">
        <v>0.84</v>
      </c>
      <c r="R17" s="5">
        <v>84</v>
      </c>
      <c r="S17" s="2">
        <v>5.83</v>
      </c>
      <c r="T17" s="146">
        <v>5830</v>
      </c>
      <c r="U17" s="146">
        <f t="shared" si="0"/>
        <v>151.10399999999998</v>
      </c>
      <c r="V17" s="53">
        <f t="shared" si="1"/>
        <v>1.5110399999999999</v>
      </c>
      <c r="W17" s="34">
        <v>0.94799999999999995</v>
      </c>
      <c r="X17" s="34">
        <v>1.1299999999999999</v>
      </c>
      <c r="Y17" s="53">
        <v>16.59</v>
      </c>
      <c r="Z17" s="53">
        <f t="shared" si="2"/>
        <v>19.2</v>
      </c>
      <c r="AA17" s="53">
        <f t="shared" si="3"/>
        <v>1.3049999999999997</v>
      </c>
    </row>
    <row r="18" spans="1:27">
      <c r="A18" s="146" t="s">
        <v>347</v>
      </c>
      <c r="B18" s="146" t="s">
        <v>668</v>
      </c>
      <c r="C18" s="146">
        <v>26</v>
      </c>
      <c r="D18" s="146" t="s">
        <v>298</v>
      </c>
      <c r="E18" s="146">
        <v>56</v>
      </c>
      <c r="F18" s="146" t="s">
        <v>297</v>
      </c>
      <c r="G18" s="146">
        <v>9.84</v>
      </c>
      <c r="H18" s="146">
        <v>98.4</v>
      </c>
      <c r="I18" s="4">
        <v>42.85</v>
      </c>
      <c r="J18" s="4">
        <v>21.1</v>
      </c>
      <c r="K18" s="4">
        <v>10.8</v>
      </c>
      <c r="L18" s="4">
        <v>14.9</v>
      </c>
      <c r="M18" s="4">
        <v>30.35</v>
      </c>
      <c r="N18" s="4">
        <v>11.9</v>
      </c>
      <c r="O18" s="4">
        <v>5.94</v>
      </c>
      <c r="P18" s="4">
        <v>9.27</v>
      </c>
      <c r="Q18" s="146">
        <v>1.28</v>
      </c>
      <c r="R18" s="146">
        <v>128</v>
      </c>
      <c r="S18" s="146">
        <v>12.6</v>
      </c>
      <c r="T18" s="146">
        <v>12600</v>
      </c>
      <c r="U18" s="146">
        <f t="shared" si="0"/>
        <v>276.24599999999998</v>
      </c>
      <c r="V18" s="53">
        <f t="shared" si="1"/>
        <v>2.7624599999999999</v>
      </c>
      <c r="W18" s="34">
        <f>V18*0.7</f>
        <v>1.9337219999999997</v>
      </c>
      <c r="X18" s="34">
        <f>V18*0.7</f>
        <v>1.9337219999999997</v>
      </c>
      <c r="Y18" s="53">
        <f>0.85*Z18</f>
        <v>25.33</v>
      </c>
      <c r="Z18" s="53">
        <f t="shared" si="2"/>
        <v>29.8</v>
      </c>
      <c r="AA18" s="53">
        <f t="shared" si="3"/>
        <v>2.2350000000000012</v>
      </c>
    </row>
    <row r="19" spans="1:27">
      <c r="A19" s="146" t="s">
        <v>346</v>
      </c>
      <c r="B19" s="146" t="s">
        <v>668</v>
      </c>
      <c r="C19" s="146">
        <v>40</v>
      </c>
      <c r="D19" s="146" t="s">
        <v>298</v>
      </c>
      <c r="E19" s="146">
        <v>76</v>
      </c>
      <c r="F19" s="146" t="s">
        <v>297</v>
      </c>
      <c r="G19" s="146">
        <v>9.84</v>
      </c>
      <c r="H19" s="146">
        <v>98.4</v>
      </c>
      <c r="I19" s="4">
        <v>42.85</v>
      </c>
      <c r="J19" s="4">
        <v>21.1</v>
      </c>
      <c r="K19" s="4">
        <v>10.8</v>
      </c>
      <c r="L19" s="4">
        <v>14.9</v>
      </c>
      <c r="M19" s="4">
        <v>30.35</v>
      </c>
      <c r="N19" s="4">
        <v>11.9</v>
      </c>
      <c r="O19" s="4">
        <v>5.94</v>
      </c>
      <c r="P19" s="4">
        <v>9.27</v>
      </c>
      <c r="Q19" s="146">
        <v>1.28</v>
      </c>
      <c r="R19" s="146">
        <v>128</v>
      </c>
      <c r="S19" s="146">
        <v>12.6</v>
      </c>
      <c r="T19" s="146">
        <v>12600</v>
      </c>
      <c r="U19" s="146">
        <f t="shared" si="0"/>
        <v>276.24599999999998</v>
      </c>
      <c r="V19" s="53">
        <f t="shared" si="1"/>
        <v>2.7624599999999999</v>
      </c>
      <c r="W19" s="34">
        <f>V19*0.7</f>
        <v>1.9337219999999997</v>
      </c>
      <c r="X19" s="34">
        <f>V19*0.7</f>
        <v>1.9337219999999997</v>
      </c>
      <c r="Y19" s="53">
        <f>0.85*Z19</f>
        <v>25.33</v>
      </c>
      <c r="Z19" s="53">
        <f t="shared" si="2"/>
        <v>29.8</v>
      </c>
      <c r="AA19" s="53">
        <f t="shared" si="3"/>
        <v>2.2350000000000012</v>
      </c>
    </row>
    <row r="20" spans="1:27">
      <c r="A20" s="146" t="s">
        <v>345</v>
      </c>
      <c r="B20" s="146" t="s">
        <v>668</v>
      </c>
      <c r="C20" s="146">
        <v>60</v>
      </c>
      <c r="D20" s="146" t="s">
        <v>298</v>
      </c>
      <c r="E20" s="146">
        <v>105</v>
      </c>
      <c r="F20" s="146" t="s">
        <v>297</v>
      </c>
      <c r="G20" s="146">
        <v>9.84</v>
      </c>
      <c r="H20" s="146">
        <v>98.4</v>
      </c>
      <c r="I20" s="4">
        <v>42.85</v>
      </c>
      <c r="J20" s="4">
        <v>21.1</v>
      </c>
      <c r="K20" s="4">
        <v>10.8</v>
      </c>
      <c r="L20" s="4">
        <v>14.9</v>
      </c>
      <c r="M20" s="4">
        <v>30.35</v>
      </c>
      <c r="N20" s="4">
        <v>11.9</v>
      </c>
      <c r="O20" s="4">
        <v>5.94</v>
      </c>
      <c r="P20" s="4">
        <v>9.27</v>
      </c>
      <c r="Q20" s="146">
        <v>1.28</v>
      </c>
      <c r="R20" s="146">
        <v>128</v>
      </c>
      <c r="S20" s="146">
        <v>12.6</v>
      </c>
      <c r="T20" s="146">
        <v>12600</v>
      </c>
      <c r="U20" s="146">
        <f t="shared" si="0"/>
        <v>276.24599999999998</v>
      </c>
      <c r="V20" s="53">
        <f t="shared" si="1"/>
        <v>2.7624599999999999</v>
      </c>
      <c r="W20" s="34">
        <f>V20*0.7</f>
        <v>1.9337219999999997</v>
      </c>
      <c r="X20" s="34">
        <f>V20*0.7</f>
        <v>1.9337219999999997</v>
      </c>
      <c r="Y20" s="53">
        <f>0.85*Z20</f>
        <v>25.33</v>
      </c>
      <c r="Z20" s="53">
        <f t="shared" si="2"/>
        <v>29.8</v>
      </c>
      <c r="AA20" s="53">
        <f t="shared" si="3"/>
        <v>2.2350000000000012</v>
      </c>
    </row>
    <row r="21" spans="1:27">
      <c r="A21" s="146" t="s">
        <v>344</v>
      </c>
      <c r="B21" s="146" t="s">
        <v>668</v>
      </c>
      <c r="C21" s="146">
        <v>90</v>
      </c>
      <c r="D21" s="146" t="s">
        <v>298</v>
      </c>
      <c r="E21" s="146">
        <v>151</v>
      </c>
      <c r="F21" s="146" t="s">
        <v>297</v>
      </c>
      <c r="G21" s="146">
        <v>9.84</v>
      </c>
      <c r="H21" s="146">
        <v>98.4</v>
      </c>
      <c r="I21" s="4">
        <v>42.85</v>
      </c>
      <c r="J21" s="4">
        <v>21.1</v>
      </c>
      <c r="K21" s="4">
        <v>10.8</v>
      </c>
      <c r="L21" s="4">
        <v>14.9</v>
      </c>
      <c r="M21" s="4">
        <v>30.35</v>
      </c>
      <c r="N21" s="4">
        <v>11.9</v>
      </c>
      <c r="O21" s="4">
        <v>5.94</v>
      </c>
      <c r="P21" s="4">
        <v>9.27</v>
      </c>
      <c r="Q21" s="146">
        <v>1.28</v>
      </c>
      <c r="R21" s="146">
        <v>128</v>
      </c>
      <c r="S21" s="146">
        <v>12.6</v>
      </c>
      <c r="T21" s="146">
        <v>12600</v>
      </c>
      <c r="U21" s="146">
        <f t="shared" si="0"/>
        <v>276.24599999999998</v>
      </c>
      <c r="V21" s="53">
        <f t="shared" si="1"/>
        <v>2.7624599999999999</v>
      </c>
      <c r="W21" s="34">
        <f>V21*0.7</f>
        <v>1.9337219999999997</v>
      </c>
      <c r="X21" s="34">
        <f>V21*0.7</f>
        <v>1.9337219999999997</v>
      </c>
      <c r="Y21" s="53">
        <f>0.85*Z21</f>
        <v>25.33</v>
      </c>
      <c r="Z21" s="53">
        <f t="shared" si="2"/>
        <v>29.8</v>
      </c>
      <c r="AA21" s="53">
        <f t="shared" si="3"/>
        <v>2.2350000000000012</v>
      </c>
    </row>
    <row r="22" spans="1:27">
      <c r="A22" s="146" t="s">
        <v>343</v>
      </c>
      <c r="B22" s="146" t="s">
        <v>669</v>
      </c>
      <c r="C22" s="146">
        <v>26</v>
      </c>
      <c r="D22" s="146" t="s">
        <v>298</v>
      </c>
      <c r="E22" s="146">
        <v>80</v>
      </c>
      <c r="F22" s="146" t="s">
        <v>297</v>
      </c>
      <c r="G22" s="146">
        <v>9.84</v>
      </c>
      <c r="H22" s="146">
        <v>98.4</v>
      </c>
      <c r="I22" s="4">
        <v>42.85</v>
      </c>
      <c r="J22" s="4">
        <v>21.1</v>
      </c>
      <c r="K22" s="4">
        <v>15.4</v>
      </c>
      <c r="L22" s="4">
        <v>14.9</v>
      </c>
      <c r="M22" s="4">
        <v>30.35</v>
      </c>
      <c r="N22" s="4">
        <v>11.9</v>
      </c>
      <c r="O22" s="4">
        <v>5.94</v>
      </c>
      <c r="P22" s="4">
        <v>9.27</v>
      </c>
      <c r="Q22" s="146">
        <v>1.83</v>
      </c>
      <c r="R22" s="146">
        <v>183</v>
      </c>
      <c r="S22" s="5">
        <v>18</v>
      </c>
      <c r="T22" s="146">
        <v>18000</v>
      </c>
      <c r="U22" s="146">
        <f>2*L22*P22</f>
        <v>276.24599999999998</v>
      </c>
      <c r="V22" s="53">
        <f t="shared" si="1"/>
        <v>2.7624599999999999</v>
      </c>
      <c r="W22" s="34">
        <v>1.94</v>
      </c>
      <c r="X22" s="34">
        <v>2.0699999999999998</v>
      </c>
      <c r="Y22" s="53">
        <v>25.9</v>
      </c>
      <c r="Z22" s="53">
        <f t="shared" si="2"/>
        <v>29.8</v>
      </c>
      <c r="AA22" s="53">
        <f t="shared" si="3"/>
        <v>1.9500000000000011</v>
      </c>
    </row>
    <row r="23" spans="1:27">
      <c r="A23" s="146" t="s">
        <v>342</v>
      </c>
      <c r="B23" s="146" t="s">
        <v>669</v>
      </c>
      <c r="C23" s="146">
        <v>40</v>
      </c>
      <c r="D23" s="146" t="s">
        <v>298</v>
      </c>
      <c r="E23" s="146">
        <v>108</v>
      </c>
      <c r="F23" s="146" t="s">
        <v>297</v>
      </c>
      <c r="G23" s="146">
        <v>9.84</v>
      </c>
      <c r="H23" s="146">
        <v>98.4</v>
      </c>
      <c r="I23" s="4">
        <v>42.85</v>
      </c>
      <c r="J23" s="4">
        <v>21.1</v>
      </c>
      <c r="K23" s="4">
        <v>15.4</v>
      </c>
      <c r="L23" s="4">
        <v>14.9</v>
      </c>
      <c r="M23" s="4">
        <v>30.35</v>
      </c>
      <c r="N23" s="4">
        <v>11.9</v>
      </c>
      <c r="O23" s="4">
        <v>5.94</v>
      </c>
      <c r="P23" s="4">
        <v>9.27</v>
      </c>
      <c r="Q23" s="146">
        <v>1.83</v>
      </c>
      <c r="R23" s="146">
        <v>183</v>
      </c>
      <c r="S23" s="5">
        <v>18</v>
      </c>
      <c r="T23" s="146">
        <v>18000</v>
      </c>
      <c r="U23" s="146">
        <f t="shared" si="0"/>
        <v>276.24599999999998</v>
      </c>
      <c r="V23" s="53">
        <f t="shared" si="1"/>
        <v>2.7624599999999999</v>
      </c>
      <c r="W23" s="34">
        <v>1.94</v>
      </c>
      <c r="X23" s="34">
        <v>2.0699999999999998</v>
      </c>
      <c r="Y23" s="53">
        <v>25.9</v>
      </c>
      <c r="Z23" s="53">
        <f t="shared" si="2"/>
        <v>29.8</v>
      </c>
      <c r="AA23" s="53">
        <f t="shared" si="3"/>
        <v>1.9500000000000011</v>
      </c>
    </row>
    <row r="24" spans="1:27">
      <c r="A24" s="146" t="s">
        <v>341</v>
      </c>
      <c r="B24" s="146" t="s">
        <v>669</v>
      </c>
      <c r="C24" s="146">
        <v>60</v>
      </c>
      <c r="D24" s="146" t="s">
        <v>298</v>
      </c>
      <c r="E24" s="146">
        <v>150</v>
      </c>
      <c r="F24" s="146" t="s">
        <v>297</v>
      </c>
      <c r="G24" s="146">
        <v>9.84</v>
      </c>
      <c r="H24" s="146">
        <v>98.4</v>
      </c>
      <c r="I24" s="4">
        <v>42.85</v>
      </c>
      <c r="J24" s="4">
        <v>21.1</v>
      </c>
      <c r="K24" s="4">
        <v>15.4</v>
      </c>
      <c r="L24" s="4">
        <v>14.9</v>
      </c>
      <c r="M24" s="4">
        <v>30.35</v>
      </c>
      <c r="N24" s="4">
        <v>11.9</v>
      </c>
      <c r="O24" s="4">
        <v>5.94</v>
      </c>
      <c r="P24" s="4">
        <v>9.27</v>
      </c>
      <c r="Q24" s="146">
        <v>1.83</v>
      </c>
      <c r="R24" s="146">
        <v>183</v>
      </c>
      <c r="S24" s="5">
        <v>18</v>
      </c>
      <c r="T24" s="146">
        <v>18000</v>
      </c>
      <c r="U24" s="146">
        <f t="shared" si="0"/>
        <v>276.24599999999998</v>
      </c>
      <c r="V24" s="53">
        <f t="shared" si="1"/>
        <v>2.7624599999999999</v>
      </c>
      <c r="W24" s="34">
        <v>1.94</v>
      </c>
      <c r="X24" s="34">
        <v>2.0699999999999998</v>
      </c>
      <c r="Y24" s="53">
        <v>25.9</v>
      </c>
      <c r="Z24" s="53">
        <f t="shared" si="2"/>
        <v>29.8</v>
      </c>
      <c r="AA24" s="53">
        <f t="shared" si="3"/>
        <v>1.9500000000000011</v>
      </c>
    </row>
    <row r="25" spans="1:27">
      <c r="A25" s="146" t="s">
        <v>340</v>
      </c>
      <c r="B25" s="146" t="s">
        <v>669</v>
      </c>
      <c r="C25" s="146">
        <v>90</v>
      </c>
      <c r="D25" s="146" t="s">
        <v>298</v>
      </c>
      <c r="E25" s="146">
        <v>217</v>
      </c>
      <c r="F25" s="146" t="s">
        <v>297</v>
      </c>
      <c r="G25" s="146">
        <v>9.84</v>
      </c>
      <c r="H25" s="146">
        <v>98.4</v>
      </c>
      <c r="I25" s="4">
        <v>42.85</v>
      </c>
      <c r="J25" s="4">
        <v>21.1</v>
      </c>
      <c r="K25" s="4">
        <v>15.4</v>
      </c>
      <c r="L25" s="4">
        <v>14.9</v>
      </c>
      <c r="M25" s="4">
        <v>30.35</v>
      </c>
      <c r="N25" s="4">
        <v>11.9</v>
      </c>
      <c r="O25" s="4">
        <v>5.94</v>
      </c>
      <c r="P25" s="4">
        <v>9.27</v>
      </c>
      <c r="Q25" s="146">
        <v>1.83</v>
      </c>
      <c r="R25" s="146">
        <v>183</v>
      </c>
      <c r="S25" s="5">
        <v>18</v>
      </c>
      <c r="T25" s="146">
        <v>18000</v>
      </c>
      <c r="U25" s="146">
        <f t="shared" si="0"/>
        <v>276.24599999999998</v>
      </c>
      <c r="V25" s="53">
        <f t="shared" si="1"/>
        <v>2.7624599999999999</v>
      </c>
      <c r="W25" s="34">
        <v>1.94</v>
      </c>
      <c r="X25" s="34">
        <v>2.0699999999999998</v>
      </c>
      <c r="Y25" s="53">
        <v>25.9</v>
      </c>
      <c r="Z25" s="53">
        <f t="shared" si="2"/>
        <v>29.8</v>
      </c>
      <c r="AA25" s="53">
        <f t="shared" si="3"/>
        <v>1.9500000000000011</v>
      </c>
    </row>
    <row r="26" spans="1:27">
      <c r="A26" s="146" t="s">
        <v>339</v>
      </c>
      <c r="B26" s="146" t="s">
        <v>670</v>
      </c>
      <c r="C26" s="146">
        <v>26</v>
      </c>
      <c r="D26" s="146" t="s">
        <v>298</v>
      </c>
      <c r="E26" s="146">
        <v>104</v>
      </c>
      <c r="F26" s="146" t="s">
        <v>297</v>
      </c>
      <c r="G26" s="146">
        <v>9.84</v>
      </c>
      <c r="H26" s="146">
        <v>98.4</v>
      </c>
      <c r="I26" s="4">
        <v>42.85</v>
      </c>
      <c r="J26" s="4">
        <v>21.1</v>
      </c>
      <c r="K26" s="4">
        <v>20</v>
      </c>
      <c r="L26" s="4">
        <v>14.9</v>
      </c>
      <c r="M26" s="4">
        <v>30.35</v>
      </c>
      <c r="N26" s="4">
        <v>11.9</v>
      </c>
      <c r="O26" s="4">
        <v>5.94</v>
      </c>
      <c r="P26" s="4">
        <v>9.27</v>
      </c>
      <c r="Q26" s="146">
        <v>2.37</v>
      </c>
      <c r="R26" s="146">
        <v>237</v>
      </c>
      <c r="S26" s="146">
        <v>23.3</v>
      </c>
      <c r="T26" s="146">
        <v>23300</v>
      </c>
      <c r="U26" s="146">
        <f t="shared" si="0"/>
        <v>276.24599999999998</v>
      </c>
      <c r="V26" s="53">
        <f t="shared" si="1"/>
        <v>2.7624599999999999</v>
      </c>
      <c r="W26" s="34">
        <v>1.94</v>
      </c>
      <c r="X26" s="34">
        <f>W26</f>
        <v>1.94</v>
      </c>
      <c r="Y26" s="53">
        <v>26</v>
      </c>
      <c r="Z26" s="53">
        <f t="shared" si="2"/>
        <v>29.8</v>
      </c>
      <c r="AA26" s="53">
        <f t="shared" si="3"/>
        <v>1.9000000000000004</v>
      </c>
    </row>
    <row r="27" spans="1:27">
      <c r="A27" s="146" t="s">
        <v>338</v>
      </c>
      <c r="B27" s="146" t="s">
        <v>670</v>
      </c>
      <c r="C27" s="146">
        <v>40</v>
      </c>
      <c r="D27" s="146" t="s">
        <v>298</v>
      </c>
      <c r="E27" s="146">
        <v>140</v>
      </c>
      <c r="F27" s="146" t="s">
        <v>297</v>
      </c>
      <c r="G27" s="146">
        <v>9.84</v>
      </c>
      <c r="H27" s="146">
        <v>98.4</v>
      </c>
      <c r="I27" s="4">
        <v>42.85</v>
      </c>
      <c r="J27" s="4">
        <v>21.1</v>
      </c>
      <c r="K27" s="4">
        <v>20</v>
      </c>
      <c r="L27" s="4">
        <v>14.9</v>
      </c>
      <c r="M27" s="4">
        <v>30.35</v>
      </c>
      <c r="N27" s="4">
        <v>11.9</v>
      </c>
      <c r="O27" s="4">
        <v>5.94</v>
      </c>
      <c r="P27" s="4">
        <v>9.27</v>
      </c>
      <c r="Q27" s="146">
        <v>2.37</v>
      </c>
      <c r="R27" s="146">
        <v>237</v>
      </c>
      <c r="S27" s="146">
        <v>23.3</v>
      </c>
      <c r="T27" s="146">
        <v>23300</v>
      </c>
      <c r="U27" s="146">
        <f t="shared" si="0"/>
        <v>276.24599999999998</v>
      </c>
      <c r="V27" s="53">
        <f t="shared" si="1"/>
        <v>2.7624599999999999</v>
      </c>
      <c r="W27" s="34">
        <v>1.94</v>
      </c>
      <c r="X27" s="34">
        <f>W27</f>
        <v>1.94</v>
      </c>
      <c r="Y27" s="53">
        <v>26</v>
      </c>
      <c r="Z27" s="53">
        <f t="shared" si="2"/>
        <v>29.8</v>
      </c>
      <c r="AA27" s="53">
        <f t="shared" si="3"/>
        <v>1.9000000000000004</v>
      </c>
    </row>
    <row r="28" spans="1:27">
      <c r="A28" s="146" t="s">
        <v>337</v>
      </c>
      <c r="B28" s="146" t="s">
        <v>670</v>
      </c>
      <c r="C28" s="146">
        <v>60</v>
      </c>
      <c r="D28" s="146" t="s">
        <v>298</v>
      </c>
      <c r="E28" s="146">
        <v>194</v>
      </c>
      <c r="F28" s="146" t="s">
        <v>297</v>
      </c>
      <c r="G28" s="146">
        <v>9.84</v>
      </c>
      <c r="H28" s="146">
        <v>98.4</v>
      </c>
      <c r="I28" s="4">
        <v>42.85</v>
      </c>
      <c r="J28" s="4">
        <v>21.1</v>
      </c>
      <c r="K28" s="4">
        <v>20</v>
      </c>
      <c r="L28" s="4">
        <v>14.9</v>
      </c>
      <c r="M28" s="4">
        <v>30.35</v>
      </c>
      <c r="N28" s="4">
        <v>11.9</v>
      </c>
      <c r="O28" s="4">
        <v>5.94</v>
      </c>
      <c r="P28" s="4">
        <v>9.27</v>
      </c>
      <c r="Q28" s="146">
        <v>2.37</v>
      </c>
      <c r="R28" s="146">
        <v>237</v>
      </c>
      <c r="S28" s="146">
        <v>23.3</v>
      </c>
      <c r="T28" s="146">
        <v>23300</v>
      </c>
      <c r="U28" s="146">
        <f t="shared" si="0"/>
        <v>276.24599999999998</v>
      </c>
      <c r="V28" s="53">
        <f t="shared" si="1"/>
        <v>2.7624599999999999</v>
      </c>
      <c r="W28" s="34">
        <v>1.94</v>
      </c>
      <c r="X28" s="34">
        <f>W28</f>
        <v>1.94</v>
      </c>
      <c r="Y28" s="53">
        <v>26</v>
      </c>
      <c r="Z28" s="53">
        <f t="shared" si="2"/>
        <v>29.8</v>
      </c>
      <c r="AA28" s="53">
        <f t="shared" si="3"/>
        <v>1.9000000000000004</v>
      </c>
    </row>
    <row r="29" spans="1:27">
      <c r="A29" s="146" t="s">
        <v>336</v>
      </c>
      <c r="B29" s="146" t="s">
        <v>670</v>
      </c>
      <c r="C29" s="146">
        <v>90</v>
      </c>
      <c r="D29" s="146" t="s">
        <v>298</v>
      </c>
      <c r="E29" s="146">
        <v>281</v>
      </c>
      <c r="F29" s="146" t="s">
        <v>297</v>
      </c>
      <c r="G29" s="146">
        <v>9.84</v>
      </c>
      <c r="H29" s="146">
        <v>98.4</v>
      </c>
      <c r="I29" s="4">
        <v>42.85</v>
      </c>
      <c r="J29" s="4">
        <v>21.1</v>
      </c>
      <c r="K29" s="4">
        <v>20</v>
      </c>
      <c r="L29" s="4">
        <v>14.9</v>
      </c>
      <c r="M29" s="4">
        <v>30.35</v>
      </c>
      <c r="N29" s="4">
        <v>11.9</v>
      </c>
      <c r="O29" s="4">
        <v>5.94</v>
      </c>
      <c r="P29" s="4">
        <v>9.27</v>
      </c>
      <c r="Q29" s="146">
        <v>2.37</v>
      </c>
      <c r="R29" s="146">
        <v>237</v>
      </c>
      <c r="S29" s="146">
        <v>23.3</v>
      </c>
      <c r="T29" s="146">
        <v>23300</v>
      </c>
      <c r="U29" s="146">
        <f t="shared" si="0"/>
        <v>276.24599999999998</v>
      </c>
      <c r="V29" s="53">
        <f t="shared" si="1"/>
        <v>2.7624599999999999</v>
      </c>
      <c r="W29" s="34">
        <v>1.94</v>
      </c>
      <c r="X29" s="34">
        <f>W29</f>
        <v>1.94</v>
      </c>
      <c r="Y29" s="53">
        <v>26</v>
      </c>
      <c r="Z29" s="53">
        <f t="shared" si="2"/>
        <v>29.8</v>
      </c>
      <c r="AA29" s="53">
        <f t="shared" si="3"/>
        <v>1.9000000000000004</v>
      </c>
    </row>
    <row r="30" spans="1:27">
      <c r="A30" s="146" t="s">
        <v>330</v>
      </c>
      <c r="B30" s="146" t="s">
        <v>674</v>
      </c>
      <c r="C30" s="146">
        <v>26</v>
      </c>
      <c r="D30" s="146" t="s">
        <v>298</v>
      </c>
      <c r="E30" s="146">
        <v>88</v>
      </c>
      <c r="F30" s="146" t="s">
        <v>297</v>
      </c>
      <c r="G30" s="146">
        <v>7.75</v>
      </c>
      <c r="H30" s="146">
        <v>77.5</v>
      </c>
      <c r="I30" s="4">
        <v>40.869999999999997</v>
      </c>
      <c r="J30" s="4">
        <v>16.5</v>
      </c>
      <c r="K30" s="4">
        <v>12.5</v>
      </c>
      <c r="L30" s="4">
        <v>10.3</v>
      </c>
      <c r="M30" s="4">
        <v>28.32</v>
      </c>
      <c r="N30" s="4">
        <v>12.5</v>
      </c>
      <c r="O30" s="4">
        <v>6.05</v>
      </c>
      <c r="P30" s="4">
        <v>7.87</v>
      </c>
      <c r="Q30" s="146">
        <v>1.52</v>
      </c>
      <c r="R30" s="146">
        <v>152</v>
      </c>
      <c r="S30" s="146">
        <v>11.8</v>
      </c>
      <c r="T30" s="146">
        <v>11800</v>
      </c>
      <c r="U30" s="146">
        <f t="shared" si="0"/>
        <v>162.12200000000001</v>
      </c>
      <c r="V30" s="53">
        <f t="shared" si="1"/>
        <v>1.6212200000000001</v>
      </c>
      <c r="W30" s="34">
        <v>1.01</v>
      </c>
      <c r="X30" s="34">
        <v>1.26</v>
      </c>
      <c r="Y30" s="53">
        <v>18.11</v>
      </c>
      <c r="Z30" s="53">
        <f t="shared" si="2"/>
        <v>20.6</v>
      </c>
      <c r="AA30" s="53">
        <f t="shared" si="3"/>
        <v>1.245000000000001</v>
      </c>
    </row>
    <row r="31" spans="1:27">
      <c r="A31" s="146" t="s">
        <v>329</v>
      </c>
      <c r="B31" s="146" t="s">
        <v>674</v>
      </c>
      <c r="C31" s="146">
        <v>40</v>
      </c>
      <c r="D31" s="146" t="s">
        <v>298</v>
      </c>
      <c r="E31" s="146">
        <v>119</v>
      </c>
      <c r="F31" s="146" t="s">
        <v>297</v>
      </c>
      <c r="G31" s="146">
        <v>7.75</v>
      </c>
      <c r="H31" s="146">
        <v>77.5</v>
      </c>
      <c r="I31" s="4">
        <v>40.869999999999997</v>
      </c>
      <c r="J31" s="4">
        <v>16.5</v>
      </c>
      <c r="K31" s="4">
        <v>12.5</v>
      </c>
      <c r="L31" s="4">
        <v>10.3</v>
      </c>
      <c r="M31" s="4">
        <v>28.32</v>
      </c>
      <c r="N31" s="4">
        <v>12.5</v>
      </c>
      <c r="O31" s="4">
        <v>6.05</v>
      </c>
      <c r="P31" s="4">
        <v>7.87</v>
      </c>
      <c r="Q31" s="146">
        <v>1.52</v>
      </c>
      <c r="R31" s="146">
        <v>152</v>
      </c>
      <c r="S31" s="146">
        <v>11.8</v>
      </c>
      <c r="T31" s="146">
        <v>11800</v>
      </c>
      <c r="U31" s="146">
        <f t="shared" si="0"/>
        <v>162.12200000000001</v>
      </c>
      <c r="V31" s="53">
        <f t="shared" si="1"/>
        <v>1.6212200000000001</v>
      </c>
      <c r="W31" s="34">
        <v>1.01</v>
      </c>
      <c r="X31" s="34">
        <v>1.26</v>
      </c>
      <c r="Y31" s="53">
        <v>18.11</v>
      </c>
      <c r="Z31" s="53">
        <f t="shared" si="2"/>
        <v>20.6</v>
      </c>
      <c r="AA31" s="53">
        <f t="shared" si="3"/>
        <v>1.245000000000001</v>
      </c>
    </row>
    <row r="32" spans="1:27">
      <c r="A32" s="146" t="s">
        <v>328</v>
      </c>
      <c r="B32" s="146" t="s">
        <v>674</v>
      </c>
      <c r="C32" s="146">
        <v>60</v>
      </c>
      <c r="D32" s="146" t="s">
        <v>298</v>
      </c>
      <c r="E32" s="146">
        <v>163</v>
      </c>
      <c r="F32" s="146" t="s">
        <v>297</v>
      </c>
      <c r="G32" s="146">
        <v>7.75</v>
      </c>
      <c r="H32" s="146">
        <v>77.5</v>
      </c>
      <c r="I32" s="4">
        <v>40.869999999999997</v>
      </c>
      <c r="J32" s="4">
        <v>16.5</v>
      </c>
      <c r="K32" s="4">
        <v>12.5</v>
      </c>
      <c r="L32" s="4">
        <v>10.3</v>
      </c>
      <c r="M32" s="4">
        <v>28.32</v>
      </c>
      <c r="N32" s="4">
        <v>12.5</v>
      </c>
      <c r="O32" s="4">
        <v>6.05</v>
      </c>
      <c r="P32" s="4">
        <v>7.87</v>
      </c>
      <c r="Q32" s="146">
        <v>1.52</v>
      </c>
      <c r="R32" s="146">
        <v>152</v>
      </c>
      <c r="S32" s="146">
        <v>11.8</v>
      </c>
      <c r="T32" s="146">
        <v>11800</v>
      </c>
      <c r="U32" s="146">
        <f t="shared" si="0"/>
        <v>162.12200000000001</v>
      </c>
      <c r="V32" s="53">
        <f t="shared" si="1"/>
        <v>1.6212200000000001</v>
      </c>
      <c r="W32" s="34">
        <v>1.01</v>
      </c>
      <c r="X32" s="34">
        <v>1.26</v>
      </c>
      <c r="Y32" s="53">
        <v>18.11</v>
      </c>
      <c r="Z32" s="53">
        <f t="shared" si="2"/>
        <v>20.6</v>
      </c>
      <c r="AA32" s="53">
        <f t="shared" si="3"/>
        <v>1.245000000000001</v>
      </c>
    </row>
    <row r="33" spans="1:27">
      <c r="A33" s="146" t="s">
        <v>327</v>
      </c>
      <c r="B33" s="146" t="s">
        <v>674</v>
      </c>
      <c r="C33" s="146">
        <v>90</v>
      </c>
      <c r="D33" s="146" t="s">
        <v>298</v>
      </c>
      <c r="E33" s="146">
        <v>234</v>
      </c>
      <c r="F33" s="146" t="s">
        <v>297</v>
      </c>
      <c r="G33" s="146">
        <v>7.75</v>
      </c>
      <c r="H33" s="146">
        <v>77.5</v>
      </c>
      <c r="I33" s="4">
        <v>40.869999999999997</v>
      </c>
      <c r="J33" s="4">
        <v>16.5</v>
      </c>
      <c r="K33" s="4">
        <v>12.5</v>
      </c>
      <c r="L33" s="4">
        <v>10.3</v>
      </c>
      <c r="M33" s="4">
        <v>28.32</v>
      </c>
      <c r="N33" s="4">
        <v>12.5</v>
      </c>
      <c r="O33" s="4">
        <v>6.05</v>
      </c>
      <c r="P33" s="4">
        <v>7.87</v>
      </c>
      <c r="Q33" s="146">
        <v>1.52</v>
      </c>
      <c r="R33" s="146">
        <v>152</v>
      </c>
      <c r="S33" s="146">
        <v>11.8</v>
      </c>
      <c r="T33" s="146">
        <v>11800</v>
      </c>
      <c r="U33" s="146">
        <f t="shared" si="0"/>
        <v>162.12200000000001</v>
      </c>
      <c r="V33" s="53">
        <f t="shared" si="1"/>
        <v>1.6212200000000001</v>
      </c>
      <c r="W33" s="34">
        <v>1.01</v>
      </c>
      <c r="X33" s="34">
        <v>1.26</v>
      </c>
      <c r="Y33" s="53">
        <v>18.11</v>
      </c>
      <c r="Z33" s="53">
        <f t="shared" si="2"/>
        <v>20.6</v>
      </c>
      <c r="AA33" s="53">
        <f t="shared" si="3"/>
        <v>1.245000000000001</v>
      </c>
    </row>
    <row r="34" spans="1:27">
      <c r="A34" s="146" t="s">
        <v>325</v>
      </c>
      <c r="B34" s="146" t="s">
        <v>676</v>
      </c>
      <c r="C34" s="146">
        <v>26</v>
      </c>
      <c r="D34" s="146" t="s">
        <v>298</v>
      </c>
      <c r="E34" s="146">
        <v>116</v>
      </c>
      <c r="F34" s="146" t="s">
        <v>297</v>
      </c>
      <c r="G34" s="146">
        <v>12.3</v>
      </c>
      <c r="H34" s="146">
        <v>123</v>
      </c>
      <c r="I34" s="165">
        <v>54.86</v>
      </c>
      <c r="J34" s="165">
        <v>27.56</v>
      </c>
      <c r="K34" s="165">
        <v>20.6</v>
      </c>
      <c r="L34" s="165">
        <v>18.5</v>
      </c>
      <c r="M34" s="165">
        <v>37.49</v>
      </c>
      <c r="N34" s="165">
        <v>16.8</v>
      </c>
      <c r="O34" s="165">
        <v>8.3800000000000008</v>
      </c>
      <c r="P34" s="165">
        <v>10.199999999999999</v>
      </c>
      <c r="Q34" s="4">
        <v>3.5</v>
      </c>
      <c r="R34" s="146">
        <v>350</v>
      </c>
      <c r="S34" s="146">
        <v>43.1</v>
      </c>
      <c r="T34" s="146">
        <v>43100</v>
      </c>
      <c r="U34" s="146">
        <f t="shared" si="0"/>
        <v>377.4</v>
      </c>
      <c r="V34" s="53">
        <f t="shared" si="1"/>
        <v>3.774</v>
      </c>
      <c r="W34" s="34">
        <v>3.02</v>
      </c>
      <c r="X34" s="34">
        <v>3.02</v>
      </c>
      <c r="Y34" s="53">
        <v>33.4</v>
      </c>
      <c r="Z34" s="53">
        <f t="shared" si="2"/>
        <v>37</v>
      </c>
      <c r="AA34" s="53">
        <f t="shared" si="3"/>
        <v>1.8000000000000007</v>
      </c>
    </row>
    <row r="35" spans="1:27">
      <c r="A35" s="146" t="s">
        <v>324</v>
      </c>
      <c r="B35" s="146" t="s">
        <v>676</v>
      </c>
      <c r="C35" s="146">
        <v>40</v>
      </c>
      <c r="D35" s="146" t="s">
        <v>298</v>
      </c>
      <c r="E35" s="146">
        <v>157</v>
      </c>
      <c r="F35" s="146" t="s">
        <v>297</v>
      </c>
      <c r="G35" s="146">
        <v>12.3</v>
      </c>
      <c r="H35" s="146">
        <v>123</v>
      </c>
      <c r="I35" s="165">
        <v>54.86</v>
      </c>
      <c r="J35" s="165">
        <v>27.56</v>
      </c>
      <c r="K35" s="165">
        <v>20.6</v>
      </c>
      <c r="L35" s="165">
        <v>18.5</v>
      </c>
      <c r="M35" s="165">
        <v>37.49</v>
      </c>
      <c r="N35" s="165">
        <v>16.8</v>
      </c>
      <c r="O35" s="165">
        <v>8.3800000000000008</v>
      </c>
      <c r="P35" s="165">
        <v>10.199999999999999</v>
      </c>
      <c r="Q35" s="4">
        <v>3.5</v>
      </c>
      <c r="R35" s="146">
        <v>350</v>
      </c>
      <c r="S35" s="146">
        <v>43.1</v>
      </c>
      <c r="T35" s="146">
        <v>43100</v>
      </c>
      <c r="U35" s="146">
        <f t="shared" si="0"/>
        <v>377.4</v>
      </c>
      <c r="V35" s="53">
        <f t="shared" si="1"/>
        <v>3.774</v>
      </c>
      <c r="W35" s="34">
        <v>3.02</v>
      </c>
      <c r="X35" s="34">
        <v>3.02</v>
      </c>
      <c r="Y35" s="53">
        <v>33.4</v>
      </c>
      <c r="Z35" s="53">
        <f t="shared" si="2"/>
        <v>37</v>
      </c>
      <c r="AA35" s="53">
        <f t="shared" si="3"/>
        <v>1.8000000000000007</v>
      </c>
    </row>
    <row r="36" spans="1:27">
      <c r="A36" s="146" t="s">
        <v>323</v>
      </c>
      <c r="B36" s="146" t="s">
        <v>676</v>
      </c>
      <c r="C36" s="146">
        <v>60</v>
      </c>
      <c r="D36" s="146" t="s">
        <v>298</v>
      </c>
      <c r="E36" s="146">
        <v>219</v>
      </c>
      <c r="F36" s="146" t="s">
        <v>297</v>
      </c>
      <c r="G36" s="146">
        <v>12.3</v>
      </c>
      <c r="H36" s="146">
        <v>123</v>
      </c>
      <c r="I36" s="165">
        <v>54.86</v>
      </c>
      <c r="J36" s="165">
        <v>27.56</v>
      </c>
      <c r="K36" s="165">
        <v>20.6</v>
      </c>
      <c r="L36" s="165">
        <v>18.5</v>
      </c>
      <c r="M36" s="165">
        <v>37.49</v>
      </c>
      <c r="N36" s="165">
        <v>16.8</v>
      </c>
      <c r="O36" s="165">
        <v>8.3800000000000008</v>
      </c>
      <c r="P36" s="165">
        <v>10.199999999999999</v>
      </c>
      <c r="Q36" s="4">
        <v>3.5</v>
      </c>
      <c r="R36" s="146">
        <v>350</v>
      </c>
      <c r="S36" s="146">
        <v>43.1</v>
      </c>
      <c r="T36" s="146">
        <v>43100</v>
      </c>
      <c r="U36" s="146">
        <f t="shared" si="0"/>
        <v>377.4</v>
      </c>
      <c r="V36" s="53">
        <f t="shared" si="1"/>
        <v>3.774</v>
      </c>
      <c r="W36" s="34">
        <v>3.02</v>
      </c>
      <c r="X36" s="34">
        <v>3.02</v>
      </c>
      <c r="Y36" s="53">
        <v>33.4</v>
      </c>
      <c r="Z36" s="53">
        <f t="shared" si="2"/>
        <v>37</v>
      </c>
      <c r="AA36" s="53">
        <f t="shared" si="3"/>
        <v>1.8000000000000007</v>
      </c>
    </row>
    <row r="37" spans="1:27">
      <c r="A37" s="146" t="s">
        <v>322</v>
      </c>
      <c r="B37" s="146" t="s">
        <v>676</v>
      </c>
      <c r="C37" s="146">
        <v>90</v>
      </c>
      <c r="D37" s="146" t="s">
        <v>298</v>
      </c>
      <c r="E37" s="146">
        <v>322</v>
      </c>
      <c r="F37" s="146" t="s">
        <v>297</v>
      </c>
      <c r="G37" s="146">
        <v>12.3</v>
      </c>
      <c r="H37" s="146">
        <v>123</v>
      </c>
      <c r="I37" s="165">
        <v>54.86</v>
      </c>
      <c r="J37" s="165">
        <v>27.56</v>
      </c>
      <c r="K37" s="165">
        <v>20.6</v>
      </c>
      <c r="L37" s="165">
        <v>18.5</v>
      </c>
      <c r="M37" s="165">
        <v>37.49</v>
      </c>
      <c r="N37" s="165">
        <v>16.8</v>
      </c>
      <c r="O37" s="165">
        <v>8.3800000000000008</v>
      </c>
      <c r="P37" s="165">
        <v>10.199999999999999</v>
      </c>
      <c r="Q37" s="4">
        <v>3.5</v>
      </c>
      <c r="R37" s="146">
        <v>350</v>
      </c>
      <c r="S37" s="146">
        <v>43.1</v>
      </c>
      <c r="T37" s="146">
        <v>43100</v>
      </c>
      <c r="U37" s="146">
        <f t="shared" si="0"/>
        <v>377.4</v>
      </c>
      <c r="V37" s="53">
        <f t="shared" si="1"/>
        <v>3.774</v>
      </c>
      <c r="W37" s="34">
        <v>3.02</v>
      </c>
      <c r="X37" s="34">
        <v>3.02</v>
      </c>
      <c r="Y37" s="53">
        <v>33.4</v>
      </c>
      <c r="Z37" s="53">
        <f t="shared" si="2"/>
        <v>37</v>
      </c>
      <c r="AA37" s="53">
        <f t="shared" si="3"/>
        <v>1.8000000000000007</v>
      </c>
    </row>
    <row r="38" spans="1:27">
      <c r="A38" s="146" t="s">
        <v>320</v>
      </c>
      <c r="B38" s="146" t="s">
        <v>678</v>
      </c>
      <c r="C38" s="146">
        <v>26</v>
      </c>
      <c r="D38" s="146" t="s">
        <v>298</v>
      </c>
      <c r="E38" s="146">
        <v>138</v>
      </c>
      <c r="F38" s="146" t="s">
        <v>297</v>
      </c>
      <c r="G38" s="146">
        <v>12.3</v>
      </c>
      <c r="H38" s="146">
        <v>123</v>
      </c>
      <c r="I38" s="165">
        <v>54.86</v>
      </c>
      <c r="J38" s="165">
        <v>27.56</v>
      </c>
      <c r="K38" s="165">
        <v>24.6</v>
      </c>
      <c r="L38" s="165">
        <v>18.5</v>
      </c>
      <c r="M38" s="165">
        <v>37.49</v>
      </c>
      <c r="N38" s="165">
        <v>16.8</v>
      </c>
      <c r="O38" s="165">
        <v>8.3800000000000008</v>
      </c>
      <c r="P38" s="165">
        <v>10.199999999999999</v>
      </c>
      <c r="Q38" s="146">
        <v>4.17</v>
      </c>
      <c r="R38" s="146">
        <v>417</v>
      </c>
      <c r="S38" s="146">
        <v>51.3</v>
      </c>
      <c r="T38" s="146">
        <v>51300</v>
      </c>
      <c r="U38" s="146">
        <f t="shared" si="0"/>
        <v>377.4</v>
      </c>
      <c r="V38" s="53">
        <f t="shared" si="1"/>
        <v>3.774</v>
      </c>
      <c r="W38" s="34">
        <v>2.89</v>
      </c>
      <c r="X38" s="34">
        <f>W38</f>
        <v>2.89</v>
      </c>
      <c r="Y38" s="53">
        <v>33.4</v>
      </c>
      <c r="Z38" s="53">
        <f t="shared" si="2"/>
        <v>37</v>
      </c>
      <c r="AA38" s="53">
        <f t="shared" si="3"/>
        <v>1.8000000000000007</v>
      </c>
    </row>
    <row r="39" spans="1:27">
      <c r="A39" s="146" t="s">
        <v>319</v>
      </c>
      <c r="B39" s="146" t="s">
        <v>678</v>
      </c>
      <c r="C39" s="146">
        <v>40</v>
      </c>
      <c r="D39" s="146" t="s">
        <v>298</v>
      </c>
      <c r="E39" s="146">
        <v>187</v>
      </c>
      <c r="F39" s="146" t="s">
        <v>297</v>
      </c>
      <c r="G39" s="146">
        <v>12.3</v>
      </c>
      <c r="H39" s="146">
        <v>123</v>
      </c>
      <c r="I39" s="165">
        <v>54.86</v>
      </c>
      <c r="J39" s="165">
        <v>27.56</v>
      </c>
      <c r="K39" s="165">
        <v>24.6</v>
      </c>
      <c r="L39" s="165">
        <v>18.5</v>
      </c>
      <c r="M39" s="165">
        <v>37.49</v>
      </c>
      <c r="N39" s="165">
        <v>16.8</v>
      </c>
      <c r="O39" s="165">
        <v>8.3800000000000008</v>
      </c>
      <c r="P39" s="165">
        <v>10.199999999999999</v>
      </c>
      <c r="Q39" s="146">
        <v>4.17</v>
      </c>
      <c r="R39" s="146">
        <v>417</v>
      </c>
      <c r="S39" s="146">
        <v>51.3</v>
      </c>
      <c r="T39" s="146">
        <v>51300</v>
      </c>
      <c r="U39" s="146">
        <f t="shared" si="0"/>
        <v>377.4</v>
      </c>
      <c r="V39" s="53">
        <f t="shared" si="1"/>
        <v>3.774</v>
      </c>
      <c r="W39" s="34">
        <v>2.89</v>
      </c>
      <c r="X39" s="34">
        <f>W39</f>
        <v>2.89</v>
      </c>
      <c r="Y39" s="53">
        <v>33.4</v>
      </c>
      <c r="Z39" s="53">
        <f t="shared" si="2"/>
        <v>37</v>
      </c>
      <c r="AA39" s="53">
        <f t="shared" si="3"/>
        <v>1.8000000000000007</v>
      </c>
    </row>
    <row r="40" spans="1:27">
      <c r="A40" s="146" t="s">
        <v>318</v>
      </c>
      <c r="B40" s="146" t="s">
        <v>678</v>
      </c>
      <c r="C40" s="146">
        <v>60</v>
      </c>
      <c r="D40" s="146" t="s">
        <v>298</v>
      </c>
      <c r="E40" s="146">
        <v>261</v>
      </c>
      <c r="F40" s="146" t="s">
        <v>297</v>
      </c>
      <c r="G40" s="146">
        <v>12.3</v>
      </c>
      <c r="H40" s="146">
        <v>123</v>
      </c>
      <c r="I40" s="165">
        <v>54.86</v>
      </c>
      <c r="J40" s="165">
        <v>27.56</v>
      </c>
      <c r="K40" s="165">
        <v>24.6</v>
      </c>
      <c r="L40" s="165">
        <v>18.5</v>
      </c>
      <c r="M40" s="165">
        <v>37.49</v>
      </c>
      <c r="N40" s="165">
        <v>16.8</v>
      </c>
      <c r="O40" s="165">
        <v>8.3800000000000008</v>
      </c>
      <c r="P40" s="165">
        <v>10.199999999999999</v>
      </c>
      <c r="Q40" s="146">
        <v>4.17</v>
      </c>
      <c r="R40" s="146">
        <v>417</v>
      </c>
      <c r="S40" s="146">
        <v>51.3</v>
      </c>
      <c r="T40" s="146">
        <v>51300</v>
      </c>
      <c r="U40" s="146">
        <f t="shared" si="0"/>
        <v>377.4</v>
      </c>
      <c r="V40" s="53">
        <f t="shared" si="1"/>
        <v>3.774</v>
      </c>
      <c r="W40" s="34">
        <v>2.89</v>
      </c>
      <c r="X40" s="34">
        <f>W40</f>
        <v>2.89</v>
      </c>
      <c r="Y40" s="53">
        <v>33.4</v>
      </c>
      <c r="Z40" s="53">
        <f t="shared" si="2"/>
        <v>37</v>
      </c>
      <c r="AA40" s="53">
        <f t="shared" si="3"/>
        <v>1.8000000000000007</v>
      </c>
    </row>
    <row r="41" spans="1:27">
      <c r="A41" s="146" t="s">
        <v>317</v>
      </c>
      <c r="B41" s="146" t="s">
        <v>678</v>
      </c>
      <c r="C41" s="146">
        <v>90</v>
      </c>
      <c r="D41" s="146" t="s">
        <v>298</v>
      </c>
      <c r="E41" s="146">
        <v>338</v>
      </c>
      <c r="F41" s="146" t="s">
        <v>297</v>
      </c>
      <c r="G41" s="146">
        <v>12.3</v>
      </c>
      <c r="H41" s="146">
        <v>123</v>
      </c>
      <c r="I41" s="165">
        <v>54.86</v>
      </c>
      <c r="J41" s="165">
        <v>27.56</v>
      </c>
      <c r="K41" s="165">
        <v>24.6</v>
      </c>
      <c r="L41" s="165">
        <v>18.5</v>
      </c>
      <c r="M41" s="165">
        <v>37.49</v>
      </c>
      <c r="N41" s="165">
        <v>16.8</v>
      </c>
      <c r="O41" s="165">
        <v>8.3800000000000008</v>
      </c>
      <c r="P41" s="165">
        <v>10.199999999999999</v>
      </c>
      <c r="Q41" s="146">
        <v>4.17</v>
      </c>
      <c r="R41" s="146">
        <v>417</v>
      </c>
      <c r="S41" s="146">
        <v>51.3</v>
      </c>
      <c r="T41" s="146">
        <v>51300</v>
      </c>
      <c r="U41" s="146">
        <f t="shared" si="0"/>
        <v>377.4</v>
      </c>
      <c r="V41" s="53">
        <f t="shared" si="1"/>
        <v>3.774</v>
      </c>
      <c r="W41" s="34">
        <v>2.89</v>
      </c>
      <c r="X41" s="34">
        <f>W41</f>
        <v>2.89</v>
      </c>
      <c r="Y41" s="53">
        <v>33.4</v>
      </c>
      <c r="Z41" s="53">
        <f t="shared" si="2"/>
        <v>37</v>
      </c>
      <c r="AA41" s="53">
        <f t="shared" si="3"/>
        <v>1.8000000000000007</v>
      </c>
    </row>
    <row r="42" spans="1:27">
      <c r="A42" s="146" t="s">
        <v>316</v>
      </c>
      <c r="B42" s="146" t="s">
        <v>679</v>
      </c>
      <c r="C42" s="146">
        <v>26</v>
      </c>
      <c r="D42" s="146" t="s">
        <v>298</v>
      </c>
      <c r="E42" s="146">
        <v>162</v>
      </c>
      <c r="F42" s="146" t="s">
        <v>297</v>
      </c>
      <c r="G42" s="146">
        <v>14.7</v>
      </c>
      <c r="H42" s="146">
        <v>147</v>
      </c>
      <c r="I42" s="4">
        <v>65.150000000000006</v>
      </c>
      <c r="J42" s="165">
        <v>32.51</v>
      </c>
      <c r="K42" s="165">
        <v>27</v>
      </c>
      <c r="L42" s="165">
        <v>22.1</v>
      </c>
      <c r="M42" s="165">
        <v>44.19</v>
      </c>
      <c r="N42" s="165">
        <v>19.7</v>
      </c>
      <c r="O42" s="165">
        <v>10</v>
      </c>
      <c r="P42" s="165">
        <v>12</v>
      </c>
      <c r="Q42" s="4">
        <v>5.4</v>
      </c>
      <c r="R42" s="146">
        <v>540</v>
      </c>
      <c r="S42" s="146">
        <v>79.400000000000006</v>
      </c>
      <c r="T42" s="146">
        <v>79400</v>
      </c>
      <c r="U42" s="146">
        <f t="shared" si="0"/>
        <v>530.40000000000009</v>
      </c>
      <c r="V42" s="53">
        <f t="shared" si="1"/>
        <v>5.3040000000000012</v>
      </c>
      <c r="W42" s="34">
        <f t="shared" ref="W42:W50" si="4">X42</f>
        <v>4.54</v>
      </c>
      <c r="X42" s="34">
        <v>4.54</v>
      </c>
      <c r="Y42" s="53">
        <v>39.5</v>
      </c>
      <c r="Z42" s="53">
        <f t="shared" si="2"/>
        <v>44.2</v>
      </c>
      <c r="AA42" s="53">
        <f t="shared" si="3"/>
        <v>2.3500000000000014</v>
      </c>
    </row>
    <row r="43" spans="1:27">
      <c r="A43" s="146" t="s">
        <v>315</v>
      </c>
      <c r="B43" s="146" t="s">
        <v>679</v>
      </c>
      <c r="C43" s="146">
        <v>40</v>
      </c>
      <c r="D43" s="146" t="s">
        <v>298</v>
      </c>
      <c r="E43" s="146">
        <v>230</v>
      </c>
      <c r="F43" s="146" t="s">
        <v>297</v>
      </c>
      <c r="G43" s="146">
        <v>14.7</v>
      </c>
      <c r="H43" s="146">
        <v>147</v>
      </c>
      <c r="I43" s="4">
        <v>65.150000000000006</v>
      </c>
      <c r="J43" s="165">
        <v>32.51</v>
      </c>
      <c r="K43" s="165">
        <v>27</v>
      </c>
      <c r="L43" s="165">
        <v>22.1</v>
      </c>
      <c r="M43" s="165">
        <v>44.19</v>
      </c>
      <c r="N43" s="165">
        <v>19.7</v>
      </c>
      <c r="O43" s="165">
        <v>10</v>
      </c>
      <c r="P43" s="165">
        <v>12</v>
      </c>
      <c r="Q43" s="4">
        <v>5.4</v>
      </c>
      <c r="R43" s="146">
        <v>540</v>
      </c>
      <c r="S43" s="146">
        <v>79.400000000000006</v>
      </c>
      <c r="T43" s="146">
        <v>79400</v>
      </c>
      <c r="U43" s="146">
        <f t="shared" si="0"/>
        <v>530.40000000000009</v>
      </c>
      <c r="V43" s="53">
        <f t="shared" si="1"/>
        <v>5.3040000000000012</v>
      </c>
      <c r="W43" s="34">
        <f t="shared" si="4"/>
        <v>4.54</v>
      </c>
      <c r="X43" s="34">
        <v>4.54</v>
      </c>
      <c r="Y43" s="53">
        <v>39.5</v>
      </c>
      <c r="Z43" s="53">
        <f t="shared" si="2"/>
        <v>44.2</v>
      </c>
      <c r="AA43" s="53">
        <f t="shared" si="3"/>
        <v>2.3500000000000014</v>
      </c>
    </row>
    <row r="44" spans="1:27">
      <c r="A44" s="146" t="s">
        <v>314</v>
      </c>
      <c r="B44" s="146" t="s">
        <v>679</v>
      </c>
      <c r="C44" s="146">
        <v>60</v>
      </c>
      <c r="D44" s="146" t="s">
        <v>298</v>
      </c>
      <c r="E44" s="146">
        <v>300</v>
      </c>
      <c r="F44" s="146" t="s">
        <v>297</v>
      </c>
      <c r="G44" s="146">
        <v>14.7</v>
      </c>
      <c r="H44" s="146">
        <v>147</v>
      </c>
      <c r="I44" s="4">
        <v>65.150000000000006</v>
      </c>
      <c r="J44" s="165">
        <v>32.51</v>
      </c>
      <c r="K44" s="165">
        <v>27</v>
      </c>
      <c r="L44" s="165">
        <v>22.1</v>
      </c>
      <c r="M44" s="165">
        <v>44.19</v>
      </c>
      <c r="N44" s="165">
        <v>19.7</v>
      </c>
      <c r="O44" s="165">
        <v>10</v>
      </c>
      <c r="P44" s="165">
        <v>12</v>
      </c>
      <c r="Q44" s="4">
        <v>5.4</v>
      </c>
      <c r="R44" s="146">
        <v>540</v>
      </c>
      <c r="S44" s="146">
        <v>79.400000000000006</v>
      </c>
      <c r="T44" s="146">
        <v>79400</v>
      </c>
      <c r="U44" s="146">
        <f t="shared" si="0"/>
        <v>530.40000000000009</v>
      </c>
      <c r="V44" s="53">
        <f t="shared" si="1"/>
        <v>5.3040000000000012</v>
      </c>
      <c r="W44" s="34">
        <f t="shared" si="4"/>
        <v>4.54</v>
      </c>
      <c r="X44" s="34">
        <v>4.54</v>
      </c>
      <c r="Y44" s="53">
        <v>39.5</v>
      </c>
      <c r="Z44" s="53">
        <f t="shared" si="2"/>
        <v>44.2</v>
      </c>
      <c r="AA44" s="53">
        <f t="shared" si="3"/>
        <v>2.3500000000000014</v>
      </c>
    </row>
    <row r="45" spans="1:27">
      <c r="A45" s="146" t="s">
        <v>310</v>
      </c>
      <c r="B45" s="146" t="s">
        <v>681</v>
      </c>
      <c r="C45" s="146">
        <v>26</v>
      </c>
      <c r="D45" s="146" t="s">
        <v>298</v>
      </c>
      <c r="E45" s="146">
        <v>130</v>
      </c>
      <c r="F45" s="146" t="s">
        <v>297</v>
      </c>
      <c r="G45" s="146">
        <v>13.7</v>
      </c>
      <c r="H45" s="146">
        <v>137</v>
      </c>
      <c r="I45" s="4">
        <v>72.39</v>
      </c>
      <c r="J45" s="4">
        <v>27.94</v>
      </c>
      <c r="K45" s="4">
        <v>19.100000000000001</v>
      </c>
      <c r="L45" s="4">
        <v>17.7</v>
      </c>
      <c r="M45" s="4">
        <v>52.62</v>
      </c>
      <c r="N45" s="4">
        <v>19.100000000000001</v>
      </c>
      <c r="O45" s="4">
        <v>9.5299999999999994</v>
      </c>
      <c r="P45" s="4">
        <v>16.8</v>
      </c>
      <c r="Q45" s="146">
        <v>3.68</v>
      </c>
      <c r="R45" s="146">
        <v>368</v>
      </c>
      <c r="S45" s="146">
        <v>50.4</v>
      </c>
      <c r="T45" s="146">
        <v>50400</v>
      </c>
      <c r="U45" s="146">
        <f t="shared" si="0"/>
        <v>594.72</v>
      </c>
      <c r="V45" s="53">
        <f t="shared" si="1"/>
        <v>5.9472000000000005</v>
      </c>
      <c r="W45" s="34">
        <f t="shared" si="4"/>
        <v>4.08</v>
      </c>
      <c r="X45" s="34">
        <v>4.08</v>
      </c>
      <c r="Y45" s="53">
        <v>30.4</v>
      </c>
      <c r="Z45" s="53">
        <f t="shared" si="2"/>
        <v>35.4</v>
      </c>
      <c r="AA45" s="53">
        <f t="shared" si="3"/>
        <v>2.5</v>
      </c>
    </row>
    <row r="46" spans="1:27">
      <c r="A46" s="146" t="s">
        <v>309</v>
      </c>
      <c r="B46" s="146" t="s">
        <v>681</v>
      </c>
      <c r="C46" s="146">
        <v>40</v>
      </c>
      <c r="D46" s="146" t="s">
        <v>298</v>
      </c>
      <c r="E46" s="146">
        <v>173</v>
      </c>
      <c r="F46" s="146" t="s">
        <v>297</v>
      </c>
      <c r="G46" s="146">
        <v>13.7</v>
      </c>
      <c r="H46" s="146">
        <v>137</v>
      </c>
      <c r="I46" s="4">
        <v>72.39</v>
      </c>
      <c r="J46" s="4">
        <v>27.94</v>
      </c>
      <c r="K46" s="4">
        <v>19.100000000000001</v>
      </c>
      <c r="L46" s="4">
        <v>17.7</v>
      </c>
      <c r="M46" s="4">
        <v>52.62</v>
      </c>
      <c r="N46" s="4">
        <v>19.100000000000001</v>
      </c>
      <c r="O46" s="4">
        <v>9.5299999999999994</v>
      </c>
      <c r="P46" s="4">
        <v>16.8</v>
      </c>
      <c r="Q46" s="146">
        <v>3.68</v>
      </c>
      <c r="R46" s="146">
        <v>368</v>
      </c>
      <c r="S46" s="146">
        <v>50.4</v>
      </c>
      <c r="T46" s="146">
        <v>50400</v>
      </c>
      <c r="U46" s="146">
        <f t="shared" si="0"/>
        <v>594.72</v>
      </c>
      <c r="V46" s="53">
        <f t="shared" si="1"/>
        <v>5.9472000000000005</v>
      </c>
      <c r="W46" s="34">
        <f t="shared" si="4"/>
        <v>4.08</v>
      </c>
      <c r="X46" s="34">
        <v>4.08</v>
      </c>
      <c r="Y46" s="53">
        <v>30.4</v>
      </c>
      <c r="Z46" s="53">
        <f t="shared" si="2"/>
        <v>35.4</v>
      </c>
      <c r="AA46" s="53">
        <f t="shared" si="3"/>
        <v>2.5</v>
      </c>
    </row>
    <row r="47" spans="1:27">
      <c r="A47" s="146" t="s">
        <v>308</v>
      </c>
      <c r="B47" s="146" t="s">
        <v>681</v>
      </c>
      <c r="C47" s="146">
        <v>60</v>
      </c>
      <c r="D47" s="146" t="s">
        <v>298</v>
      </c>
      <c r="E47" s="146">
        <v>235</v>
      </c>
      <c r="F47" s="146" t="s">
        <v>297</v>
      </c>
      <c r="G47" s="146">
        <v>13.7</v>
      </c>
      <c r="H47" s="146">
        <v>137</v>
      </c>
      <c r="I47" s="4">
        <v>72.39</v>
      </c>
      <c r="J47" s="4">
        <v>27.94</v>
      </c>
      <c r="K47" s="4">
        <v>19.100000000000001</v>
      </c>
      <c r="L47" s="4">
        <v>17.7</v>
      </c>
      <c r="M47" s="4">
        <v>52.62</v>
      </c>
      <c r="N47" s="4">
        <v>19.100000000000001</v>
      </c>
      <c r="O47" s="4">
        <v>9.5299999999999994</v>
      </c>
      <c r="P47" s="4">
        <v>16.8</v>
      </c>
      <c r="Q47" s="146">
        <v>3.68</v>
      </c>
      <c r="R47" s="146">
        <v>368</v>
      </c>
      <c r="S47" s="146">
        <v>50.4</v>
      </c>
      <c r="T47" s="146">
        <v>50400</v>
      </c>
      <c r="U47" s="146">
        <f t="shared" si="0"/>
        <v>594.72</v>
      </c>
      <c r="V47" s="53">
        <f t="shared" si="1"/>
        <v>5.9472000000000005</v>
      </c>
      <c r="W47" s="34">
        <f t="shared" si="4"/>
        <v>4.08</v>
      </c>
      <c r="X47" s="34">
        <v>4.08</v>
      </c>
      <c r="Y47" s="53">
        <v>30.4</v>
      </c>
      <c r="Z47" s="53">
        <f t="shared" si="2"/>
        <v>35.4</v>
      </c>
      <c r="AA47" s="53">
        <f t="shared" si="3"/>
        <v>2.5</v>
      </c>
    </row>
    <row r="48" spans="1:27">
      <c r="A48" s="146" t="s">
        <v>306</v>
      </c>
      <c r="B48" s="146" t="s">
        <v>683</v>
      </c>
      <c r="C48" s="146">
        <v>26</v>
      </c>
      <c r="D48" s="146" t="s">
        <v>298</v>
      </c>
      <c r="E48" s="146">
        <v>103</v>
      </c>
      <c r="F48" s="146" t="s">
        <v>297</v>
      </c>
      <c r="G48" s="146">
        <v>18.5</v>
      </c>
      <c r="H48" s="146">
        <v>185</v>
      </c>
      <c r="I48" s="4">
        <v>80.010000000000005</v>
      </c>
      <c r="J48" s="4">
        <v>38.1</v>
      </c>
      <c r="K48" s="4">
        <v>19.8</v>
      </c>
      <c r="L48" s="4">
        <v>28.01</v>
      </c>
      <c r="M48" s="4">
        <v>59.28</v>
      </c>
      <c r="N48" s="4">
        <v>19.8</v>
      </c>
      <c r="O48" s="4">
        <v>9.91</v>
      </c>
      <c r="P48" s="4">
        <v>19.8</v>
      </c>
      <c r="Q48" s="146">
        <v>3.89</v>
      </c>
      <c r="R48" s="146">
        <v>389</v>
      </c>
      <c r="S48" s="5">
        <v>72</v>
      </c>
      <c r="T48" s="146">
        <v>72000</v>
      </c>
      <c r="U48" s="146">
        <f t="shared" si="0"/>
        <v>1109.1960000000001</v>
      </c>
      <c r="V48" s="53">
        <f t="shared" si="1"/>
        <v>11.091960000000002</v>
      </c>
      <c r="W48" s="34">
        <f t="shared" si="4"/>
        <v>8.06</v>
      </c>
      <c r="X48" s="34">
        <v>8.06</v>
      </c>
      <c r="Y48" s="53">
        <v>51</v>
      </c>
      <c r="Z48" s="53">
        <f t="shared" si="2"/>
        <v>56.02</v>
      </c>
      <c r="AA48" s="53">
        <f t="shared" si="3"/>
        <v>2.5100000000000016</v>
      </c>
    </row>
    <row r="49" spans="1:27">
      <c r="A49" s="146" t="s">
        <v>305</v>
      </c>
      <c r="B49" s="146" t="s">
        <v>683</v>
      </c>
      <c r="C49" s="146">
        <v>40</v>
      </c>
      <c r="D49" s="146" t="s">
        <v>298</v>
      </c>
      <c r="E49" s="146">
        <v>145</v>
      </c>
      <c r="F49" s="146" t="s">
        <v>297</v>
      </c>
      <c r="G49" s="146">
        <v>18.5</v>
      </c>
      <c r="H49" s="146">
        <v>185</v>
      </c>
      <c r="I49" s="4">
        <v>80.010000000000005</v>
      </c>
      <c r="J49" s="4">
        <v>38.1</v>
      </c>
      <c r="K49" s="4">
        <v>19.8</v>
      </c>
      <c r="L49" s="4">
        <v>28.01</v>
      </c>
      <c r="M49" s="4">
        <v>59.28</v>
      </c>
      <c r="N49" s="4">
        <v>19.8</v>
      </c>
      <c r="O49" s="4">
        <v>9.91</v>
      </c>
      <c r="P49" s="4">
        <v>19.8</v>
      </c>
      <c r="Q49" s="146">
        <v>3.89</v>
      </c>
      <c r="R49" s="146">
        <v>389</v>
      </c>
      <c r="S49" s="5">
        <v>72</v>
      </c>
      <c r="T49" s="146">
        <v>72000</v>
      </c>
      <c r="U49" s="146">
        <f t="shared" si="0"/>
        <v>1109.1960000000001</v>
      </c>
      <c r="V49" s="53">
        <f t="shared" si="1"/>
        <v>11.091960000000002</v>
      </c>
      <c r="W49" s="34">
        <f t="shared" si="4"/>
        <v>8.06</v>
      </c>
      <c r="X49" s="34">
        <v>8.06</v>
      </c>
      <c r="Y49" s="53">
        <v>51</v>
      </c>
      <c r="Z49" s="53">
        <f t="shared" si="2"/>
        <v>56.02</v>
      </c>
      <c r="AA49" s="53">
        <f t="shared" si="3"/>
        <v>2.5100000000000016</v>
      </c>
    </row>
    <row r="50" spans="1:27">
      <c r="A50" s="146" t="s">
        <v>304</v>
      </c>
      <c r="B50" s="146" t="s">
        <v>683</v>
      </c>
      <c r="C50" s="146">
        <v>60</v>
      </c>
      <c r="D50" s="146" t="s">
        <v>298</v>
      </c>
      <c r="E50" s="146">
        <v>190</v>
      </c>
      <c r="F50" s="146" t="s">
        <v>297</v>
      </c>
      <c r="G50" s="146">
        <v>18.5</v>
      </c>
      <c r="H50" s="146">
        <v>185</v>
      </c>
      <c r="I50" s="4">
        <v>80.010000000000005</v>
      </c>
      <c r="J50" s="4">
        <v>38.1</v>
      </c>
      <c r="K50" s="4">
        <v>19.8</v>
      </c>
      <c r="L50" s="4">
        <v>28.01</v>
      </c>
      <c r="M50" s="4">
        <v>59.28</v>
      </c>
      <c r="N50" s="4">
        <v>19.8</v>
      </c>
      <c r="O50" s="4">
        <v>9.91</v>
      </c>
      <c r="P50" s="4">
        <v>19.8</v>
      </c>
      <c r="Q50" s="146">
        <v>3.89</v>
      </c>
      <c r="R50" s="146">
        <v>389</v>
      </c>
      <c r="S50" s="5">
        <v>72</v>
      </c>
      <c r="T50" s="146">
        <v>72000</v>
      </c>
      <c r="U50" s="146">
        <f t="shared" si="0"/>
        <v>1109.1960000000001</v>
      </c>
      <c r="V50" s="53">
        <f t="shared" si="1"/>
        <v>11.091960000000002</v>
      </c>
      <c r="W50" s="34">
        <f t="shared" si="4"/>
        <v>8.06</v>
      </c>
      <c r="X50" s="34">
        <v>8.06</v>
      </c>
      <c r="Y50" s="53">
        <v>51</v>
      </c>
      <c r="Z50" s="53">
        <f t="shared" si="2"/>
        <v>56.02</v>
      </c>
      <c r="AA50" s="53">
        <f t="shared" si="3"/>
        <v>2.5100000000000016</v>
      </c>
    </row>
    <row r="51" spans="1:27" s="6" customFormat="1">
      <c r="A51" s="146" t="s">
        <v>299</v>
      </c>
      <c r="B51" s="146" t="s">
        <v>685</v>
      </c>
      <c r="C51" s="146">
        <v>26</v>
      </c>
      <c r="D51" s="146" t="s">
        <v>298</v>
      </c>
      <c r="E51" s="146">
        <v>91</v>
      </c>
      <c r="F51" s="146" t="s">
        <v>297</v>
      </c>
      <c r="G51" s="146">
        <v>20.8</v>
      </c>
      <c r="H51" s="146">
        <v>208</v>
      </c>
      <c r="I51" s="4">
        <v>80.010000000000005</v>
      </c>
      <c r="J51" s="4">
        <v>44.58</v>
      </c>
      <c r="K51" s="4">
        <v>19.8</v>
      </c>
      <c r="L51" s="4">
        <v>34.36</v>
      </c>
      <c r="M51" s="4">
        <v>59.28</v>
      </c>
      <c r="N51" s="4">
        <v>19.8</v>
      </c>
      <c r="O51" s="4">
        <v>9.91</v>
      </c>
      <c r="P51" s="4">
        <v>19.8</v>
      </c>
      <c r="Q51" s="146">
        <v>3.89</v>
      </c>
      <c r="R51" s="146">
        <v>389</v>
      </c>
      <c r="S51" s="146">
        <v>80.900000000000006</v>
      </c>
      <c r="T51" s="146">
        <v>80900</v>
      </c>
      <c r="U51" s="146">
        <f t="shared" si="0"/>
        <v>1360.6559999999999</v>
      </c>
      <c r="V51" s="53">
        <f t="shared" si="1"/>
        <v>13.60656</v>
      </c>
      <c r="W51" s="37">
        <f>V51*0.7</f>
        <v>9.5245920000000002</v>
      </c>
      <c r="X51" s="37">
        <f>W51</f>
        <v>9.5245920000000002</v>
      </c>
      <c r="Y51" s="6">
        <f>0.85*Z51</f>
        <v>58.411999999999999</v>
      </c>
      <c r="Z51" s="53">
        <f t="shared" si="2"/>
        <v>68.72</v>
      </c>
      <c r="AA51" s="53">
        <f t="shared" si="3"/>
        <v>5.1539999999999999</v>
      </c>
    </row>
    <row r="52" spans="1:27">
      <c r="A52" s="146" t="s">
        <v>367</v>
      </c>
      <c r="B52" s="146" t="s">
        <v>660</v>
      </c>
      <c r="C52" s="146">
        <v>26</v>
      </c>
      <c r="D52" s="146" t="s">
        <v>298</v>
      </c>
      <c r="E52" s="146">
        <v>254</v>
      </c>
      <c r="F52" s="146" t="s">
        <v>297</v>
      </c>
      <c r="G52" s="146">
        <v>21.9</v>
      </c>
      <c r="H52" s="146">
        <v>219</v>
      </c>
      <c r="I52" s="4">
        <v>130.30000000000001</v>
      </c>
      <c r="J52" s="4">
        <v>32.51</v>
      </c>
      <c r="K52" s="4">
        <v>53.85</v>
      </c>
      <c r="L52" s="4">
        <v>22.1</v>
      </c>
      <c r="M52" s="4">
        <v>108.4</v>
      </c>
      <c r="N52" s="4">
        <v>20</v>
      </c>
      <c r="O52" s="4">
        <v>10</v>
      </c>
      <c r="P52" s="4">
        <v>44.22</v>
      </c>
      <c r="Q52" s="146">
        <v>10.8</v>
      </c>
      <c r="R52" s="146">
        <v>1080</v>
      </c>
      <c r="S52" s="146">
        <v>237</v>
      </c>
      <c r="T52" s="146">
        <v>237000</v>
      </c>
      <c r="U52" s="146">
        <f t="shared" si="0"/>
        <v>1954.5240000000001</v>
      </c>
      <c r="V52" s="53">
        <f t="shared" si="1"/>
        <v>19.545240000000003</v>
      </c>
      <c r="W52" s="37">
        <f>V52*0.7</f>
        <v>13.681668000000002</v>
      </c>
      <c r="X52" s="37">
        <f>W52</f>
        <v>13.681668000000002</v>
      </c>
      <c r="Y52" s="6">
        <f>0.85*Z52</f>
        <v>37.57</v>
      </c>
      <c r="Z52" s="53">
        <f t="shared" si="2"/>
        <v>44.2</v>
      </c>
      <c r="AA52" s="53">
        <f t="shared" si="3"/>
        <v>3.3150000000000013</v>
      </c>
    </row>
    <row r="53" spans="1:27">
      <c r="A53" s="146" t="s">
        <v>365</v>
      </c>
      <c r="B53" s="146" t="s">
        <v>662</v>
      </c>
      <c r="C53" s="146">
        <v>26</v>
      </c>
      <c r="D53" s="146" t="s">
        <v>298</v>
      </c>
      <c r="E53" s="146">
        <v>180</v>
      </c>
      <c r="F53" s="146" t="s">
        <v>297</v>
      </c>
      <c r="G53" s="146">
        <v>27.3</v>
      </c>
      <c r="H53" s="146">
        <v>273</v>
      </c>
      <c r="I53" s="4">
        <v>160</v>
      </c>
      <c r="J53" s="4">
        <v>38.1</v>
      </c>
      <c r="K53" s="4">
        <v>39.619999999999997</v>
      </c>
      <c r="L53" s="4">
        <v>28.14</v>
      </c>
      <c r="M53" s="4">
        <v>138.19999999999999</v>
      </c>
      <c r="N53" s="4">
        <v>19.8</v>
      </c>
      <c r="O53" s="4">
        <v>9.91</v>
      </c>
      <c r="P53" s="4">
        <v>59.28</v>
      </c>
      <c r="Q53" s="146">
        <v>7.78</v>
      </c>
      <c r="R53" s="146">
        <v>778</v>
      </c>
      <c r="S53" s="146">
        <v>212</v>
      </c>
      <c r="T53" s="146">
        <v>212000</v>
      </c>
      <c r="U53" s="146">
        <f t="shared" si="0"/>
        <v>3336.2784000000001</v>
      </c>
      <c r="V53" s="53">
        <f t="shared" si="1"/>
        <v>33.362784000000005</v>
      </c>
      <c r="W53" s="37">
        <f>V53*0.7</f>
        <v>23.353948800000001</v>
      </c>
      <c r="X53" s="37">
        <f>W53</f>
        <v>23.353948800000001</v>
      </c>
      <c r="Y53" s="6">
        <f>0.85*Z53</f>
        <v>47.838000000000001</v>
      </c>
      <c r="Z53" s="53">
        <f t="shared" si="2"/>
        <v>56.28</v>
      </c>
      <c r="AA53" s="53">
        <f t="shared" si="3"/>
        <v>4.2210000000000001</v>
      </c>
    </row>
    <row r="54" spans="1:27" s="34" customFormat="1">
      <c r="A54" s="34" t="s">
        <v>1248</v>
      </c>
      <c r="B54" s="166" t="s">
        <v>669</v>
      </c>
      <c r="C54" s="34">
        <v>26</v>
      </c>
      <c r="D54" s="34" t="s">
        <v>858</v>
      </c>
      <c r="E54" s="34">
        <v>80</v>
      </c>
      <c r="F54" s="34" t="s">
        <v>297</v>
      </c>
      <c r="G54" s="146">
        <v>9.84</v>
      </c>
      <c r="H54" s="146">
        <v>98.4</v>
      </c>
      <c r="I54" s="4">
        <v>42.85</v>
      </c>
      <c r="J54" s="4">
        <v>21.1</v>
      </c>
      <c r="K54" s="4">
        <v>15.4</v>
      </c>
      <c r="L54" s="4">
        <v>14.9</v>
      </c>
      <c r="M54" s="4">
        <v>30.35</v>
      </c>
      <c r="N54" s="4">
        <v>11.9</v>
      </c>
      <c r="O54" s="4">
        <v>5.94</v>
      </c>
      <c r="P54" s="4">
        <v>9.27</v>
      </c>
      <c r="Q54" s="146">
        <v>1.83</v>
      </c>
      <c r="R54" s="146">
        <v>183</v>
      </c>
      <c r="S54" s="5">
        <v>18</v>
      </c>
      <c r="T54" s="146">
        <v>18000</v>
      </c>
      <c r="U54" s="146">
        <f>2*L54*P54</f>
        <v>276.24599999999998</v>
      </c>
      <c r="V54" s="53">
        <f t="shared" si="1"/>
        <v>2.7624599999999999</v>
      </c>
      <c r="W54" s="34">
        <v>1.94</v>
      </c>
      <c r="X54" s="34">
        <v>2.0699999999999998</v>
      </c>
      <c r="Y54" s="53">
        <v>25.9</v>
      </c>
      <c r="Z54" s="53">
        <f t="shared" si="2"/>
        <v>29.8</v>
      </c>
      <c r="AA54" s="53">
        <f t="shared" si="3"/>
        <v>1.9500000000000011</v>
      </c>
    </row>
    <row r="55" spans="1:27">
      <c r="A55" s="146" t="s">
        <v>1249</v>
      </c>
      <c r="B55" s="146">
        <v>4020</v>
      </c>
      <c r="C55" s="146">
        <v>40</v>
      </c>
      <c r="D55" s="146" t="s">
        <v>858</v>
      </c>
      <c r="E55" s="146">
        <v>108</v>
      </c>
      <c r="F55" s="146" t="s">
        <v>297</v>
      </c>
      <c r="G55" s="146">
        <v>9.84</v>
      </c>
      <c r="H55" s="146">
        <v>98.4</v>
      </c>
      <c r="I55" s="4">
        <v>42.85</v>
      </c>
      <c r="J55" s="4">
        <v>21.1</v>
      </c>
      <c r="K55" s="4">
        <v>15.4</v>
      </c>
      <c r="L55" s="4">
        <v>14.9</v>
      </c>
      <c r="M55" s="4">
        <v>30.35</v>
      </c>
      <c r="N55" s="4">
        <v>11.9</v>
      </c>
      <c r="O55" s="4">
        <v>5.94</v>
      </c>
      <c r="P55" s="4">
        <v>9.27</v>
      </c>
      <c r="Q55" s="146">
        <v>1.83</v>
      </c>
      <c r="R55" s="146">
        <v>183</v>
      </c>
      <c r="S55" s="5">
        <v>18</v>
      </c>
      <c r="T55" s="146">
        <v>18000</v>
      </c>
      <c r="U55" s="146">
        <f>2*L55*P55</f>
        <v>276.24599999999998</v>
      </c>
      <c r="V55" s="53">
        <f t="shared" si="1"/>
        <v>2.7624599999999999</v>
      </c>
      <c r="W55" s="34">
        <v>1.94</v>
      </c>
      <c r="X55" s="34">
        <v>2.0699999999999998</v>
      </c>
      <c r="Y55" s="53">
        <v>25.9</v>
      </c>
      <c r="Z55" s="53">
        <f t="shared" si="2"/>
        <v>29.8</v>
      </c>
      <c r="AA55" s="53">
        <f t="shared" si="3"/>
        <v>1.9500000000000011</v>
      </c>
    </row>
    <row r="56" spans="1:27">
      <c r="A56" s="200" t="s">
        <v>1351</v>
      </c>
      <c r="B56" s="202">
        <v>4020</v>
      </c>
      <c r="C56" s="200">
        <v>60</v>
      </c>
      <c r="D56" s="200" t="s">
        <v>858</v>
      </c>
      <c r="E56" s="200">
        <v>150</v>
      </c>
      <c r="F56" s="202" t="s">
        <v>297</v>
      </c>
      <c r="G56" s="202">
        <v>9.84</v>
      </c>
      <c r="H56" s="202">
        <v>98.4</v>
      </c>
      <c r="I56" s="4">
        <v>42.85</v>
      </c>
      <c r="J56" s="4">
        <v>21.1</v>
      </c>
      <c r="K56" s="4">
        <v>15.4</v>
      </c>
      <c r="L56" s="4">
        <v>14.9</v>
      </c>
      <c r="M56" s="4">
        <v>30.35</v>
      </c>
      <c r="N56" s="4">
        <v>11.9</v>
      </c>
      <c r="O56" s="4">
        <v>5.94</v>
      </c>
      <c r="P56" s="4">
        <v>9.27</v>
      </c>
      <c r="Q56" s="202">
        <v>1.83</v>
      </c>
      <c r="R56" s="202">
        <v>183</v>
      </c>
      <c r="S56" s="5">
        <v>18</v>
      </c>
      <c r="T56" s="202">
        <v>18000</v>
      </c>
      <c r="U56" s="202">
        <f>2*L56*P56</f>
        <v>276.24599999999998</v>
      </c>
      <c r="V56" s="53">
        <f>0.01*U56</f>
        <v>2.7624599999999999</v>
      </c>
      <c r="W56" s="34">
        <v>1.94</v>
      </c>
      <c r="X56" s="34">
        <v>2.0699999999999998</v>
      </c>
      <c r="Y56" s="53">
        <v>25.9</v>
      </c>
      <c r="Z56" s="53">
        <f>2*L56</f>
        <v>29.8</v>
      </c>
      <c r="AA56" s="53">
        <f>0.5*(Z56-Y56)</f>
        <v>1.9500000000000011</v>
      </c>
    </row>
    <row r="57" spans="1:27">
      <c r="A57" s="146" t="s">
        <v>1250</v>
      </c>
      <c r="B57" s="146">
        <v>4022</v>
      </c>
      <c r="C57" s="146">
        <v>26</v>
      </c>
      <c r="D57" s="146" t="s">
        <v>858</v>
      </c>
      <c r="E57" s="146">
        <v>104</v>
      </c>
      <c r="F57" s="146" t="s">
        <v>297</v>
      </c>
      <c r="G57" s="146">
        <v>9.84</v>
      </c>
      <c r="H57" s="146">
        <v>98.4</v>
      </c>
      <c r="I57" s="4">
        <v>42.85</v>
      </c>
      <c r="J57" s="4">
        <v>21.1</v>
      </c>
      <c r="K57" s="4">
        <v>20</v>
      </c>
      <c r="L57" s="4">
        <v>14.9</v>
      </c>
      <c r="M57" s="4">
        <v>30.35</v>
      </c>
      <c r="N57" s="4">
        <v>11.9</v>
      </c>
      <c r="O57" s="4">
        <v>5.94</v>
      </c>
      <c r="P57" s="4">
        <v>9.27</v>
      </c>
      <c r="Q57" s="146">
        <v>2.37</v>
      </c>
      <c r="R57" s="146">
        <v>237</v>
      </c>
      <c r="S57" s="146">
        <v>23.3</v>
      </c>
      <c r="T57" s="146">
        <v>23300</v>
      </c>
      <c r="U57" s="146">
        <f t="shared" ref="U57:U72" si="5">2*L57*P57</f>
        <v>276.24599999999998</v>
      </c>
      <c r="V57" s="53">
        <f t="shared" si="1"/>
        <v>2.7624599999999999</v>
      </c>
      <c r="W57" s="34">
        <v>1.94</v>
      </c>
      <c r="X57" s="34">
        <f>W57</f>
        <v>1.94</v>
      </c>
      <c r="Y57" s="53">
        <v>26</v>
      </c>
      <c r="Z57" s="53">
        <f t="shared" si="2"/>
        <v>29.8</v>
      </c>
      <c r="AA57" s="53">
        <f t="shared" si="3"/>
        <v>1.9000000000000004</v>
      </c>
    </row>
    <row r="58" spans="1:27">
      <c r="A58" s="146" t="s">
        <v>1251</v>
      </c>
      <c r="B58" s="146">
        <v>4022</v>
      </c>
      <c r="C58" s="146">
        <v>40</v>
      </c>
      <c r="D58" s="146" t="s">
        <v>858</v>
      </c>
      <c r="E58" s="146">
        <v>140</v>
      </c>
      <c r="F58" s="146" t="s">
        <v>297</v>
      </c>
      <c r="G58" s="146">
        <v>9.84</v>
      </c>
      <c r="H58" s="146">
        <v>98.4</v>
      </c>
      <c r="I58" s="4">
        <v>42.85</v>
      </c>
      <c r="J58" s="4">
        <v>21.1</v>
      </c>
      <c r="K58" s="4">
        <v>20</v>
      </c>
      <c r="L58" s="4">
        <v>14.9</v>
      </c>
      <c r="M58" s="4">
        <v>30.35</v>
      </c>
      <c r="N58" s="4">
        <v>11.9</v>
      </c>
      <c r="O58" s="4">
        <v>5.94</v>
      </c>
      <c r="P58" s="4">
        <v>9.27</v>
      </c>
      <c r="Q58" s="146">
        <v>2.37</v>
      </c>
      <c r="R58" s="146">
        <v>237</v>
      </c>
      <c r="S58" s="146">
        <v>23.3</v>
      </c>
      <c r="T58" s="146">
        <v>23300</v>
      </c>
      <c r="U58" s="146">
        <f t="shared" si="5"/>
        <v>276.24599999999998</v>
      </c>
      <c r="V58" s="53">
        <f t="shared" si="1"/>
        <v>2.7624599999999999</v>
      </c>
      <c r="W58" s="34">
        <v>1.94</v>
      </c>
      <c r="X58" s="34">
        <f>W58</f>
        <v>1.94</v>
      </c>
      <c r="Y58" s="53">
        <v>26</v>
      </c>
      <c r="Z58" s="53">
        <f t="shared" si="2"/>
        <v>29.8</v>
      </c>
      <c r="AA58" s="53">
        <f t="shared" si="3"/>
        <v>1.9000000000000004</v>
      </c>
    </row>
    <row r="59" spans="1:27">
      <c r="A59" s="200" t="s">
        <v>1352</v>
      </c>
      <c r="B59" s="200">
        <v>4022</v>
      </c>
      <c r="C59" s="200">
        <v>60</v>
      </c>
      <c r="D59" s="200" t="s">
        <v>858</v>
      </c>
      <c r="E59" s="200">
        <v>194</v>
      </c>
      <c r="F59" s="202" t="s">
        <v>297</v>
      </c>
      <c r="G59" s="202">
        <v>9.84</v>
      </c>
      <c r="H59" s="202">
        <v>98.4</v>
      </c>
      <c r="I59" s="4">
        <v>42.85</v>
      </c>
      <c r="J59" s="4">
        <v>21.1</v>
      </c>
      <c r="K59" s="4">
        <v>20</v>
      </c>
      <c r="L59" s="4">
        <v>14.9</v>
      </c>
      <c r="M59" s="4">
        <v>30.35</v>
      </c>
      <c r="N59" s="4">
        <v>11.9</v>
      </c>
      <c r="O59" s="4">
        <v>5.94</v>
      </c>
      <c r="P59" s="4">
        <v>9.27</v>
      </c>
      <c r="Q59" s="202">
        <v>2.37</v>
      </c>
      <c r="R59" s="202">
        <v>237</v>
      </c>
      <c r="S59" s="202">
        <v>23.3</v>
      </c>
      <c r="T59" s="202">
        <v>23300</v>
      </c>
      <c r="U59" s="202">
        <f>2*L59*P59</f>
        <v>276.24599999999998</v>
      </c>
      <c r="V59" s="53">
        <f>0.01*U59</f>
        <v>2.7624599999999999</v>
      </c>
      <c r="W59" s="34">
        <v>1.94</v>
      </c>
      <c r="X59" s="34">
        <f>W59</f>
        <v>1.94</v>
      </c>
      <c r="Y59" s="53">
        <v>26</v>
      </c>
      <c r="Z59" s="53">
        <f>2*L59</f>
        <v>29.8</v>
      </c>
      <c r="AA59" s="53">
        <f>0.5*(Z59-Y59)</f>
        <v>1.9000000000000004</v>
      </c>
    </row>
    <row r="60" spans="1:27">
      <c r="A60" s="146" t="s">
        <v>1252</v>
      </c>
      <c r="B60" s="146">
        <v>4317</v>
      </c>
      <c r="C60" s="146">
        <v>26</v>
      </c>
      <c r="D60" s="146" t="s">
        <v>858</v>
      </c>
      <c r="E60" s="146">
        <v>88</v>
      </c>
      <c r="F60" s="146" t="s">
        <v>297</v>
      </c>
      <c r="G60" s="146">
        <v>7.75</v>
      </c>
      <c r="H60" s="146">
        <v>77.5</v>
      </c>
      <c r="I60" s="4">
        <v>40.869999999999997</v>
      </c>
      <c r="J60" s="4">
        <v>16.5</v>
      </c>
      <c r="K60" s="4">
        <v>12.5</v>
      </c>
      <c r="L60" s="4">
        <v>10.3</v>
      </c>
      <c r="M60" s="4">
        <v>28.32</v>
      </c>
      <c r="N60" s="4">
        <v>12.5</v>
      </c>
      <c r="O60" s="4">
        <v>6.05</v>
      </c>
      <c r="P60" s="4">
        <v>7.87</v>
      </c>
      <c r="Q60" s="146">
        <v>1.52</v>
      </c>
      <c r="R60" s="146">
        <v>152</v>
      </c>
      <c r="S60" s="146">
        <v>11.8</v>
      </c>
      <c r="T60" s="146">
        <v>11800</v>
      </c>
      <c r="U60" s="146">
        <f t="shared" si="5"/>
        <v>162.12200000000001</v>
      </c>
      <c r="V60" s="53">
        <f t="shared" si="1"/>
        <v>1.6212200000000001</v>
      </c>
      <c r="W60" s="34">
        <v>1.01</v>
      </c>
      <c r="X60" s="34">
        <v>1.26</v>
      </c>
      <c r="Y60" s="53">
        <v>18.11</v>
      </c>
      <c r="Z60" s="53">
        <f t="shared" si="2"/>
        <v>20.6</v>
      </c>
      <c r="AA60" s="53">
        <f t="shared" si="3"/>
        <v>1.245000000000001</v>
      </c>
    </row>
    <row r="61" spans="1:27">
      <c r="A61" s="146" t="s">
        <v>1253</v>
      </c>
      <c r="B61" s="146">
        <v>4317</v>
      </c>
      <c r="C61" s="146">
        <v>40</v>
      </c>
      <c r="D61" s="146" t="s">
        <v>858</v>
      </c>
      <c r="E61" s="146">
        <v>119</v>
      </c>
      <c r="F61" s="146" t="s">
        <v>297</v>
      </c>
      <c r="G61" s="146">
        <v>7.75</v>
      </c>
      <c r="H61" s="146">
        <v>77.5</v>
      </c>
      <c r="I61" s="4">
        <v>40.869999999999997</v>
      </c>
      <c r="J61" s="4">
        <v>16.5</v>
      </c>
      <c r="K61" s="4">
        <v>12.5</v>
      </c>
      <c r="L61" s="4">
        <v>10.3</v>
      </c>
      <c r="M61" s="4">
        <v>28.32</v>
      </c>
      <c r="N61" s="4">
        <v>12.5</v>
      </c>
      <c r="O61" s="4">
        <v>6.05</v>
      </c>
      <c r="P61" s="4">
        <v>7.87</v>
      </c>
      <c r="Q61" s="146">
        <v>1.52</v>
      </c>
      <c r="R61" s="146">
        <v>152</v>
      </c>
      <c r="S61" s="146">
        <v>11.8</v>
      </c>
      <c r="T61" s="146">
        <v>11800</v>
      </c>
      <c r="U61" s="146">
        <f t="shared" si="5"/>
        <v>162.12200000000001</v>
      </c>
      <c r="V61" s="53">
        <f t="shared" si="1"/>
        <v>1.6212200000000001</v>
      </c>
      <c r="W61" s="34">
        <v>1.01</v>
      </c>
      <c r="X61" s="34">
        <v>1.26</v>
      </c>
      <c r="Y61" s="53">
        <v>18.11</v>
      </c>
      <c r="Z61" s="53">
        <f t="shared" si="2"/>
        <v>20.6</v>
      </c>
      <c r="AA61" s="53">
        <f t="shared" si="3"/>
        <v>1.245000000000001</v>
      </c>
    </row>
    <row r="62" spans="1:27">
      <c r="A62" s="200" t="s">
        <v>1350</v>
      </c>
      <c r="B62" s="200">
        <v>4317</v>
      </c>
      <c r="C62" s="200">
        <v>60</v>
      </c>
      <c r="D62" s="200" t="s">
        <v>858</v>
      </c>
      <c r="E62" s="200">
        <v>163</v>
      </c>
      <c r="F62" s="202" t="s">
        <v>297</v>
      </c>
      <c r="G62" s="202">
        <v>7.75</v>
      </c>
      <c r="H62" s="202">
        <v>77.5</v>
      </c>
      <c r="I62" s="4">
        <v>40.869999999999997</v>
      </c>
      <c r="J62" s="4">
        <v>16.5</v>
      </c>
      <c r="K62" s="4">
        <v>12.5</v>
      </c>
      <c r="L62" s="4">
        <v>10.3</v>
      </c>
      <c r="M62" s="4">
        <v>28.32</v>
      </c>
      <c r="N62" s="4">
        <v>12.5</v>
      </c>
      <c r="O62" s="4">
        <v>6.05</v>
      </c>
      <c r="P62" s="4">
        <v>7.87</v>
      </c>
      <c r="Q62" s="202">
        <v>1.52</v>
      </c>
      <c r="R62" s="202">
        <v>152</v>
      </c>
      <c r="S62" s="202">
        <v>11.8</v>
      </c>
      <c r="T62" s="202">
        <v>11800</v>
      </c>
      <c r="U62" s="202">
        <f>2*L62*P62</f>
        <v>162.12200000000001</v>
      </c>
      <c r="V62" s="53">
        <f>0.01*U62</f>
        <v>1.6212200000000001</v>
      </c>
      <c r="W62" s="34">
        <v>1.01</v>
      </c>
      <c r="X62" s="34">
        <v>1.26</v>
      </c>
      <c r="Y62" s="53">
        <v>18.11</v>
      </c>
      <c r="Z62" s="53">
        <f>2*L62</f>
        <v>20.6</v>
      </c>
      <c r="AA62" s="53">
        <f>0.5*(Z62-Y62)</f>
        <v>1.245000000000001</v>
      </c>
    </row>
    <row r="63" spans="1:27">
      <c r="A63" s="146" t="s">
        <v>1254</v>
      </c>
      <c r="B63" s="146">
        <v>5528</v>
      </c>
      <c r="C63" s="146">
        <v>26</v>
      </c>
      <c r="D63" s="146" t="s">
        <v>858</v>
      </c>
      <c r="E63" s="146">
        <v>116</v>
      </c>
      <c r="F63" s="146" t="s">
        <v>297</v>
      </c>
      <c r="G63" s="146">
        <v>12.3</v>
      </c>
      <c r="H63" s="146">
        <v>123</v>
      </c>
      <c r="I63" s="165">
        <v>54.86</v>
      </c>
      <c r="J63" s="165">
        <v>27.56</v>
      </c>
      <c r="K63" s="165">
        <v>20.6</v>
      </c>
      <c r="L63" s="165">
        <v>18.5</v>
      </c>
      <c r="M63" s="165">
        <v>37.49</v>
      </c>
      <c r="N63" s="165">
        <v>16.8</v>
      </c>
      <c r="O63" s="165">
        <v>8.3800000000000008</v>
      </c>
      <c r="P63" s="165">
        <v>10.199999999999999</v>
      </c>
      <c r="Q63" s="4">
        <v>3.5</v>
      </c>
      <c r="R63" s="146">
        <v>350</v>
      </c>
      <c r="S63" s="146">
        <v>43.1</v>
      </c>
      <c r="T63" s="146">
        <v>43100</v>
      </c>
      <c r="U63" s="146">
        <f t="shared" si="5"/>
        <v>377.4</v>
      </c>
      <c r="V63" s="53">
        <f t="shared" si="1"/>
        <v>3.774</v>
      </c>
      <c r="W63" s="34">
        <v>3.02</v>
      </c>
      <c r="X63" s="34">
        <v>3.02</v>
      </c>
      <c r="Y63" s="53">
        <v>33.4</v>
      </c>
      <c r="Z63" s="53">
        <f t="shared" si="2"/>
        <v>37</v>
      </c>
      <c r="AA63" s="53">
        <f t="shared" si="3"/>
        <v>1.8000000000000007</v>
      </c>
    </row>
    <row r="64" spans="1:27">
      <c r="A64" s="146" t="s">
        <v>1255</v>
      </c>
      <c r="B64" s="146">
        <v>5528</v>
      </c>
      <c r="C64" s="146">
        <v>40</v>
      </c>
      <c r="D64" s="146" t="s">
        <v>858</v>
      </c>
      <c r="E64" s="146">
        <v>157</v>
      </c>
      <c r="F64" s="146" t="s">
        <v>297</v>
      </c>
      <c r="G64" s="146">
        <v>12.3</v>
      </c>
      <c r="H64" s="146">
        <v>123</v>
      </c>
      <c r="I64" s="165">
        <v>54.86</v>
      </c>
      <c r="J64" s="165">
        <v>27.56</v>
      </c>
      <c r="K64" s="165">
        <v>20.6</v>
      </c>
      <c r="L64" s="165">
        <v>18.5</v>
      </c>
      <c r="M64" s="165">
        <v>37.49</v>
      </c>
      <c r="N64" s="165">
        <v>16.8</v>
      </c>
      <c r="O64" s="165">
        <v>8.3800000000000008</v>
      </c>
      <c r="P64" s="165">
        <v>10.199999999999999</v>
      </c>
      <c r="Q64" s="4">
        <v>3.5</v>
      </c>
      <c r="R64" s="146">
        <v>350</v>
      </c>
      <c r="S64" s="146">
        <v>43.1</v>
      </c>
      <c r="T64" s="146">
        <v>43100</v>
      </c>
      <c r="U64" s="146">
        <f t="shared" si="5"/>
        <v>377.4</v>
      </c>
      <c r="V64" s="53">
        <f t="shared" si="1"/>
        <v>3.774</v>
      </c>
      <c r="W64" s="34">
        <v>3.02</v>
      </c>
      <c r="X64" s="34">
        <v>3.02</v>
      </c>
      <c r="Y64" s="53">
        <v>33.4</v>
      </c>
      <c r="Z64" s="53">
        <f t="shared" si="2"/>
        <v>37</v>
      </c>
      <c r="AA64" s="53">
        <f t="shared" si="3"/>
        <v>1.8000000000000007</v>
      </c>
    </row>
    <row r="65" spans="1:27">
      <c r="A65" s="200" t="s">
        <v>1353</v>
      </c>
      <c r="B65" s="200">
        <v>5528</v>
      </c>
      <c r="C65" s="200">
        <v>60</v>
      </c>
      <c r="D65" s="200" t="s">
        <v>858</v>
      </c>
      <c r="E65" s="200">
        <v>219</v>
      </c>
      <c r="F65" s="202" t="s">
        <v>297</v>
      </c>
      <c r="G65" s="202">
        <v>12.3</v>
      </c>
      <c r="H65" s="202">
        <v>123</v>
      </c>
      <c r="I65" s="165">
        <v>54.86</v>
      </c>
      <c r="J65" s="165">
        <v>27.56</v>
      </c>
      <c r="K65" s="165">
        <v>20.6</v>
      </c>
      <c r="L65" s="165">
        <v>18.5</v>
      </c>
      <c r="M65" s="165">
        <v>37.49</v>
      </c>
      <c r="N65" s="165">
        <v>16.8</v>
      </c>
      <c r="O65" s="165">
        <v>8.3800000000000008</v>
      </c>
      <c r="P65" s="165">
        <v>10.199999999999999</v>
      </c>
      <c r="Q65" s="4">
        <v>3.5</v>
      </c>
      <c r="R65" s="202">
        <v>350</v>
      </c>
      <c r="S65" s="202">
        <v>43.1</v>
      </c>
      <c r="T65" s="202">
        <v>43100</v>
      </c>
      <c r="U65" s="202">
        <f>2*L65*P65</f>
        <v>377.4</v>
      </c>
      <c r="V65" s="53">
        <f>0.01*U65</f>
        <v>3.774</v>
      </c>
      <c r="W65" s="34">
        <v>3.02</v>
      </c>
      <c r="X65" s="34">
        <v>3.02</v>
      </c>
      <c r="Y65" s="53">
        <v>33.4</v>
      </c>
      <c r="Z65" s="53">
        <f>2*L65</f>
        <v>37</v>
      </c>
      <c r="AA65" s="53">
        <f>0.5*(Z65-Y65)</f>
        <v>1.8000000000000007</v>
      </c>
    </row>
    <row r="66" spans="1:27">
      <c r="A66" s="146" t="s">
        <v>1256</v>
      </c>
      <c r="B66" s="146">
        <v>5530</v>
      </c>
      <c r="C66" s="146">
        <v>26</v>
      </c>
      <c r="D66" s="146" t="s">
        <v>858</v>
      </c>
      <c r="E66" s="146">
        <v>138</v>
      </c>
      <c r="F66" s="146" t="s">
        <v>297</v>
      </c>
      <c r="G66" s="146">
        <v>12.3</v>
      </c>
      <c r="H66" s="146">
        <v>123</v>
      </c>
      <c r="I66" s="165">
        <v>54.86</v>
      </c>
      <c r="J66" s="165">
        <v>27.56</v>
      </c>
      <c r="K66" s="165">
        <v>24.6</v>
      </c>
      <c r="L66" s="165">
        <v>18.5</v>
      </c>
      <c r="M66" s="165">
        <v>37.49</v>
      </c>
      <c r="N66" s="165">
        <v>16.8</v>
      </c>
      <c r="O66" s="165">
        <v>8.3800000000000008</v>
      </c>
      <c r="P66" s="165">
        <v>10.199999999999999</v>
      </c>
      <c r="Q66" s="146">
        <v>4.17</v>
      </c>
      <c r="R66" s="146">
        <v>417</v>
      </c>
      <c r="S66" s="146">
        <v>51.3</v>
      </c>
      <c r="T66" s="146">
        <v>51300</v>
      </c>
      <c r="U66" s="146">
        <f t="shared" si="5"/>
        <v>377.4</v>
      </c>
      <c r="V66" s="53">
        <f t="shared" si="1"/>
        <v>3.774</v>
      </c>
      <c r="W66" s="34">
        <v>2.89</v>
      </c>
      <c r="X66" s="34">
        <f>W66</f>
        <v>2.89</v>
      </c>
      <c r="Y66" s="53">
        <v>33.4</v>
      </c>
      <c r="Z66" s="53">
        <f t="shared" si="2"/>
        <v>37</v>
      </c>
      <c r="AA66" s="53">
        <f t="shared" si="3"/>
        <v>1.8000000000000007</v>
      </c>
    </row>
    <row r="67" spans="1:27">
      <c r="A67" s="146" t="s">
        <v>1257</v>
      </c>
      <c r="B67" s="146">
        <v>5530</v>
      </c>
      <c r="C67" s="146">
        <v>40</v>
      </c>
      <c r="D67" s="146" t="s">
        <v>858</v>
      </c>
      <c r="E67" s="146">
        <v>187</v>
      </c>
      <c r="F67" s="146" t="s">
        <v>297</v>
      </c>
      <c r="G67" s="146">
        <v>12.3</v>
      </c>
      <c r="H67" s="146">
        <v>123</v>
      </c>
      <c r="I67" s="165">
        <v>54.86</v>
      </c>
      <c r="J67" s="165">
        <v>27.56</v>
      </c>
      <c r="K67" s="165">
        <v>24.6</v>
      </c>
      <c r="L67" s="165">
        <v>18.5</v>
      </c>
      <c r="M67" s="165">
        <v>37.49</v>
      </c>
      <c r="N67" s="165">
        <v>16.8</v>
      </c>
      <c r="O67" s="165">
        <v>8.3800000000000008</v>
      </c>
      <c r="P67" s="165">
        <v>10.199999999999999</v>
      </c>
      <c r="Q67" s="146">
        <v>4.17</v>
      </c>
      <c r="R67" s="146">
        <v>417</v>
      </c>
      <c r="S67" s="146">
        <v>51.3</v>
      </c>
      <c r="T67" s="146">
        <v>51300</v>
      </c>
      <c r="U67" s="146">
        <f t="shared" si="5"/>
        <v>377.4</v>
      </c>
      <c r="V67" s="53">
        <f t="shared" si="1"/>
        <v>3.774</v>
      </c>
      <c r="W67" s="34">
        <v>2.89</v>
      </c>
      <c r="X67" s="34">
        <f>W67</f>
        <v>2.89</v>
      </c>
      <c r="Y67" s="53">
        <v>33.4</v>
      </c>
      <c r="Z67" s="53">
        <f t="shared" si="2"/>
        <v>37</v>
      </c>
      <c r="AA67" s="53">
        <f t="shared" si="3"/>
        <v>1.8000000000000007</v>
      </c>
    </row>
    <row r="68" spans="1:27">
      <c r="A68" s="200" t="s">
        <v>1354</v>
      </c>
      <c r="B68" s="200">
        <v>5530</v>
      </c>
      <c r="C68" s="200">
        <v>60</v>
      </c>
      <c r="D68" s="200" t="s">
        <v>858</v>
      </c>
      <c r="E68" s="200">
        <v>261</v>
      </c>
      <c r="F68" s="202" t="s">
        <v>297</v>
      </c>
      <c r="G68" s="202">
        <v>12.3</v>
      </c>
      <c r="H68" s="202">
        <v>123</v>
      </c>
      <c r="I68" s="165">
        <v>54.86</v>
      </c>
      <c r="J68" s="165">
        <v>27.56</v>
      </c>
      <c r="K68" s="165">
        <v>24.6</v>
      </c>
      <c r="L68" s="165">
        <v>18.5</v>
      </c>
      <c r="M68" s="165">
        <v>37.49</v>
      </c>
      <c r="N68" s="165">
        <v>16.8</v>
      </c>
      <c r="O68" s="165">
        <v>8.3800000000000008</v>
      </c>
      <c r="P68" s="165">
        <v>10.199999999999999</v>
      </c>
      <c r="Q68" s="202">
        <v>4.17</v>
      </c>
      <c r="R68" s="202">
        <v>417</v>
      </c>
      <c r="S68" s="202">
        <v>51.3</v>
      </c>
      <c r="T68" s="202">
        <v>51300</v>
      </c>
      <c r="U68" s="202">
        <f>2*L68*P68</f>
        <v>377.4</v>
      </c>
      <c r="V68" s="53">
        <f>0.01*U68</f>
        <v>3.774</v>
      </c>
      <c r="W68" s="34">
        <v>2.89</v>
      </c>
      <c r="X68" s="34">
        <f>W68</f>
        <v>2.89</v>
      </c>
      <c r="Y68" s="53">
        <v>33.4</v>
      </c>
      <c r="Z68" s="53">
        <f>2*L68</f>
        <v>37</v>
      </c>
      <c r="AA68" s="53">
        <f>0.5*(Z68-Y68)</f>
        <v>1.8000000000000007</v>
      </c>
    </row>
    <row r="69" spans="1:27">
      <c r="A69" s="146" t="s">
        <v>1258</v>
      </c>
      <c r="B69" s="146">
        <v>6527</v>
      </c>
      <c r="C69" s="146">
        <v>26</v>
      </c>
      <c r="D69" s="146" t="s">
        <v>858</v>
      </c>
      <c r="E69" s="146">
        <v>162</v>
      </c>
      <c r="F69" s="146" t="s">
        <v>297</v>
      </c>
      <c r="G69" s="146">
        <v>14.7</v>
      </c>
      <c r="H69" s="146">
        <v>147</v>
      </c>
      <c r="I69" s="4">
        <v>65.150000000000006</v>
      </c>
      <c r="J69" s="165">
        <v>32.51</v>
      </c>
      <c r="K69" s="165">
        <v>27</v>
      </c>
      <c r="L69" s="165">
        <v>22.1</v>
      </c>
      <c r="M69" s="165">
        <v>44.19</v>
      </c>
      <c r="N69" s="165">
        <v>19.7</v>
      </c>
      <c r="O69" s="165">
        <v>10</v>
      </c>
      <c r="P69" s="165">
        <v>12</v>
      </c>
      <c r="Q69" s="4">
        <v>5.4</v>
      </c>
      <c r="R69" s="146">
        <v>540</v>
      </c>
      <c r="S69" s="146">
        <v>79.400000000000006</v>
      </c>
      <c r="T69" s="146">
        <v>79400</v>
      </c>
      <c r="U69" s="146">
        <f t="shared" si="5"/>
        <v>530.40000000000009</v>
      </c>
      <c r="V69" s="53">
        <f t="shared" si="1"/>
        <v>5.3040000000000012</v>
      </c>
      <c r="W69" s="34">
        <f t="shared" ref="W69:W76" si="6">X69</f>
        <v>4.54</v>
      </c>
      <c r="X69" s="34">
        <v>4.54</v>
      </c>
      <c r="Y69" s="53">
        <v>39.5</v>
      </c>
      <c r="Z69" s="53">
        <f t="shared" si="2"/>
        <v>44.2</v>
      </c>
      <c r="AA69" s="53">
        <f t="shared" si="3"/>
        <v>2.3500000000000014</v>
      </c>
    </row>
    <row r="70" spans="1:27">
      <c r="A70" s="146" t="s">
        <v>1259</v>
      </c>
      <c r="B70" s="146">
        <v>6527</v>
      </c>
      <c r="C70" s="146">
        <v>40</v>
      </c>
      <c r="D70" s="146" t="s">
        <v>858</v>
      </c>
      <c r="E70" s="146">
        <v>230</v>
      </c>
      <c r="F70" s="146" t="s">
        <v>297</v>
      </c>
      <c r="G70" s="146">
        <v>14.7</v>
      </c>
      <c r="H70" s="146">
        <v>147</v>
      </c>
      <c r="I70" s="4">
        <v>65.150000000000006</v>
      </c>
      <c r="J70" s="165">
        <v>32.51</v>
      </c>
      <c r="K70" s="165">
        <v>27</v>
      </c>
      <c r="L70" s="165">
        <v>22.1</v>
      </c>
      <c r="M70" s="165">
        <v>44.19</v>
      </c>
      <c r="N70" s="165">
        <v>19.7</v>
      </c>
      <c r="O70" s="165">
        <v>10</v>
      </c>
      <c r="P70" s="165">
        <v>12</v>
      </c>
      <c r="Q70" s="4">
        <v>5.4</v>
      </c>
      <c r="R70" s="146">
        <v>540</v>
      </c>
      <c r="S70" s="146">
        <v>79.400000000000006</v>
      </c>
      <c r="T70" s="146">
        <v>79400</v>
      </c>
      <c r="U70" s="146">
        <f t="shared" si="5"/>
        <v>530.40000000000009</v>
      </c>
      <c r="V70" s="53">
        <f t="shared" si="1"/>
        <v>5.3040000000000012</v>
      </c>
      <c r="W70" s="34">
        <f t="shared" si="6"/>
        <v>4.54</v>
      </c>
      <c r="X70" s="34">
        <v>4.54</v>
      </c>
      <c r="Y70" s="53">
        <v>39.5</v>
      </c>
      <c r="Z70" s="53">
        <f t="shared" si="2"/>
        <v>44.2</v>
      </c>
      <c r="AA70" s="53">
        <f t="shared" si="3"/>
        <v>2.3500000000000014</v>
      </c>
    </row>
    <row r="71" spans="1:27">
      <c r="A71" s="200" t="s">
        <v>1356</v>
      </c>
      <c r="B71" s="200">
        <v>6527</v>
      </c>
      <c r="C71" s="200">
        <v>60</v>
      </c>
      <c r="D71" s="200" t="s">
        <v>858</v>
      </c>
      <c r="E71" s="200">
        <v>300</v>
      </c>
      <c r="F71" s="202" t="s">
        <v>297</v>
      </c>
      <c r="G71" s="202">
        <v>14.7</v>
      </c>
      <c r="H71" s="202">
        <v>147</v>
      </c>
      <c r="I71" s="4">
        <v>65.150000000000006</v>
      </c>
      <c r="J71" s="165">
        <v>32.51</v>
      </c>
      <c r="K71" s="165">
        <v>27</v>
      </c>
      <c r="L71" s="165">
        <v>22.1</v>
      </c>
      <c r="M71" s="165">
        <v>44.19</v>
      </c>
      <c r="N71" s="165">
        <v>19.7</v>
      </c>
      <c r="O71" s="165">
        <v>10</v>
      </c>
      <c r="P71" s="165">
        <v>12</v>
      </c>
      <c r="Q71" s="4">
        <v>5.4</v>
      </c>
      <c r="R71" s="202">
        <v>540</v>
      </c>
      <c r="S71" s="202">
        <v>79.400000000000006</v>
      </c>
      <c r="T71" s="202">
        <v>79400</v>
      </c>
      <c r="U71" s="202">
        <f>2*L71*P71</f>
        <v>530.40000000000009</v>
      </c>
      <c r="V71" s="53">
        <f>0.01*U71</f>
        <v>5.3040000000000012</v>
      </c>
      <c r="W71" s="34">
        <f>X71</f>
        <v>4.54</v>
      </c>
      <c r="X71" s="34">
        <v>4.54</v>
      </c>
      <c r="Y71" s="53">
        <v>39.5</v>
      </c>
      <c r="Z71" s="53">
        <f>2*L71</f>
        <v>44.2</v>
      </c>
      <c r="AA71" s="53">
        <f>0.5*(Z71-Y71)</f>
        <v>2.3500000000000014</v>
      </c>
    </row>
    <row r="72" spans="1:27">
      <c r="A72" s="146" t="s">
        <v>1260</v>
      </c>
      <c r="B72" s="146">
        <v>7228</v>
      </c>
      <c r="C72" s="146">
        <v>26</v>
      </c>
      <c r="D72" s="146" t="s">
        <v>858</v>
      </c>
      <c r="E72" s="146">
        <v>130</v>
      </c>
      <c r="F72" s="146" t="s">
        <v>297</v>
      </c>
      <c r="G72" s="146">
        <v>13.7</v>
      </c>
      <c r="H72" s="146">
        <v>137</v>
      </c>
      <c r="I72" s="4">
        <v>72.39</v>
      </c>
      <c r="J72" s="4">
        <v>27.94</v>
      </c>
      <c r="K72" s="4">
        <v>19.100000000000001</v>
      </c>
      <c r="L72" s="4">
        <v>17.7</v>
      </c>
      <c r="M72" s="4">
        <v>52.62</v>
      </c>
      <c r="N72" s="4">
        <v>19.100000000000001</v>
      </c>
      <c r="O72" s="4">
        <v>9.5299999999999994</v>
      </c>
      <c r="P72" s="4">
        <v>16.8</v>
      </c>
      <c r="Q72" s="146">
        <v>3.68</v>
      </c>
      <c r="R72" s="146">
        <v>368</v>
      </c>
      <c r="S72" s="146">
        <v>50.4</v>
      </c>
      <c r="T72" s="146">
        <v>50400</v>
      </c>
      <c r="U72" s="146">
        <f t="shared" si="5"/>
        <v>594.72</v>
      </c>
      <c r="V72" s="53">
        <f t="shared" si="1"/>
        <v>5.9472000000000005</v>
      </c>
      <c r="W72" s="34">
        <f t="shared" si="6"/>
        <v>4.08</v>
      </c>
      <c r="X72" s="34">
        <v>4.08</v>
      </c>
      <c r="Y72" s="53">
        <v>30.4</v>
      </c>
      <c r="Z72" s="53">
        <f t="shared" si="2"/>
        <v>35.4</v>
      </c>
      <c r="AA72" s="53">
        <f t="shared" si="3"/>
        <v>2.5</v>
      </c>
    </row>
    <row r="73" spans="1:27">
      <c r="A73" s="146" t="s">
        <v>1261</v>
      </c>
      <c r="B73" s="146">
        <v>7228</v>
      </c>
      <c r="C73" s="146">
        <v>40</v>
      </c>
      <c r="D73" s="146" t="s">
        <v>858</v>
      </c>
      <c r="E73" s="146">
        <v>173</v>
      </c>
      <c r="F73" s="146" t="s">
        <v>297</v>
      </c>
      <c r="G73" s="146">
        <v>13.7</v>
      </c>
      <c r="H73" s="146">
        <v>137</v>
      </c>
      <c r="I73" s="4">
        <v>72.39</v>
      </c>
      <c r="J73" s="4">
        <v>27.94</v>
      </c>
      <c r="K73" s="4">
        <v>19.100000000000001</v>
      </c>
      <c r="L73" s="4">
        <v>17.7</v>
      </c>
      <c r="M73" s="4">
        <v>52.62</v>
      </c>
      <c r="N73" s="4">
        <v>19.100000000000001</v>
      </c>
      <c r="O73" s="4">
        <v>9.5299999999999994</v>
      </c>
      <c r="P73" s="4">
        <v>16.8</v>
      </c>
      <c r="Q73" s="146">
        <v>3.68</v>
      </c>
      <c r="R73" s="146">
        <v>368</v>
      </c>
      <c r="S73" s="146">
        <v>50.4</v>
      </c>
      <c r="T73" s="146">
        <v>50400</v>
      </c>
      <c r="U73" s="146">
        <f t="shared" ref="U73:U81" si="7">2*L73*P73</f>
        <v>594.72</v>
      </c>
      <c r="V73" s="53">
        <f t="shared" ref="V73:V81" si="8">0.01*U73</f>
        <v>5.9472000000000005</v>
      </c>
      <c r="W73" s="34">
        <f t="shared" si="6"/>
        <v>4.08</v>
      </c>
      <c r="X73" s="34">
        <v>4.08</v>
      </c>
      <c r="Y73" s="53">
        <v>30.4</v>
      </c>
      <c r="Z73" s="53">
        <f t="shared" ref="Z73:Z81" si="9">2*L73</f>
        <v>35.4</v>
      </c>
      <c r="AA73" s="53">
        <f t="shared" ref="AA73:AA78" si="10">0.5*(Z73-Y73)</f>
        <v>2.5</v>
      </c>
    </row>
    <row r="74" spans="1:27">
      <c r="A74" s="200" t="s">
        <v>1355</v>
      </c>
      <c r="B74" s="200">
        <v>7228</v>
      </c>
      <c r="C74" s="200">
        <v>60</v>
      </c>
      <c r="D74" s="200" t="s">
        <v>858</v>
      </c>
      <c r="E74" s="200">
        <v>235</v>
      </c>
      <c r="F74" s="202" t="s">
        <v>297</v>
      </c>
      <c r="G74" s="202">
        <v>13.7</v>
      </c>
      <c r="H74" s="202">
        <v>137</v>
      </c>
      <c r="I74" s="4">
        <v>72.39</v>
      </c>
      <c r="J74" s="4">
        <v>27.94</v>
      </c>
      <c r="K74" s="4">
        <v>19.100000000000001</v>
      </c>
      <c r="L74" s="4">
        <v>17.7</v>
      </c>
      <c r="M74" s="4">
        <v>52.62</v>
      </c>
      <c r="N74" s="4">
        <v>19.100000000000001</v>
      </c>
      <c r="O74" s="4">
        <v>9.5299999999999994</v>
      </c>
      <c r="P74" s="4">
        <v>16.8</v>
      </c>
      <c r="Q74" s="202">
        <v>3.68</v>
      </c>
      <c r="R74" s="202">
        <v>368</v>
      </c>
      <c r="S74" s="202">
        <v>50.4</v>
      </c>
      <c r="T74" s="202">
        <v>50400</v>
      </c>
      <c r="U74" s="202">
        <f t="shared" si="7"/>
        <v>594.72</v>
      </c>
      <c r="V74" s="53">
        <f t="shared" si="8"/>
        <v>5.9472000000000005</v>
      </c>
      <c r="W74" s="34">
        <f>X74</f>
        <v>4.08</v>
      </c>
      <c r="X74" s="34">
        <v>4.08</v>
      </c>
      <c r="Y74" s="53">
        <v>30.4</v>
      </c>
      <c r="Z74" s="53">
        <f>2*L74</f>
        <v>35.4</v>
      </c>
      <c r="AA74" s="53">
        <f>0.5*(Z74-Y74)</f>
        <v>2.5</v>
      </c>
    </row>
    <row r="75" spans="1:27">
      <c r="A75" s="146" t="s">
        <v>1262</v>
      </c>
      <c r="B75" s="146">
        <v>8020</v>
      </c>
      <c r="C75" s="146">
        <v>26</v>
      </c>
      <c r="D75" s="146" t="s">
        <v>858</v>
      </c>
      <c r="E75" s="146">
        <v>103</v>
      </c>
      <c r="F75" s="146" t="s">
        <v>297</v>
      </c>
      <c r="G75" s="146">
        <v>18.5</v>
      </c>
      <c r="H75" s="146">
        <v>185</v>
      </c>
      <c r="I75" s="4">
        <v>80.010000000000005</v>
      </c>
      <c r="J75" s="4">
        <v>38.1</v>
      </c>
      <c r="K75" s="4">
        <v>19.8</v>
      </c>
      <c r="L75" s="4">
        <v>28.01</v>
      </c>
      <c r="M75" s="4">
        <v>59.28</v>
      </c>
      <c r="N75" s="4">
        <v>19.8</v>
      </c>
      <c r="O75" s="4">
        <v>9.91</v>
      </c>
      <c r="P75" s="4">
        <v>19.8</v>
      </c>
      <c r="Q75" s="146">
        <v>3.89</v>
      </c>
      <c r="R75" s="146">
        <v>389</v>
      </c>
      <c r="S75" s="5">
        <v>72</v>
      </c>
      <c r="T75" s="146">
        <v>72000</v>
      </c>
      <c r="U75" s="146">
        <f t="shared" si="7"/>
        <v>1109.1960000000001</v>
      </c>
      <c r="V75" s="53">
        <f t="shared" si="8"/>
        <v>11.091960000000002</v>
      </c>
      <c r="W75" s="34">
        <f t="shared" si="6"/>
        <v>8.06</v>
      </c>
      <c r="X75" s="34">
        <v>8.06</v>
      </c>
      <c r="Y75" s="53">
        <v>51</v>
      </c>
      <c r="Z75" s="53">
        <f t="shared" si="9"/>
        <v>56.02</v>
      </c>
      <c r="AA75" s="53">
        <f t="shared" si="10"/>
        <v>2.5100000000000016</v>
      </c>
    </row>
    <row r="76" spans="1:27">
      <c r="A76" s="146" t="s">
        <v>1263</v>
      </c>
      <c r="B76" s="146">
        <v>8020</v>
      </c>
      <c r="C76" s="146">
        <v>40</v>
      </c>
      <c r="D76" s="146" t="s">
        <v>858</v>
      </c>
      <c r="E76" s="146">
        <v>145</v>
      </c>
      <c r="F76" s="146" t="s">
        <v>297</v>
      </c>
      <c r="G76" s="146">
        <v>18.5</v>
      </c>
      <c r="H76" s="146">
        <v>185</v>
      </c>
      <c r="I76" s="4">
        <v>80.010000000000005</v>
      </c>
      <c r="J76" s="4">
        <v>38.1</v>
      </c>
      <c r="K76" s="4">
        <v>19.8</v>
      </c>
      <c r="L76" s="4">
        <v>28.01</v>
      </c>
      <c r="M76" s="4">
        <v>59.28</v>
      </c>
      <c r="N76" s="4">
        <v>19.8</v>
      </c>
      <c r="O76" s="4">
        <v>9.91</v>
      </c>
      <c r="P76" s="4">
        <v>19.8</v>
      </c>
      <c r="Q76" s="146">
        <v>3.89</v>
      </c>
      <c r="R76" s="146">
        <v>389</v>
      </c>
      <c r="S76" s="5">
        <v>72</v>
      </c>
      <c r="T76" s="146">
        <v>72000</v>
      </c>
      <c r="U76" s="146">
        <f t="shared" si="7"/>
        <v>1109.1960000000001</v>
      </c>
      <c r="V76" s="53">
        <f t="shared" si="8"/>
        <v>11.091960000000002</v>
      </c>
      <c r="W76" s="34">
        <f t="shared" si="6"/>
        <v>8.06</v>
      </c>
      <c r="X76" s="34">
        <v>8.06</v>
      </c>
      <c r="Y76" s="53">
        <v>51</v>
      </c>
      <c r="Z76" s="53">
        <f t="shared" si="9"/>
        <v>56.02</v>
      </c>
      <c r="AA76" s="53">
        <f t="shared" si="10"/>
        <v>2.5100000000000016</v>
      </c>
    </row>
    <row r="77" spans="1:27">
      <c r="A77" s="200" t="s">
        <v>1357</v>
      </c>
      <c r="B77" s="200">
        <v>8020</v>
      </c>
      <c r="C77" s="200">
        <v>60</v>
      </c>
      <c r="D77" s="200" t="s">
        <v>858</v>
      </c>
      <c r="E77" s="200">
        <v>190</v>
      </c>
      <c r="F77" s="202" t="s">
        <v>297</v>
      </c>
      <c r="G77" s="202">
        <v>18.5</v>
      </c>
      <c r="H77" s="202">
        <v>185</v>
      </c>
      <c r="I77" s="4">
        <v>80.010000000000005</v>
      </c>
      <c r="J77" s="4">
        <v>38.1</v>
      </c>
      <c r="K77" s="4">
        <v>19.8</v>
      </c>
      <c r="L77" s="4">
        <v>28.01</v>
      </c>
      <c r="M77" s="4">
        <v>59.28</v>
      </c>
      <c r="N77" s="4">
        <v>19.8</v>
      </c>
      <c r="O77" s="4">
        <v>9.91</v>
      </c>
      <c r="P77" s="4">
        <v>19.8</v>
      </c>
      <c r="Q77" s="202">
        <v>3.89</v>
      </c>
      <c r="R77" s="202">
        <v>389</v>
      </c>
      <c r="S77" s="5">
        <v>72</v>
      </c>
      <c r="T77" s="202">
        <v>72000</v>
      </c>
      <c r="U77" s="202">
        <f t="shared" si="7"/>
        <v>1109.1960000000001</v>
      </c>
      <c r="V77" s="53">
        <f t="shared" si="8"/>
        <v>11.091960000000002</v>
      </c>
      <c r="W77" s="34">
        <f>X77</f>
        <v>8.06</v>
      </c>
      <c r="X77" s="34">
        <v>8.06</v>
      </c>
      <c r="Y77" s="53">
        <v>51</v>
      </c>
      <c r="Z77" s="53">
        <f>2*L77</f>
        <v>56.02</v>
      </c>
      <c r="AA77" s="53">
        <f>0.5*(Z77-Y77)</f>
        <v>2.5100000000000016</v>
      </c>
    </row>
    <row r="78" spans="1:27">
      <c r="A78" s="146" t="s">
        <v>1264</v>
      </c>
      <c r="B78" s="146">
        <v>8044</v>
      </c>
      <c r="C78" s="146">
        <v>26</v>
      </c>
      <c r="D78" s="146" t="s">
        <v>858</v>
      </c>
      <c r="E78" s="146">
        <v>91</v>
      </c>
      <c r="F78" s="146" t="s">
        <v>297</v>
      </c>
      <c r="G78" s="146">
        <v>20.8</v>
      </c>
      <c r="H78" s="146">
        <v>208</v>
      </c>
      <c r="I78" s="4">
        <v>80.010000000000005</v>
      </c>
      <c r="J78" s="4">
        <v>44.58</v>
      </c>
      <c r="K78" s="4">
        <v>19.8</v>
      </c>
      <c r="L78" s="4">
        <v>34.36</v>
      </c>
      <c r="M78" s="4">
        <v>59.28</v>
      </c>
      <c r="N78" s="4">
        <v>19.8</v>
      </c>
      <c r="O78" s="4">
        <v>9.91</v>
      </c>
      <c r="P78" s="4">
        <v>19.8</v>
      </c>
      <c r="Q78" s="146">
        <v>3.89</v>
      </c>
      <c r="R78" s="146">
        <v>389</v>
      </c>
      <c r="S78" s="146">
        <v>80.900000000000006</v>
      </c>
      <c r="T78" s="146">
        <v>80900</v>
      </c>
      <c r="U78" s="146">
        <f t="shared" si="7"/>
        <v>1360.6559999999999</v>
      </c>
      <c r="V78" s="53">
        <f t="shared" si="8"/>
        <v>13.60656</v>
      </c>
      <c r="W78" s="37">
        <f>V78*0.7</f>
        <v>9.5245920000000002</v>
      </c>
      <c r="X78" s="37">
        <f>W78</f>
        <v>9.5245920000000002</v>
      </c>
      <c r="Y78" s="53">
        <f>0.85*Z78</f>
        <v>58.411999999999999</v>
      </c>
      <c r="Z78" s="53">
        <f t="shared" si="9"/>
        <v>68.72</v>
      </c>
      <c r="AA78" s="53">
        <f t="shared" si="10"/>
        <v>5.1539999999999999</v>
      </c>
    </row>
    <row r="79" spans="1:27">
      <c r="A79" s="146" t="s">
        <v>1265</v>
      </c>
      <c r="B79" s="146" t="s">
        <v>1266</v>
      </c>
      <c r="C79" s="146">
        <v>60</v>
      </c>
      <c r="D79" s="146" t="s">
        <v>298</v>
      </c>
      <c r="E79" s="146">
        <v>445</v>
      </c>
      <c r="F79" s="146" t="s">
        <v>297</v>
      </c>
      <c r="G79" s="146">
        <v>21.5</v>
      </c>
      <c r="H79" s="146">
        <v>215</v>
      </c>
      <c r="I79" s="4">
        <v>114.3</v>
      </c>
      <c r="J79" s="4">
        <v>46.18</v>
      </c>
      <c r="K79" s="4">
        <v>34.93</v>
      </c>
      <c r="L79" s="4">
        <v>28.6</v>
      </c>
      <c r="M79" s="4">
        <v>79.5</v>
      </c>
      <c r="N79" s="4">
        <v>35.1</v>
      </c>
      <c r="O79" s="4">
        <v>17.2</v>
      </c>
      <c r="P79" s="4">
        <v>22.1</v>
      </c>
      <c r="Q79" s="146">
        <v>12.2</v>
      </c>
      <c r="R79" s="146">
        <v>1220</v>
      </c>
      <c r="S79" s="146">
        <v>262</v>
      </c>
      <c r="T79" s="146">
        <v>262000</v>
      </c>
      <c r="U79" s="146">
        <f t="shared" si="7"/>
        <v>1264.1200000000001</v>
      </c>
      <c r="V79" s="53">
        <f t="shared" si="8"/>
        <v>12.641200000000001</v>
      </c>
      <c r="W79" s="34">
        <f>V79*0.7</f>
        <v>8.8488400000000009</v>
      </c>
      <c r="X79" s="34">
        <f>V79*0.7</f>
        <v>8.8488400000000009</v>
      </c>
      <c r="Y79" s="53">
        <v>53.09</v>
      </c>
      <c r="Z79" s="53">
        <f t="shared" si="9"/>
        <v>57.2</v>
      </c>
      <c r="AA79" s="53">
        <v>1.65</v>
      </c>
    </row>
    <row r="80" spans="1:27">
      <c r="A80" s="146" t="s">
        <v>1267</v>
      </c>
      <c r="B80" s="146" t="s">
        <v>1266</v>
      </c>
      <c r="C80" s="146">
        <v>26</v>
      </c>
      <c r="D80" s="146" t="s">
        <v>298</v>
      </c>
      <c r="E80" s="146">
        <v>235</v>
      </c>
      <c r="F80" s="146" t="s">
        <v>297</v>
      </c>
      <c r="G80" s="146">
        <v>21.5</v>
      </c>
      <c r="H80" s="146">
        <v>215</v>
      </c>
      <c r="I80" s="4">
        <v>114.3</v>
      </c>
      <c r="J80" s="4">
        <v>46.18</v>
      </c>
      <c r="K80" s="4">
        <v>34.93</v>
      </c>
      <c r="L80" s="4">
        <v>28.6</v>
      </c>
      <c r="M80" s="4">
        <v>79.5</v>
      </c>
      <c r="N80" s="4">
        <v>35.1</v>
      </c>
      <c r="O80" s="4">
        <v>17.2</v>
      </c>
      <c r="P80" s="4">
        <v>22.1</v>
      </c>
      <c r="Q80" s="146">
        <v>12.2</v>
      </c>
      <c r="R80" s="146">
        <v>1220</v>
      </c>
      <c r="S80" s="146">
        <v>262</v>
      </c>
      <c r="T80" s="146">
        <v>262000</v>
      </c>
      <c r="U80" s="146">
        <f t="shared" si="7"/>
        <v>1264.1200000000001</v>
      </c>
      <c r="V80" s="53">
        <f t="shared" si="8"/>
        <v>12.641200000000001</v>
      </c>
      <c r="W80" s="34">
        <f>V80*0.7</f>
        <v>8.8488400000000009</v>
      </c>
      <c r="X80" s="34">
        <f>V80*0.7</f>
        <v>8.8488400000000009</v>
      </c>
      <c r="Y80" s="53">
        <v>53.09</v>
      </c>
      <c r="Z80" s="53">
        <f t="shared" si="9"/>
        <v>57.2</v>
      </c>
      <c r="AA80" s="53">
        <v>1.65</v>
      </c>
    </row>
    <row r="81" spans="1:27">
      <c r="A81" s="146" t="s">
        <v>1268</v>
      </c>
      <c r="B81" s="146" t="s">
        <v>1266</v>
      </c>
      <c r="C81" s="146">
        <v>26</v>
      </c>
      <c r="D81" s="146" t="s">
        <v>298</v>
      </c>
      <c r="E81" s="146">
        <v>182</v>
      </c>
      <c r="F81" s="146" t="s">
        <v>297</v>
      </c>
      <c r="G81" s="146">
        <v>21.5</v>
      </c>
      <c r="H81" s="146">
        <v>215</v>
      </c>
      <c r="I81" s="4">
        <v>114.3</v>
      </c>
      <c r="J81" s="4">
        <v>46.18</v>
      </c>
      <c r="K81" s="4">
        <v>26.19</v>
      </c>
      <c r="L81" s="4">
        <v>28.6</v>
      </c>
      <c r="M81" s="4">
        <v>79.5</v>
      </c>
      <c r="N81" s="4">
        <v>35.1</v>
      </c>
      <c r="O81" s="4">
        <v>17.2</v>
      </c>
      <c r="P81" s="4">
        <v>22.1</v>
      </c>
      <c r="Q81" s="146">
        <v>9.14</v>
      </c>
      <c r="R81" s="146">
        <v>914</v>
      </c>
      <c r="S81" s="146">
        <v>197</v>
      </c>
      <c r="T81" s="146">
        <v>197000</v>
      </c>
      <c r="U81" s="146">
        <f t="shared" si="7"/>
        <v>1264.1200000000001</v>
      </c>
      <c r="V81" s="53">
        <f t="shared" si="8"/>
        <v>12.641200000000001</v>
      </c>
      <c r="W81" s="34">
        <f>V81*0.7</f>
        <v>8.8488400000000009</v>
      </c>
      <c r="X81" s="34">
        <f>V81*0.7</f>
        <v>8.8488400000000009</v>
      </c>
      <c r="Y81" s="53">
        <v>53.09</v>
      </c>
      <c r="Z81" s="53">
        <f t="shared" si="9"/>
        <v>57.2</v>
      </c>
      <c r="AA81" s="53">
        <v>1.65</v>
      </c>
    </row>
  </sheetData>
  <autoFilter ref="A1:F8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17"/>
  <sheetViews>
    <sheetView workbookViewId="0">
      <selection activeCell="I50" sqref="I50:I51"/>
    </sheetView>
  </sheetViews>
  <sheetFormatPr defaultRowHeight="15"/>
  <cols>
    <col min="1" max="1" width="16.140625" style="53" customWidth="1"/>
    <col min="2" max="2" width="9.140625" style="53"/>
    <col min="3" max="3" width="20" style="53" customWidth="1"/>
    <col min="4" max="16384" width="9.140625" style="53"/>
  </cols>
  <sheetData>
    <row r="1" spans="1:5" ht="16.5" thickTop="1" thickBot="1">
      <c r="A1" s="182" t="s">
        <v>786</v>
      </c>
      <c r="B1" s="182" t="s">
        <v>655</v>
      </c>
      <c r="C1" s="53" t="s">
        <v>1294</v>
      </c>
      <c r="D1" s="178" t="s">
        <v>1293</v>
      </c>
    </row>
    <row r="2" spans="1:5" ht="15.75" thickTop="1">
      <c r="A2" s="179" t="s">
        <v>361</v>
      </c>
      <c r="B2" s="172">
        <v>90</v>
      </c>
      <c r="C2" s="53">
        <v>0.97</v>
      </c>
      <c r="D2" s="178">
        <v>2.95</v>
      </c>
      <c r="E2" s="53">
        <f>D3/C3*C2</f>
        <v>2.9409574468085111</v>
      </c>
    </row>
    <row r="3" spans="1:5">
      <c r="A3" s="179" t="s">
        <v>362</v>
      </c>
      <c r="B3" s="172">
        <v>60</v>
      </c>
      <c r="C3" s="53">
        <v>0.94</v>
      </c>
      <c r="D3" s="178">
        <v>2.85</v>
      </c>
    </row>
    <row r="4" spans="1:5">
      <c r="A4" s="179" t="s">
        <v>363</v>
      </c>
      <c r="B4" s="172">
        <v>40</v>
      </c>
      <c r="C4" s="53">
        <v>0.9</v>
      </c>
      <c r="D4" s="178">
        <v>2.74</v>
      </c>
      <c r="E4" s="53">
        <f>$D$3/$C$3*C4</f>
        <v>2.7287234042553195</v>
      </c>
    </row>
    <row r="5" spans="1:5">
      <c r="A5" s="179" t="s">
        <v>364</v>
      </c>
      <c r="B5" s="172">
        <v>26</v>
      </c>
      <c r="C5" s="53">
        <v>0.86</v>
      </c>
      <c r="D5" s="178">
        <v>2.61</v>
      </c>
      <c r="E5" s="53">
        <f>$D$3/$C$3*C5</f>
        <v>2.6074468085106388</v>
      </c>
    </row>
    <row r="6" spans="1:5">
      <c r="A6" s="179" t="s">
        <v>357</v>
      </c>
      <c r="B6" s="172">
        <v>90</v>
      </c>
      <c r="C6" s="53">
        <v>0.97</v>
      </c>
      <c r="D6" s="178">
        <v>7.62</v>
      </c>
    </row>
    <row r="7" spans="1:5">
      <c r="A7" s="179" t="s">
        <v>358</v>
      </c>
      <c r="B7" s="172">
        <v>60</v>
      </c>
      <c r="C7" s="53">
        <v>0.94</v>
      </c>
      <c r="D7" s="178">
        <v>7.39</v>
      </c>
    </row>
    <row r="8" spans="1:5">
      <c r="A8" s="179" t="s">
        <v>359</v>
      </c>
      <c r="B8" s="172">
        <v>40</v>
      </c>
      <c r="C8" s="53">
        <v>0.9</v>
      </c>
      <c r="D8" s="178">
        <v>7.07</v>
      </c>
    </row>
    <row r="9" spans="1:5">
      <c r="A9" s="179" t="s">
        <v>360</v>
      </c>
      <c r="B9" s="172">
        <v>26</v>
      </c>
      <c r="C9" s="53">
        <v>0.86</v>
      </c>
      <c r="D9" s="178">
        <v>6.75</v>
      </c>
    </row>
    <row r="10" spans="1:5">
      <c r="A10" s="179" t="s">
        <v>353</v>
      </c>
      <c r="B10" s="172">
        <v>90</v>
      </c>
      <c r="C10" s="53">
        <v>0.97</v>
      </c>
      <c r="D10" s="178">
        <v>13.6</v>
      </c>
    </row>
    <row r="11" spans="1:5">
      <c r="A11" s="179" t="s">
        <v>354</v>
      </c>
      <c r="B11" s="172">
        <v>60</v>
      </c>
      <c r="C11" s="53">
        <v>0.94</v>
      </c>
      <c r="D11" s="178">
        <v>12.9</v>
      </c>
    </row>
    <row r="12" spans="1:5">
      <c r="A12" s="179" t="s">
        <v>355</v>
      </c>
      <c r="B12" s="172">
        <v>40</v>
      </c>
      <c r="C12" s="53">
        <v>0.9</v>
      </c>
      <c r="D12" s="178">
        <v>11.7</v>
      </c>
    </row>
    <row r="13" spans="1:5">
      <c r="A13" s="179" t="s">
        <v>356</v>
      </c>
      <c r="B13" s="172">
        <v>26</v>
      </c>
      <c r="C13" s="53">
        <v>0.86</v>
      </c>
      <c r="D13" s="178">
        <v>11.3</v>
      </c>
    </row>
    <row r="14" spans="1:5">
      <c r="A14" s="179" t="s">
        <v>348</v>
      </c>
      <c r="B14" s="172">
        <v>90</v>
      </c>
      <c r="C14" s="53">
        <v>0.97</v>
      </c>
      <c r="D14" s="178">
        <v>17.3</v>
      </c>
    </row>
    <row r="15" spans="1:5">
      <c r="A15" s="179" t="s">
        <v>349</v>
      </c>
      <c r="B15" s="172">
        <v>60</v>
      </c>
      <c r="C15" s="53">
        <v>0.94</v>
      </c>
      <c r="D15" s="178">
        <v>16.7</v>
      </c>
    </row>
    <row r="16" spans="1:5">
      <c r="A16" s="179" t="s">
        <v>350</v>
      </c>
      <c r="B16" s="172">
        <v>40</v>
      </c>
      <c r="C16" s="53">
        <v>0.9</v>
      </c>
      <c r="D16" s="178">
        <v>16</v>
      </c>
    </row>
    <row r="17" spans="1:4">
      <c r="A17" s="179" t="s">
        <v>351</v>
      </c>
      <c r="B17" s="172">
        <v>26</v>
      </c>
      <c r="C17" s="53">
        <v>0.86</v>
      </c>
      <c r="D17" s="178">
        <v>15.6</v>
      </c>
    </row>
    <row r="18" spans="1:4">
      <c r="A18" s="179" t="s">
        <v>344</v>
      </c>
      <c r="B18" s="172">
        <v>90</v>
      </c>
      <c r="C18" s="53">
        <v>0.97</v>
      </c>
      <c r="D18" s="178">
        <v>35.1</v>
      </c>
    </row>
    <row r="19" spans="1:4">
      <c r="A19" s="179" t="s">
        <v>345</v>
      </c>
      <c r="B19" s="172">
        <v>60</v>
      </c>
      <c r="C19" s="53">
        <v>0.94</v>
      </c>
      <c r="D19" s="178">
        <v>34</v>
      </c>
    </row>
    <row r="20" spans="1:4">
      <c r="A20" s="179" t="s">
        <v>1292</v>
      </c>
      <c r="B20" s="172">
        <v>40</v>
      </c>
      <c r="C20" s="53">
        <v>0.9</v>
      </c>
      <c r="D20" s="178">
        <v>32.6</v>
      </c>
    </row>
    <row r="21" spans="1:4">
      <c r="A21" s="179" t="s">
        <v>347</v>
      </c>
      <c r="B21" s="172">
        <v>26</v>
      </c>
      <c r="C21" s="53">
        <v>0.86</v>
      </c>
      <c r="D21" s="178">
        <v>31.1</v>
      </c>
    </row>
    <row r="22" spans="1:4">
      <c r="A22" s="180" t="s">
        <v>327</v>
      </c>
      <c r="B22" s="174">
        <v>90</v>
      </c>
      <c r="C22" s="53">
        <v>0.97</v>
      </c>
      <c r="D22" s="177">
        <f>D25/C25*C22</f>
        <v>37.333720930232559</v>
      </c>
    </row>
    <row r="23" spans="1:4">
      <c r="A23" s="180" t="s">
        <v>328</v>
      </c>
      <c r="B23" s="174">
        <v>60</v>
      </c>
      <c r="C23" s="53">
        <v>0.94</v>
      </c>
      <c r="D23" s="177">
        <f>D25/C25*C23</f>
        <v>36.17906976744186</v>
      </c>
    </row>
    <row r="24" spans="1:4">
      <c r="A24" s="179" t="s">
        <v>329</v>
      </c>
      <c r="B24" s="172">
        <v>40</v>
      </c>
      <c r="C24" s="53">
        <v>0.9</v>
      </c>
      <c r="D24" s="178">
        <v>33.200000000000003</v>
      </c>
    </row>
    <row r="25" spans="1:4">
      <c r="A25" s="179" t="s">
        <v>330</v>
      </c>
      <c r="B25" s="172">
        <v>26</v>
      </c>
      <c r="C25" s="53">
        <v>0.86</v>
      </c>
      <c r="D25" s="178">
        <v>33.1</v>
      </c>
    </row>
    <row r="26" spans="1:4">
      <c r="A26" s="179" t="s">
        <v>340</v>
      </c>
      <c r="B26" s="172">
        <v>90</v>
      </c>
      <c r="C26" s="53">
        <v>0.97</v>
      </c>
      <c r="D26" s="178">
        <v>53.7</v>
      </c>
    </row>
    <row r="27" spans="1:4">
      <c r="A27" s="179" t="s">
        <v>341</v>
      </c>
      <c r="B27" s="172">
        <v>60</v>
      </c>
      <c r="C27" s="53">
        <v>0.94</v>
      </c>
      <c r="D27" s="178">
        <v>49.9</v>
      </c>
    </row>
    <row r="28" spans="1:4">
      <c r="A28" s="179" t="s">
        <v>342</v>
      </c>
      <c r="B28" s="172">
        <v>40</v>
      </c>
      <c r="C28" s="53">
        <v>0.9</v>
      </c>
      <c r="D28" s="178">
        <v>49.6</v>
      </c>
    </row>
    <row r="29" spans="1:4">
      <c r="A29" s="179" t="s">
        <v>343</v>
      </c>
      <c r="B29" s="172">
        <v>26</v>
      </c>
      <c r="C29" s="53">
        <v>0.86</v>
      </c>
      <c r="D29" s="178">
        <v>48</v>
      </c>
    </row>
    <row r="30" spans="1:4">
      <c r="A30" s="179" t="s">
        <v>336</v>
      </c>
      <c r="B30" s="172">
        <v>90</v>
      </c>
      <c r="C30" s="53">
        <v>0.97</v>
      </c>
      <c r="D30" s="178">
        <v>69</v>
      </c>
    </row>
    <row r="31" spans="1:4">
      <c r="A31" s="179" t="s">
        <v>337</v>
      </c>
      <c r="B31" s="172">
        <v>60</v>
      </c>
      <c r="C31" s="53">
        <v>0.94</v>
      </c>
      <c r="D31" s="178">
        <v>64.8</v>
      </c>
    </row>
    <row r="32" spans="1:4">
      <c r="A32" s="179" t="s">
        <v>338</v>
      </c>
      <c r="B32" s="172">
        <v>40</v>
      </c>
      <c r="C32" s="53">
        <v>0.9</v>
      </c>
      <c r="D32" s="178">
        <v>64.5</v>
      </c>
    </row>
    <row r="33" spans="1:4">
      <c r="A33" s="179" t="s">
        <v>339</v>
      </c>
      <c r="B33" s="172">
        <v>26</v>
      </c>
      <c r="C33" s="53">
        <v>0.86</v>
      </c>
      <c r="D33" s="178">
        <v>63.3</v>
      </c>
    </row>
    <row r="34" spans="1:4">
      <c r="A34" s="179"/>
      <c r="B34" s="174"/>
      <c r="D34" s="177"/>
    </row>
    <row r="35" spans="1:4">
      <c r="A35" s="180" t="s">
        <v>323</v>
      </c>
      <c r="B35" s="174">
        <v>60</v>
      </c>
      <c r="C35" s="53">
        <v>0.94</v>
      </c>
      <c r="D35" s="177">
        <f>D37/C37*C35</f>
        <v>126.6813953488372</v>
      </c>
    </row>
    <row r="36" spans="1:4">
      <c r="A36" s="179" t="s">
        <v>324</v>
      </c>
      <c r="B36" s="172">
        <v>40</v>
      </c>
      <c r="C36" s="53">
        <v>0.9</v>
      </c>
      <c r="D36" s="178">
        <v>120.2</v>
      </c>
    </row>
    <row r="37" spans="1:4">
      <c r="A37" s="179" t="s">
        <v>325</v>
      </c>
      <c r="B37" s="172">
        <v>26</v>
      </c>
      <c r="C37" s="53">
        <v>0.86</v>
      </c>
      <c r="D37" s="178">
        <v>115.9</v>
      </c>
    </row>
    <row r="38" spans="1:4">
      <c r="A38" s="179"/>
      <c r="B38" s="174"/>
      <c r="D38" s="177"/>
    </row>
    <row r="39" spans="1:4">
      <c r="A39" s="180" t="s">
        <v>318</v>
      </c>
      <c r="B39" s="174">
        <v>60</v>
      </c>
      <c r="C39" s="53">
        <v>0.94</v>
      </c>
      <c r="D39" s="177">
        <f>D41/C41*C39</f>
        <v>152.69534883720928</v>
      </c>
    </row>
    <row r="40" spans="1:4">
      <c r="A40" s="179" t="s">
        <v>319</v>
      </c>
      <c r="B40" s="172">
        <v>40</v>
      </c>
      <c r="C40" s="53">
        <v>0.9</v>
      </c>
      <c r="D40" s="178">
        <v>142</v>
      </c>
    </row>
    <row r="41" spans="1:4">
      <c r="A41" s="179" t="s">
        <v>320</v>
      </c>
      <c r="B41" s="172">
        <v>26</v>
      </c>
      <c r="C41" s="53">
        <v>0.86</v>
      </c>
      <c r="D41" s="178">
        <v>139.69999999999999</v>
      </c>
    </row>
    <row r="42" spans="1:4">
      <c r="A42" s="179"/>
      <c r="B42" s="174"/>
      <c r="D42" s="177"/>
    </row>
    <row r="43" spans="1:4">
      <c r="A43" s="180" t="s">
        <v>314</v>
      </c>
      <c r="B43" s="174">
        <v>60</v>
      </c>
      <c r="C43" s="53">
        <v>0.94</v>
      </c>
      <c r="D43" s="177">
        <f>D45/C45*C43</f>
        <v>233.14186046511628</v>
      </c>
    </row>
    <row r="44" spans="1:4">
      <c r="A44" s="179" t="s">
        <v>315</v>
      </c>
      <c r="B44" s="172">
        <v>40</v>
      </c>
      <c r="C44" s="53">
        <v>0.9</v>
      </c>
      <c r="D44" s="178">
        <v>226.3</v>
      </c>
    </row>
    <row r="45" spans="1:4">
      <c r="A45" s="179" t="s">
        <v>316</v>
      </c>
      <c r="B45" s="172">
        <v>26</v>
      </c>
      <c r="C45" s="53">
        <v>0.86</v>
      </c>
      <c r="D45" s="178">
        <v>213.3</v>
      </c>
    </row>
    <row r="46" spans="1:4">
      <c r="A46" s="179"/>
      <c r="B46" s="174"/>
      <c r="D46" s="177"/>
    </row>
    <row r="47" spans="1:4">
      <c r="A47" s="179" t="s">
        <v>308</v>
      </c>
      <c r="B47" s="181">
        <v>60</v>
      </c>
      <c r="C47" s="53">
        <v>0.94</v>
      </c>
      <c r="D47" s="178">
        <v>156</v>
      </c>
    </row>
    <row r="48" spans="1:4">
      <c r="A48" s="179" t="s">
        <v>309</v>
      </c>
      <c r="B48" s="172">
        <v>40</v>
      </c>
      <c r="C48" s="53">
        <v>0.9</v>
      </c>
      <c r="D48" s="178">
        <v>149.6</v>
      </c>
    </row>
    <row r="49" spans="1:4">
      <c r="A49" s="179" t="s">
        <v>310</v>
      </c>
      <c r="B49" s="172">
        <v>26</v>
      </c>
      <c r="C49" s="53">
        <v>0.86</v>
      </c>
      <c r="D49" s="178">
        <v>143</v>
      </c>
    </row>
    <row r="50" spans="1:4">
      <c r="A50" s="179"/>
      <c r="B50" s="174"/>
      <c r="D50" s="177"/>
    </row>
    <row r="51" spans="1:4">
      <c r="A51" s="180" t="s">
        <v>304</v>
      </c>
      <c r="B51" s="174">
        <v>60</v>
      </c>
      <c r="C51" s="53">
        <v>0.94</v>
      </c>
      <c r="D51" s="177">
        <f>D53/C53*C51</f>
        <v>215.32558139534885</v>
      </c>
    </row>
    <row r="52" spans="1:4">
      <c r="A52" s="179" t="s">
        <v>305</v>
      </c>
      <c r="B52" s="172">
        <v>40</v>
      </c>
      <c r="C52" s="53">
        <v>0.9</v>
      </c>
      <c r="D52" s="178">
        <v>203</v>
      </c>
    </row>
    <row r="53" spans="1:4">
      <c r="A53" s="179" t="s">
        <v>306</v>
      </c>
      <c r="B53" s="172">
        <v>26</v>
      </c>
      <c r="C53" s="53">
        <v>0.86</v>
      </c>
      <c r="D53" s="178">
        <v>197</v>
      </c>
    </row>
    <row r="54" spans="1:4">
      <c r="A54" s="179"/>
      <c r="B54" s="174"/>
      <c r="D54" s="177"/>
    </row>
    <row r="55" spans="1:4">
      <c r="A55" s="180"/>
      <c r="B55" s="174"/>
      <c r="D55" s="177"/>
    </row>
    <row r="56" spans="1:4">
      <c r="A56" s="180"/>
      <c r="B56" s="174"/>
      <c r="D56" s="177"/>
    </row>
    <row r="57" spans="1:4">
      <c r="A57" s="179" t="s">
        <v>299</v>
      </c>
      <c r="B57" s="172">
        <v>26</v>
      </c>
      <c r="C57" s="53">
        <v>0.86</v>
      </c>
      <c r="D57" s="178">
        <v>222</v>
      </c>
    </row>
    <row r="58" spans="1:4">
      <c r="A58" s="179" t="s">
        <v>1267</v>
      </c>
      <c r="B58" s="172">
        <v>26</v>
      </c>
      <c r="D58" s="178">
        <v>690</v>
      </c>
    </row>
    <row r="59" spans="1:4">
      <c r="A59" s="179" t="s">
        <v>1265</v>
      </c>
      <c r="B59" s="172">
        <v>60</v>
      </c>
      <c r="D59" s="178">
        <v>720</v>
      </c>
    </row>
    <row r="60" spans="1:4">
      <c r="A60" s="177" t="s">
        <v>759</v>
      </c>
      <c r="B60" s="174">
        <v>90</v>
      </c>
      <c r="C60" s="53">
        <v>0.97</v>
      </c>
      <c r="D60" s="176">
        <v>20.08266858268</v>
      </c>
    </row>
    <row r="61" spans="1:4">
      <c r="A61" s="173" t="s">
        <v>352</v>
      </c>
      <c r="B61" s="172">
        <v>60</v>
      </c>
      <c r="C61" s="53">
        <v>0.94</v>
      </c>
      <c r="D61" s="175">
        <v>19.46155512136</v>
      </c>
    </row>
    <row r="62" spans="1:4">
      <c r="A62" s="177" t="s">
        <v>758</v>
      </c>
      <c r="B62" s="174">
        <v>40</v>
      </c>
      <c r="C62" s="53">
        <v>0.9</v>
      </c>
      <c r="D62" s="176">
        <v>18.6334038396</v>
      </c>
    </row>
    <row r="63" spans="1:4">
      <c r="A63" s="177"/>
      <c r="B63" s="174"/>
      <c r="D63" s="176"/>
    </row>
    <row r="64" spans="1:4">
      <c r="A64" s="177" t="s">
        <v>761</v>
      </c>
      <c r="B64" s="174">
        <v>90</v>
      </c>
      <c r="C64" s="53">
        <v>0.97</v>
      </c>
      <c r="D64" s="176">
        <v>20.016711935</v>
      </c>
    </row>
    <row r="65" spans="1:4">
      <c r="A65" s="173" t="s">
        <v>335</v>
      </c>
      <c r="B65" s="172">
        <v>60</v>
      </c>
      <c r="C65" s="53">
        <v>0.94</v>
      </c>
      <c r="D65" s="175">
        <v>19.397638369999999</v>
      </c>
    </row>
    <row r="66" spans="1:4">
      <c r="A66" s="177" t="s">
        <v>760</v>
      </c>
      <c r="B66" s="174">
        <v>40</v>
      </c>
      <c r="C66" s="53">
        <v>0.9</v>
      </c>
      <c r="D66" s="176">
        <v>18.572206949999998</v>
      </c>
    </row>
    <row r="67" spans="1:4">
      <c r="A67" s="177"/>
      <c r="B67" s="174"/>
      <c r="D67" s="176"/>
    </row>
    <row r="68" spans="1:4">
      <c r="A68" s="177" t="s">
        <v>763</v>
      </c>
      <c r="B68" s="174">
        <v>90</v>
      </c>
      <c r="C68" s="53">
        <v>0.97</v>
      </c>
      <c r="D68" s="176">
        <v>25.351701265000006</v>
      </c>
    </row>
    <row r="69" spans="1:4">
      <c r="A69" s="173" t="s">
        <v>334</v>
      </c>
      <c r="B69" s="172">
        <v>60</v>
      </c>
      <c r="C69" s="53">
        <v>0.94</v>
      </c>
      <c r="D69" s="175">
        <v>24.567628030000009</v>
      </c>
    </row>
    <row r="70" spans="1:4">
      <c r="A70" s="177" t="s">
        <v>762</v>
      </c>
      <c r="B70" s="174">
        <v>40</v>
      </c>
      <c r="C70" s="53">
        <v>0.9</v>
      </c>
      <c r="D70" s="176">
        <v>23.522197050000006</v>
      </c>
    </row>
    <row r="71" spans="1:4">
      <c r="A71" s="173" t="s">
        <v>331</v>
      </c>
      <c r="B71" s="172">
        <v>90</v>
      </c>
      <c r="C71" s="53">
        <v>0.97</v>
      </c>
      <c r="D71" s="175">
        <v>40.012419975</v>
      </c>
    </row>
    <row r="72" spans="1:4">
      <c r="A72" s="173" t="s">
        <v>332</v>
      </c>
      <c r="B72" s="172">
        <v>60</v>
      </c>
      <c r="C72" s="53">
        <v>0.94</v>
      </c>
      <c r="D72" s="175">
        <v>38.774922449999998</v>
      </c>
    </row>
    <row r="73" spans="1:4">
      <c r="A73" s="173" t="s">
        <v>333</v>
      </c>
      <c r="B73" s="172">
        <v>40</v>
      </c>
      <c r="C73" s="53">
        <v>0.9</v>
      </c>
      <c r="D73" s="175">
        <v>37.124925750000003</v>
      </c>
    </row>
    <row r="74" spans="1:4">
      <c r="A74" s="173"/>
      <c r="B74" s="174"/>
      <c r="D74" s="171">
        <v>82.397640439839975</v>
      </c>
    </row>
    <row r="75" spans="1:4">
      <c r="A75" s="173" t="s">
        <v>326</v>
      </c>
      <c r="B75" s="172">
        <v>26</v>
      </c>
      <c r="C75" s="53">
        <v>0.86</v>
      </c>
      <c r="D75" s="171">
        <v>73.053578121919983</v>
      </c>
    </row>
    <row r="76" spans="1:4">
      <c r="A76" s="173"/>
      <c r="B76" s="174"/>
      <c r="D76" s="171">
        <v>117.90379240067998</v>
      </c>
    </row>
    <row r="77" spans="1:4">
      <c r="A77" s="173" t="s">
        <v>321</v>
      </c>
      <c r="B77" s="172">
        <v>26</v>
      </c>
      <c r="C77" s="53">
        <v>0.86</v>
      </c>
      <c r="D77" s="171">
        <v>104.53325924183997</v>
      </c>
    </row>
    <row r="78" spans="1:4">
      <c r="A78" s="173"/>
      <c r="B78" s="174"/>
      <c r="D78" s="171"/>
    </row>
    <row r="79" spans="1:4">
      <c r="A79" s="173" t="s">
        <v>313</v>
      </c>
      <c r="B79" s="172">
        <v>26</v>
      </c>
      <c r="C79" s="53">
        <v>0.86</v>
      </c>
      <c r="D79" s="171">
        <v>142.59993877799997</v>
      </c>
    </row>
    <row r="80" spans="1:4">
      <c r="A80" s="173"/>
      <c r="B80" s="174"/>
      <c r="D80" s="171"/>
    </row>
    <row r="81" spans="1:4">
      <c r="A81" s="173" t="s">
        <v>311</v>
      </c>
      <c r="B81" s="172">
        <v>26</v>
      </c>
      <c r="C81" s="53">
        <v>0.86</v>
      </c>
      <c r="D81" s="171">
        <v>126.12094424929997</v>
      </c>
    </row>
    <row r="82" spans="1:4">
      <c r="A82" s="173"/>
      <c r="B82" s="174"/>
      <c r="D82" s="171"/>
    </row>
    <row r="83" spans="1:4">
      <c r="A83" s="173" t="s">
        <v>307</v>
      </c>
      <c r="B83" s="172">
        <v>26</v>
      </c>
      <c r="C83" s="53">
        <v>0.86</v>
      </c>
      <c r="D83" s="171">
        <v>159.89527071540002</v>
      </c>
    </row>
    <row r="84" spans="1:4">
      <c r="A84" s="173"/>
      <c r="B84" s="174"/>
      <c r="D84" s="171"/>
    </row>
    <row r="85" spans="1:4">
      <c r="A85" s="173" t="s">
        <v>303</v>
      </c>
      <c r="B85" s="172">
        <v>26</v>
      </c>
      <c r="C85" s="53">
        <v>0.86</v>
      </c>
      <c r="D85" s="171">
        <v>126.93100430472002</v>
      </c>
    </row>
    <row r="86" spans="1:4">
      <c r="A86" s="173"/>
      <c r="B86" s="174"/>
      <c r="D86" s="171"/>
    </row>
    <row r="87" spans="1:4">
      <c r="A87" s="173" t="s">
        <v>302</v>
      </c>
      <c r="B87" s="172">
        <v>26</v>
      </c>
      <c r="C87" s="53">
        <v>0.86</v>
      </c>
      <c r="D87" s="171">
        <v>210.10765006000005</v>
      </c>
    </row>
    <row r="88" spans="1:4">
      <c r="A88" s="168" t="s">
        <v>1291</v>
      </c>
      <c r="B88" s="169">
        <v>14</v>
      </c>
      <c r="C88" s="53">
        <v>0.8</v>
      </c>
      <c r="D88" s="170">
        <v>260</v>
      </c>
    </row>
    <row r="89" spans="1:4">
      <c r="A89" s="168" t="s">
        <v>698</v>
      </c>
      <c r="B89" s="167">
        <v>26</v>
      </c>
      <c r="C89" s="53">
        <v>0.86</v>
      </c>
      <c r="D89" s="170">
        <v>280</v>
      </c>
    </row>
    <row r="90" spans="1:4">
      <c r="A90" s="168" t="s">
        <v>1290</v>
      </c>
      <c r="B90" s="169">
        <v>40</v>
      </c>
      <c r="C90" s="53">
        <v>0.9</v>
      </c>
      <c r="D90" s="170">
        <v>290</v>
      </c>
    </row>
    <row r="91" spans="1:4">
      <c r="A91" s="168" t="s">
        <v>702</v>
      </c>
      <c r="B91" s="167">
        <v>60</v>
      </c>
      <c r="C91" s="53">
        <v>0.94</v>
      </c>
      <c r="D91" s="170">
        <v>300</v>
      </c>
    </row>
    <row r="92" spans="1:4">
      <c r="A92" s="168" t="s">
        <v>1289</v>
      </c>
      <c r="B92" s="169">
        <v>14</v>
      </c>
      <c r="C92" s="53">
        <v>0.8</v>
      </c>
    </row>
    <row r="93" spans="1:4">
      <c r="A93" s="168" t="s">
        <v>1288</v>
      </c>
      <c r="B93" s="167">
        <v>26</v>
      </c>
      <c r="C93" s="53">
        <v>0.86</v>
      </c>
    </row>
    <row r="94" spans="1:4">
      <c r="A94" s="168" t="s">
        <v>1287</v>
      </c>
      <c r="B94" s="169">
        <v>40</v>
      </c>
      <c r="C94" s="53">
        <v>0.9</v>
      </c>
    </row>
    <row r="95" spans="1:4">
      <c r="A95" s="168" t="s">
        <v>1286</v>
      </c>
      <c r="B95" s="167">
        <v>60</v>
      </c>
      <c r="C95" s="53">
        <v>0.94</v>
      </c>
    </row>
    <row r="96" spans="1:4">
      <c r="A96" s="168" t="s">
        <v>1285</v>
      </c>
      <c r="B96" s="169">
        <v>14</v>
      </c>
      <c r="C96" s="53">
        <v>0.8</v>
      </c>
      <c r="D96" s="53">
        <f>D97/C97*C96</f>
        <v>158.13953488372096</v>
      </c>
    </row>
    <row r="97" spans="1:4">
      <c r="A97" s="168" t="s">
        <v>700</v>
      </c>
      <c r="B97" s="167">
        <v>26</v>
      </c>
      <c r="C97" s="53">
        <v>0.86</v>
      </c>
      <c r="D97" s="53">
        <v>170</v>
      </c>
    </row>
    <row r="98" spans="1:4">
      <c r="A98" s="168" t="s">
        <v>703</v>
      </c>
      <c r="B98" s="169">
        <v>40</v>
      </c>
      <c r="C98" s="53">
        <v>0.9</v>
      </c>
      <c r="D98" s="53">
        <v>180</v>
      </c>
    </row>
    <row r="99" spans="1:4">
      <c r="A99" s="168" t="s">
        <v>704</v>
      </c>
      <c r="B99" s="167">
        <v>60</v>
      </c>
      <c r="C99" s="53">
        <v>0.94</v>
      </c>
      <c r="D99" s="53">
        <v>190</v>
      </c>
    </row>
    <row r="100" spans="1:4">
      <c r="A100" s="168" t="s">
        <v>1284</v>
      </c>
      <c r="B100" s="169">
        <v>14</v>
      </c>
      <c r="C100" s="53">
        <v>0.8</v>
      </c>
      <c r="D100" s="53">
        <f>$D$101/$C$101*C100</f>
        <v>130.23255813953489</v>
      </c>
    </row>
    <row r="101" spans="1:4">
      <c r="A101" s="168" t="s">
        <v>701</v>
      </c>
      <c r="B101" s="167">
        <v>26</v>
      </c>
      <c r="C101" s="53">
        <v>0.86</v>
      </c>
      <c r="D101" s="53">
        <v>140</v>
      </c>
    </row>
    <row r="102" spans="1:4">
      <c r="A102" s="168" t="s">
        <v>1283</v>
      </c>
      <c r="B102" s="169">
        <v>40</v>
      </c>
      <c r="C102" s="53">
        <v>0.9</v>
      </c>
      <c r="D102" s="53">
        <f>$D$101/$C$101*C102</f>
        <v>146.51162790697674</v>
      </c>
    </row>
    <row r="103" spans="1:4">
      <c r="A103" s="168" t="s">
        <v>711</v>
      </c>
      <c r="B103" s="167">
        <v>60</v>
      </c>
      <c r="C103" s="53">
        <v>0.94</v>
      </c>
      <c r="D103" s="53">
        <f>$D$101/$C$101*C103</f>
        <v>153.02325581395348</v>
      </c>
    </row>
    <row r="104" spans="1:4">
      <c r="A104" s="168" t="s">
        <v>1282</v>
      </c>
      <c r="B104" s="169">
        <v>14</v>
      </c>
      <c r="C104" s="53">
        <v>0.8</v>
      </c>
      <c r="D104" s="53">
        <f>$D$105/$C$105*C104</f>
        <v>223.25581395348837</v>
      </c>
    </row>
    <row r="105" spans="1:4">
      <c r="A105" s="168" t="s">
        <v>1281</v>
      </c>
      <c r="B105" s="167">
        <v>26</v>
      </c>
      <c r="C105" s="53">
        <v>0.86</v>
      </c>
      <c r="D105" s="53">
        <v>240</v>
      </c>
    </row>
    <row r="106" spans="1:4">
      <c r="A106" s="168" t="s">
        <v>1280</v>
      </c>
      <c r="B106" s="169">
        <v>40</v>
      </c>
      <c r="C106" s="53">
        <v>0.9</v>
      </c>
      <c r="D106" s="53">
        <f>$D$105/$C$105*C106</f>
        <v>251.16279069767441</v>
      </c>
    </row>
    <row r="107" spans="1:4">
      <c r="A107" s="168" t="s">
        <v>1279</v>
      </c>
      <c r="B107" s="167">
        <v>60</v>
      </c>
      <c r="C107" s="53">
        <v>0.94</v>
      </c>
      <c r="D107" s="53">
        <f>$D$105/$C$105*C107</f>
        <v>262.32558139534882</v>
      </c>
    </row>
    <row r="108" spans="1:4">
      <c r="A108" s="168" t="s">
        <v>1278</v>
      </c>
      <c r="B108" s="169">
        <v>26</v>
      </c>
      <c r="D108" s="53">
        <v>328</v>
      </c>
    </row>
    <row r="109" spans="1:4">
      <c r="A109" s="168" t="s">
        <v>1277</v>
      </c>
      <c r="B109" s="167">
        <v>40</v>
      </c>
      <c r="D109" s="53">
        <v>336</v>
      </c>
    </row>
    <row r="110" spans="1:4">
      <c r="A110" s="168" t="s">
        <v>1276</v>
      </c>
      <c r="B110" s="169">
        <v>26</v>
      </c>
      <c r="D110" s="53">
        <v>190</v>
      </c>
    </row>
    <row r="111" spans="1:4">
      <c r="A111" s="168" t="s">
        <v>1275</v>
      </c>
      <c r="B111" s="167">
        <v>40</v>
      </c>
      <c r="D111" s="53">
        <v>196</v>
      </c>
    </row>
    <row r="112" spans="1:4">
      <c r="A112" s="168" t="s">
        <v>1274</v>
      </c>
      <c r="B112" s="169">
        <v>26</v>
      </c>
      <c r="D112" s="53">
        <v>139</v>
      </c>
    </row>
    <row r="113" spans="1:4">
      <c r="A113" s="168" t="s">
        <v>1273</v>
      </c>
      <c r="B113" s="167">
        <v>40</v>
      </c>
      <c r="D113" s="53">
        <v>143</v>
      </c>
    </row>
    <row r="114" spans="1:4">
      <c r="A114" s="168" t="s">
        <v>1272</v>
      </c>
      <c r="B114" s="169">
        <v>26</v>
      </c>
      <c r="D114" s="53">
        <v>165</v>
      </c>
    </row>
    <row r="115" spans="1:4">
      <c r="A115" s="168" t="s">
        <v>1271</v>
      </c>
      <c r="B115" s="167">
        <v>40</v>
      </c>
      <c r="D115" s="53">
        <v>170</v>
      </c>
    </row>
    <row r="116" spans="1:4">
      <c r="A116" s="168" t="s">
        <v>1270</v>
      </c>
      <c r="B116" s="169">
        <v>26</v>
      </c>
      <c r="D116" s="53">
        <v>299</v>
      </c>
    </row>
    <row r="117" spans="1:4">
      <c r="A117" s="168" t="s">
        <v>1269</v>
      </c>
      <c r="B117" s="167">
        <v>40</v>
      </c>
      <c r="D117" s="53">
        <v>307</v>
      </c>
    </row>
  </sheetData>
  <autoFilter ref="B1:B10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D13" sqref="D13"/>
    </sheetView>
  </sheetViews>
  <sheetFormatPr defaultRowHeight="15"/>
  <cols>
    <col min="1" max="2" width="9.140625" style="53"/>
    <col min="3" max="3" width="10.5703125" style="53" customWidth="1"/>
    <col min="4" max="4" width="9.140625" style="53"/>
    <col min="5" max="5" width="10.5703125" style="53" customWidth="1"/>
    <col min="6" max="16384" width="9.140625" style="53"/>
  </cols>
  <sheetData>
    <row r="1" spans="1:3">
      <c r="A1" s="53" t="s">
        <v>1200</v>
      </c>
      <c r="C1" s="53" t="s">
        <v>1295</v>
      </c>
    </row>
    <row r="2" spans="1:3">
      <c r="A2" s="474" t="s">
        <v>1296</v>
      </c>
      <c r="B2" s="474"/>
      <c r="C2" s="53">
        <v>10.371</v>
      </c>
    </row>
    <row r="3" spans="1:3">
      <c r="A3" s="474" t="s">
        <v>1297</v>
      </c>
      <c r="B3" s="474"/>
      <c r="C3" s="53">
        <v>17</v>
      </c>
    </row>
    <row r="4" spans="1:3">
      <c r="A4" s="474" t="s">
        <v>1298</v>
      </c>
      <c r="B4" s="474"/>
    </row>
    <row r="7" spans="1:3">
      <c r="A7" s="53" t="s">
        <v>1299</v>
      </c>
    </row>
    <row r="8" spans="1:3">
      <c r="A8" s="53" t="s">
        <v>1296</v>
      </c>
      <c r="C8" s="53">
        <v>4.0410000000000003E-3</v>
      </c>
    </row>
    <row r="9" spans="1:3">
      <c r="A9" s="53" t="s">
        <v>1297</v>
      </c>
      <c r="C9" s="53">
        <v>4.3080000000000002E-3</v>
      </c>
    </row>
  </sheetData>
  <mergeCells count="3">
    <mergeCell ref="A2:B2"/>
    <mergeCell ref="A3:B3"/>
    <mergeCell ref="A4:B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2"/>
  <sheetViews>
    <sheetView workbookViewId="0">
      <selection activeCell="A37" sqref="A37"/>
    </sheetView>
  </sheetViews>
  <sheetFormatPr defaultRowHeight="15"/>
  <cols>
    <col min="1" max="1" width="9.140625" style="160"/>
    <col min="2" max="2" width="9.140625" style="161"/>
    <col min="3" max="16384" width="9.140625" style="53"/>
  </cols>
  <sheetData>
    <row r="1" spans="1:2">
      <c r="A1" s="160" t="s">
        <v>658</v>
      </c>
    </row>
    <row r="2" spans="1:2">
      <c r="A2" s="160">
        <v>140</v>
      </c>
      <c r="B2" s="161">
        <v>3.56</v>
      </c>
    </row>
    <row r="3" spans="1:2">
      <c r="A3" s="160">
        <v>150</v>
      </c>
      <c r="B3" s="161">
        <v>3.94</v>
      </c>
    </row>
    <row r="4" spans="1:2">
      <c r="A4" s="160">
        <v>180</v>
      </c>
      <c r="B4" s="161">
        <v>4.6500000000000004</v>
      </c>
    </row>
    <row r="5" spans="1:2">
      <c r="A5" s="160">
        <v>20</v>
      </c>
      <c r="B5" s="161">
        <v>6.35</v>
      </c>
    </row>
    <row r="6" spans="1:2">
      <c r="A6" s="160">
        <v>240</v>
      </c>
      <c r="B6" s="161">
        <v>6.6</v>
      </c>
    </row>
    <row r="7" spans="1:2">
      <c r="A7" s="160">
        <v>270</v>
      </c>
      <c r="B7" s="161">
        <v>6.6</v>
      </c>
    </row>
    <row r="8" spans="1:2">
      <c r="A8" s="160">
        <v>410</v>
      </c>
      <c r="B8" s="161">
        <v>6.86</v>
      </c>
    </row>
    <row r="9" spans="1:2">
      <c r="A9" s="160">
        <v>30</v>
      </c>
      <c r="B9" s="161">
        <v>7.87</v>
      </c>
    </row>
    <row r="10" spans="1:2">
      <c r="A10" s="160">
        <v>280</v>
      </c>
      <c r="B10" s="161">
        <v>9.65</v>
      </c>
    </row>
    <row r="11" spans="1:2">
      <c r="A11" s="160">
        <v>290</v>
      </c>
      <c r="B11" s="161">
        <v>9.65</v>
      </c>
    </row>
    <row r="12" spans="1:2">
      <c r="A12" s="160">
        <v>40</v>
      </c>
      <c r="B12" s="162">
        <v>10.199999999999999</v>
      </c>
    </row>
    <row r="13" spans="1:2">
      <c r="A13" s="160">
        <v>130</v>
      </c>
      <c r="B13" s="162">
        <v>11.2</v>
      </c>
    </row>
    <row r="14" spans="1:2">
      <c r="A14" s="160">
        <v>50</v>
      </c>
      <c r="B14" s="162">
        <v>12.7</v>
      </c>
    </row>
    <row r="15" spans="1:2">
      <c r="A15" s="160">
        <v>120</v>
      </c>
      <c r="B15" s="162">
        <v>16.600000000000001</v>
      </c>
    </row>
    <row r="16" spans="1:2">
      <c r="A16" s="160">
        <v>380</v>
      </c>
      <c r="B16" s="162">
        <v>17.3</v>
      </c>
    </row>
    <row r="17" spans="1:2">
      <c r="A17" s="160">
        <v>206</v>
      </c>
      <c r="B17" s="162">
        <v>20.3</v>
      </c>
    </row>
    <row r="18" spans="1:2">
      <c r="A18" s="160">
        <v>310</v>
      </c>
      <c r="B18" s="162">
        <v>22.9</v>
      </c>
    </row>
    <row r="19" spans="1:2">
      <c r="A19" s="160">
        <v>350</v>
      </c>
      <c r="B19" s="162">
        <v>23.6</v>
      </c>
    </row>
    <row r="20" spans="1:2">
      <c r="A20" s="160">
        <v>930</v>
      </c>
      <c r="B20" s="162">
        <v>26.9</v>
      </c>
    </row>
    <row r="21" spans="1:2">
      <c r="A21" s="160">
        <v>548</v>
      </c>
      <c r="B21" s="162">
        <v>32.799999999999997</v>
      </c>
    </row>
    <row r="22" spans="1:2">
      <c r="A22" s="160">
        <v>585</v>
      </c>
      <c r="B22" s="162">
        <v>34.299999999999997</v>
      </c>
    </row>
    <row r="23" spans="1:2">
      <c r="A23" s="160">
        <v>324</v>
      </c>
      <c r="B23" s="162">
        <v>35.799999999999997</v>
      </c>
    </row>
    <row r="24" spans="1:2">
      <c r="A24" s="160">
        <v>254</v>
      </c>
      <c r="B24" s="162">
        <v>39.9</v>
      </c>
    </row>
    <row r="25" spans="1:2">
      <c r="A25" s="160">
        <v>438</v>
      </c>
      <c r="B25" s="162">
        <v>46.7</v>
      </c>
    </row>
    <row r="26" spans="1:2">
      <c r="A26" s="160">
        <v>89</v>
      </c>
      <c r="B26" s="162">
        <v>46.7</v>
      </c>
    </row>
    <row r="27" spans="1:2">
      <c r="A27" s="160">
        <v>715</v>
      </c>
      <c r="B27" s="162">
        <v>50.8</v>
      </c>
    </row>
    <row r="28" spans="1:2">
      <c r="A28" s="160">
        <v>195</v>
      </c>
      <c r="B28" s="162">
        <v>57.2</v>
      </c>
    </row>
    <row r="29" spans="1:2">
      <c r="A29" s="160">
        <v>109</v>
      </c>
      <c r="B29" s="162">
        <v>57.2</v>
      </c>
    </row>
    <row r="30" spans="1:2">
      <c r="A30" s="160">
        <v>620</v>
      </c>
      <c r="B30" s="162">
        <v>62</v>
      </c>
    </row>
    <row r="31" spans="1:2">
      <c r="A31" s="160">
        <v>740</v>
      </c>
      <c r="B31" s="162">
        <v>74.099999999999994</v>
      </c>
    </row>
    <row r="32" spans="1:2">
      <c r="A32" s="160">
        <v>866</v>
      </c>
      <c r="B32" s="162">
        <v>77.8</v>
      </c>
    </row>
    <row r="33" spans="1:2">
      <c r="A33" s="160">
        <v>906</v>
      </c>
      <c r="B33" s="162">
        <v>77.8</v>
      </c>
    </row>
    <row r="34" spans="1:2">
      <c r="A34" s="160">
        <v>102</v>
      </c>
      <c r="B34" s="162">
        <v>101.6</v>
      </c>
    </row>
    <row r="35" spans="1:2">
      <c r="A35" s="160">
        <v>337</v>
      </c>
      <c r="B35" s="162">
        <v>132.6</v>
      </c>
    </row>
    <row r="36" spans="1:2">
      <c r="A36" s="160">
        <v>165</v>
      </c>
      <c r="B36" s="162">
        <v>165.1</v>
      </c>
    </row>
    <row r="37" spans="1:2">
      <c r="B37" s="162"/>
    </row>
    <row r="38" spans="1:2">
      <c r="B38" s="162"/>
    </row>
    <row r="39" spans="1:2">
      <c r="B39" s="162"/>
    </row>
    <row r="40" spans="1:2">
      <c r="B40" s="162"/>
    </row>
    <row r="41" spans="1:2">
      <c r="B41" s="162"/>
    </row>
    <row r="42" spans="1:2">
      <c r="B42" s="1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36"/>
  <sheetViews>
    <sheetView workbookViewId="0">
      <selection activeCell="C29" sqref="C29"/>
    </sheetView>
  </sheetViews>
  <sheetFormatPr defaultRowHeight="15"/>
  <cols>
    <col min="1" max="1" width="12.85546875" customWidth="1"/>
    <col min="2" max="2" width="15.42578125" customWidth="1"/>
    <col min="3" max="3" width="14.7109375" bestFit="1" customWidth="1"/>
    <col min="15" max="15" width="19.42578125" customWidth="1"/>
  </cols>
  <sheetData>
    <row r="1" spans="1:17">
      <c r="A1" s="77" t="s">
        <v>1012</v>
      </c>
      <c r="B1" s="77" t="s">
        <v>1013</v>
      </c>
      <c r="C1" s="77" t="s">
        <v>1024</v>
      </c>
      <c r="D1" s="77" t="s">
        <v>1014</v>
      </c>
      <c r="E1" s="77" t="s">
        <v>1015</v>
      </c>
      <c r="F1" s="77" t="s">
        <v>1016</v>
      </c>
      <c r="G1" s="77" t="s">
        <v>1017</v>
      </c>
      <c r="H1" s="77" t="s">
        <v>1018</v>
      </c>
      <c r="I1" s="77" t="s">
        <v>1019</v>
      </c>
      <c r="J1" s="77" t="s">
        <v>1020</v>
      </c>
      <c r="K1" s="77" t="s">
        <v>1021</v>
      </c>
      <c r="L1" s="77" t="s">
        <v>1022</v>
      </c>
      <c r="M1" s="77" t="s">
        <v>1023</v>
      </c>
      <c r="N1" s="77" t="s">
        <v>1025</v>
      </c>
      <c r="O1" s="77" t="s">
        <v>1026</v>
      </c>
      <c r="P1" s="77" t="s">
        <v>1027</v>
      </c>
      <c r="Q1" s="77" t="s">
        <v>1028</v>
      </c>
    </row>
    <row r="2" spans="1:17">
      <c r="A2" s="78">
        <v>1</v>
      </c>
      <c r="B2" s="78" t="s">
        <v>1029</v>
      </c>
      <c r="C2" s="79">
        <v>4.8462304110579769E-4</v>
      </c>
      <c r="D2" s="78">
        <v>0</v>
      </c>
      <c r="E2" s="78">
        <v>4.8462304110579769E-4</v>
      </c>
      <c r="F2" s="78">
        <v>3.3312381452419581E-4</v>
      </c>
      <c r="G2" s="78">
        <v>2.8431779354916721E-4</v>
      </c>
      <c r="H2" s="78">
        <v>2.6186959695359834E-4</v>
      </c>
      <c r="I2" s="78">
        <v>2.4669739737146043E-4</v>
      </c>
      <c r="J2" s="78">
        <v>2.0723278962311875E-4</v>
      </c>
      <c r="K2" s="78">
        <v>0</v>
      </c>
      <c r="L2" s="78">
        <v>0</v>
      </c>
      <c r="M2" s="78">
        <v>0</v>
      </c>
      <c r="N2" s="78">
        <v>2.0723278962311875E-4</v>
      </c>
      <c r="O2" s="78" t="s">
        <v>1030</v>
      </c>
      <c r="P2" s="78">
        <v>0.98221417343750006</v>
      </c>
      <c r="Q2" s="78">
        <v>0.98221417343750006</v>
      </c>
    </row>
    <row r="3" spans="1:17">
      <c r="A3" s="78">
        <v>2</v>
      </c>
      <c r="B3" s="78" t="s">
        <v>1031</v>
      </c>
      <c r="C3" s="79">
        <v>1.9145285388503901E-3</v>
      </c>
      <c r="D3" s="78">
        <v>0</v>
      </c>
      <c r="E3" s="78">
        <v>1.9145285388503888E-3</v>
      </c>
      <c r="F3" s="78">
        <v>1.3249954090542833E-3</v>
      </c>
      <c r="G3" s="78">
        <v>1.1296830300934473E-3</v>
      </c>
      <c r="H3" s="78">
        <v>1.0680076114850917E-3</v>
      </c>
      <c r="I3" s="78">
        <v>9.7819854154374691E-4</v>
      </c>
      <c r="J3" s="78">
        <v>8.3884922781061219E-4</v>
      </c>
      <c r="K3" s="78">
        <v>0</v>
      </c>
      <c r="L3" s="78">
        <v>0</v>
      </c>
      <c r="M3" s="78">
        <v>0</v>
      </c>
      <c r="N3" s="78">
        <v>8.3884922781061219E-4</v>
      </c>
      <c r="O3" s="78" t="s">
        <v>1032</v>
      </c>
      <c r="P3" s="78">
        <v>0.94989164031999995</v>
      </c>
      <c r="Q3" s="78">
        <v>0.94989164031999995</v>
      </c>
    </row>
    <row r="4" spans="1:17">
      <c r="A4" s="78">
        <v>3</v>
      </c>
      <c r="B4" s="78" t="s">
        <v>1033</v>
      </c>
      <c r="C4" s="79">
        <v>2.0000828564408451E-3</v>
      </c>
      <c r="D4" s="78">
        <v>0</v>
      </c>
      <c r="E4" s="78">
        <v>2.0000828564408451E-3</v>
      </c>
      <c r="F4" s="78">
        <v>1.3867273447653863E-3</v>
      </c>
      <c r="G4" s="78">
        <v>1.1739385835521333E-3</v>
      </c>
      <c r="H4" s="78">
        <v>1.0985942696168597E-3</v>
      </c>
      <c r="I4" s="78">
        <v>1.0196651912401104E-3</v>
      </c>
      <c r="J4" s="78">
        <v>8.7646105362805223E-4</v>
      </c>
      <c r="K4" s="78">
        <v>4.1873188351979751E-4</v>
      </c>
      <c r="L4" s="78">
        <v>0</v>
      </c>
      <c r="M4" s="78">
        <v>0</v>
      </c>
      <c r="N4" s="78">
        <v>4.1873188351979751E-4</v>
      </c>
      <c r="O4" s="78" t="s">
        <v>1034</v>
      </c>
      <c r="P4" s="78">
        <v>0.9687837557575002</v>
      </c>
      <c r="Q4" s="78">
        <v>0.9687837557575002</v>
      </c>
    </row>
    <row r="5" spans="1:17">
      <c r="A5" s="78">
        <v>4</v>
      </c>
      <c r="B5" s="78" t="s">
        <v>1035</v>
      </c>
      <c r="C5" s="79">
        <v>4.9100571418373862E-3</v>
      </c>
      <c r="D5" s="78">
        <v>3.9669811540688407E-3</v>
      </c>
      <c r="E5" s="78">
        <v>4.9100571418373862E-3</v>
      </c>
      <c r="F5" s="78">
        <v>3.3771807168720019E-3</v>
      </c>
      <c r="G5" s="78">
        <v>2.8977127710562212E-3</v>
      </c>
      <c r="H5" s="78">
        <v>2.7079884967231502E-3</v>
      </c>
      <c r="I5" s="78">
        <v>2.5080425250939885E-3</v>
      </c>
      <c r="J5" s="78">
        <v>2.1334061976445206E-3</v>
      </c>
      <c r="K5" s="78">
        <v>1.0287664072587451E-3</v>
      </c>
      <c r="L5" s="78">
        <v>4.2810983142638339E-4</v>
      </c>
      <c r="M5" s="78">
        <v>2.5614770947628027E-4</v>
      </c>
      <c r="N5" s="78">
        <v>2.5614770947628027E-4</v>
      </c>
      <c r="O5" s="78" t="s">
        <v>1036</v>
      </c>
      <c r="P5" s="78">
        <v>0.95875264512000002</v>
      </c>
      <c r="Q5" s="78">
        <v>0.95875264512000002</v>
      </c>
    </row>
    <row r="6" spans="1:17">
      <c r="A6" s="78">
        <v>5</v>
      </c>
      <c r="B6" s="78" t="s">
        <v>1037</v>
      </c>
      <c r="C6" s="79">
        <v>5.334873351790506E-3</v>
      </c>
      <c r="D6" s="78">
        <v>4.3765136133395071E-3</v>
      </c>
      <c r="E6" s="78">
        <v>5.334873351790506E-3</v>
      </c>
      <c r="F6" s="78">
        <v>3.6411471156688161E-3</v>
      </c>
      <c r="G6" s="78">
        <v>3.158951577256403E-3</v>
      </c>
      <c r="H6" s="78">
        <v>2.9281370054469167E-3</v>
      </c>
      <c r="I6" s="78">
        <v>2.7285902283646669E-3</v>
      </c>
      <c r="J6" s="78">
        <v>2.3108553918371666E-3</v>
      </c>
      <c r="K6" s="78">
        <v>1.1177748716073301E-3</v>
      </c>
      <c r="L6" s="78">
        <v>4.7230587504059886E-4</v>
      </c>
      <c r="M6" s="78">
        <v>2.5690108468566714E-4</v>
      </c>
      <c r="N6" s="78">
        <v>2.5690108468566714E-4</v>
      </c>
      <c r="O6" s="78" t="s">
        <v>1038</v>
      </c>
      <c r="P6" s="78">
        <v>0.95875264512000002</v>
      </c>
      <c r="Q6" s="78">
        <v>0.95875264512000002</v>
      </c>
    </row>
    <row r="7" spans="1:17">
      <c r="A7" s="78">
        <v>6</v>
      </c>
      <c r="B7" s="78" t="s">
        <v>1039</v>
      </c>
      <c r="C7" s="79">
        <v>8.9660870711549528E-3</v>
      </c>
      <c r="D7" s="78">
        <v>8.427501420728142E-3</v>
      </c>
      <c r="E7" s="78">
        <v>8.9660870711549528E-3</v>
      </c>
      <c r="F7" s="78">
        <v>6.1528282966248921E-3</v>
      </c>
      <c r="G7" s="78">
        <v>5.3426460564392937E-3</v>
      </c>
      <c r="H7" s="78">
        <v>4.9311127839983511E-3</v>
      </c>
      <c r="I7" s="78">
        <v>4.5767287809150492E-3</v>
      </c>
      <c r="J7" s="78">
        <v>3.8762194428396163E-3</v>
      </c>
      <c r="K7" s="78">
        <v>1.8887974109776157E-3</v>
      </c>
      <c r="L7" s="78">
        <v>7.9229805585259759E-4</v>
      </c>
      <c r="M7" s="78">
        <v>4.5153825927008264E-4</v>
      </c>
      <c r="N7" s="78">
        <v>4.5153825927008264E-4</v>
      </c>
      <c r="O7" s="78" t="s">
        <v>1040</v>
      </c>
      <c r="P7" s="78">
        <v>0.96491544843749988</v>
      </c>
      <c r="Q7" s="78">
        <v>0.96491544843749988</v>
      </c>
    </row>
    <row r="8" spans="1:17">
      <c r="A8" s="78">
        <v>8</v>
      </c>
      <c r="B8" s="78" t="s">
        <v>1041</v>
      </c>
      <c r="C8" s="79">
        <v>2.3083530841551323E-2</v>
      </c>
      <c r="D8" s="78">
        <v>7.1427056018986725E-3</v>
      </c>
      <c r="E8" s="78">
        <v>2.3083530841551323E-2</v>
      </c>
      <c r="F8" s="78">
        <v>1.7042537042591205E-2</v>
      </c>
      <c r="G8" s="78">
        <v>1.4929194988684657E-2</v>
      </c>
      <c r="H8" s="78">
        <v>1.3711022272182731E-2</v>
      </c>
      <c r="I8" s="78">
        <v>1.3017262314335681E-2</v>
      </c>
      <c r="J8" s="78">
        <v>1.1056411059429913E-2</v>
      </c>
      <c r="K8" s="78">
        <v>5.4152786891985922E-3</v>
      </c>
      <c r="L8" s="78">
        <v>2.3826818073456987E-3</v>
      </c>
      <c r="M8" s="78">
        <v>1.2944106738078534E-3</v>
      </c>
      <c r="N8" s="78">
        <v>1.2944106738078534E-3</v>
      </c>
      <c r="O8" s="78" t="s">
        <v>1042</v>
      </c>
      <c r="P8" s="78">
        <v>0.86406574252000001</v>
      </c>
      <c r="Q8" s="78">
        <v>0.86406574252000001</v>
      </c>
    </row>
    <row r="9" spans="1:17">
      <c r="A9" s="78">
        <v>7</v>
      </c>
      <c r="B9" s="78" t="s">
        <v>1043</v>
      </c>
      <c r="C9" s="79">
        <v>3.0629143452538119E-2</v>
      </c>
      <c r="D9" s="78">
        <v>0</v>
      </c>
      <c r="E9" s="78">
        <v>3.0629143452538119E-2</v>
      </c>
      <c r="F9" s="78">
        <v>2.3255883522055796E-2</v>
      </c>
      <c r="G9" s="78">
        <v>1.966590780941593E-2</v>
      </c>
      <c r="H9" s="78">
        <v>1.8754858231479411E-2</v>
      </c>
      <c r="I9" s="78">
        <v>1.7279146739518633E-2</v>
      </c>
      <c r="J9" s="78">
        <v>1.5163369612055453E-2</v>
      </c>
      <c r="K9" s="78">
        <v>7.3150003614203792E-3</v>
      </c>
      <c r="L9" s="78">
        <v>3.1052802856422774E-3</v>
      </c>
      <c r="M9" s="78">
        <v>1.766938537799664E-3</v>
      </c>
      <c r="N9" s="78">
        <v>1.766938537799664E-3</v>
      </c>
      <c r="O9" s="78" t="s">
        <v>1044</v>
      </c>
      <c r="P9" s="78">
        <v>0.83670787499999999</v>
      </c>
      <c r="Q9" s="78">
        <v>0.83670787499999999</v>
      </c>
    </row>
    <row r="10" spans="1:17">
      <c r="A10" s="78">
        <v>9</v>
      </c>
      <c r="B10" s="78" t="s">
        <v>1045</v>
      </c>
      <c r="C10" s="79">
        <v>5.1701762934080964E-2</v>
      </c>
      <c r="D10" s="78">
        <v>1.0733025919399225E-2</v>
      </c>
      <c r="E10" s="78">
        <v>5.1701762934080964E-2</v>
      </c>
      <c r="F10" s="78">
        <v>3.9688879110329492E-2</v>
      </c>
      <c r="G10" s="78">
        <v>3.4936449474089512E-2</v>
      </c>
      <c r="H10" s="78">
        <v>3.2807593239035759E-2</v>
      </c>
      <c r="I10" s="78">
        <v>3.0863980037393043E-2</v>
      </c>
      <c r="J10" s="78">
        <v>2.6505403226447385E-2</v>
      </c>
      <c r="K10" s="78">
        <v>1.2906663462024725E-2</v>
      </c>
      <c r="L10" s="78">
        <v>5.6906503643339088E-3</v>
      </c>
      <c r="M10" s="78">
        <v>3.0899910603581376E-3</v>
      </c>
      <c r="N10" s="78">
        <v>3.0899910603581376E-3</v>
      </c>
      <c r="O10" s="78" t="s">
        <v>1046</v>
      </c>
      <c r="P10" s="78">
        <v>0.78580668032000012</v>
      </c>
      <c r="Q10" s="78">
        <v>0.78580668032000012</v>
      </c>
    </row>
    <row r="11" spans="1:17">
      <c r="A11" s="78">
        <v>10</v>
      </c>
      <c r="B11" s="78" t="s">
        <v>1047</v>
      </c>
      <c r="C11" s="79">
        <v>6.4223283644678691E-2</v>
      </c>
      <c r="D11" s="78">
        <v>1.3416282399249033E-2</v>
      </c>
      <c r="E11" s="78">
        <v>6.4223283644678691E-2</v>
      </c>
      <c r="F11" s="78">
        <v>4.9611098887911861E-2</v>
      </c>
      <c r="G11" s="78">
        <v>4.3434504751570756E-2</v>
      </c>
      <c r="H11" s="78">
        <v>4.0527026942338291E-2</v>
      </c>
      <c r="I11" s="78">
        <v>3.8212546712962821E-2</v>
      </c>
      <c r="J11" s="78">
        <v>3.3006728546142027E-2</v>
      </c>
      <c r="K11" s="78">
        <v>1.6520529231391651E-2</v>
      </c>
      <c r="L11" s="78">
        <v>7.2426459182431567E-3</v>
      </c>
      <c r="M11" s="78">
        <v>3.6049895704178278E-3</v>
      </c>
      <c r="N11" s="78">
        <v>3.6049895704178278E-3</v>
      </c>
      <c r="O11" s="78" t="s">
        <v>1048</v>
      </c>
      <c r="P11" s="78">
        <v>0.78580668032000012</v>
      </c>
      <c r="Q11" s="78">
        <v>0.78580668032000012</v>
      </c>
    </row>
    <row r="12" spans="1:17">
      <c r="A12" s="78">
        <v>11</v>
      </c>
      <c r="B12" s="78" t="s">
        <v>1049</v>
      </c>
      <c r="C12" s="79">
        <v>8.1736535361678228E-2</v>
      </c>
      <c r="D12" s="78">
        <v>1.4933956294088748E-2</v>
      </c>
      <c r="E12" s="78">
        <v>8.1736535361678228E-2</v>
      </c>
      <c r="F12" s="78">
        <v>6.5082123406310449E-2</v>
      </c>
      <c r="G12" s="78">
        <v>5.709618589310559E-2</v>
      </c>
      <c r="H12" s="78">
        <v>5.342884257448291E-2</v>
      </c>
      <c r="I12" s="78">
        <v>5.0495697173445056E-2</v>
      </c>
      <c r="J12" s="78">
        <v>4.3797878814480162E-2</v>
      </c>
      <c r="K12" s="78">
        <v>2.207602364055648E-2</v>
      </c>
      <c r="L12" s="78">
        <v>9.6903701578803722E-3</v>
      </c>
      <c r="M12" s="78">
        <v>4.8226496111241071E-3</v>
      </c>
      <c r="N12" s="78">
        <v>4.8226496111241071E-3</v>
      </c>
      <c r="O12" s="78" t="s">
        <v>1050</v>
      </c>
      <c r="P12" s="78">
        <v>0.7477453585199999</v>
      </c>
      <c r="Q12" s="78">
        <v>0.7477453585199999</v>
      </c>
    </row>
    <row r="13" spans="1:17">
      <c r="A13" s="78">
        <v>12</v>
      </c>
      <c r="B13" s="78" t="s">
        <v>1051</v>
      </c>
      <c r="C13" s="79">
        <v>0.13507686781978542</v>
      </c>
      <c r="D13" s="78">
        <v>0</v>
      </c>
      <c r="E13" s="78">
        <v>0.13507686781978542</v>
      </c>
      <c r="F13" s="78">
        <v>0.1295575186590335</v>
      </c>
      <c r="G13" s="78">
        <v>0.11459337614458243</v>
      </c>
      <c r="H13" s="78">
        <v>0.10958519451549209</v>
      </c>
      <c r="I13" s="78">
        <v>0.1046739874516545</v>
      </c>
      <c r="J13" s="78">
        <v>9.2465332933011637E-2</v>
      </c>
      <c r="K13" s="78">
        <v>4.9162492161416826E-2</v>
      </c>
      <c r="L13" s="78">
        <v>2.1049028234976862E-2</v>
      </c>
      <c r="M13" s="78">
        <v>1.1427717297985689E-2</v>
      </c>
      <c r="N13" s="78">
        <v>1.1427717297985689E-2</v>
      </c>
      <c r="O13" s="78" t="s">
        <v>1052</v>
      </c>
      <c r="P13" s="78">
        <v>0.56007046571999997</v>
      </c>
      <c r="Q13" s="78">
        <v>0.56007046571999997</v>
      </c>
    </row>
    <row r="14" spans="1:17">
      <c r="A14" s="78">
        <v>13</v>
      </c>
      <c r="B14" s="78" t="s">
        <v>1053</v>
      </c>
      <c r="C14" s="79">
        <v>0.24339360234805266</v>
      </c>
      <c r="D14" s="78">
        <v>2.4164097228368604E-2</v>
      </c>
      <c r="E14" s="78">
        <v>0.20594840545168189</v>
      </c>
      <c r="F14" s="78">
        <v>0.24339360234805266</v>
      </c>
      <c r="G14" s="78">
        <v>0.22033318079049399</v>
      </c>
      <c r="H14" s="78">
        <v>0.21151433653326629</v>
      </c>
      <c r="I14" s="78">
        <v>0.20509343492089988</v>
      </c>
      <c r="J14" s="78">
        <v>0.18379472032908148</v>
      </c>
      <c r="K14" s="78">
        <v>9.9651110450842531E-2</v>
      </c>
      <c r="L14" s="78">
        <v>4.5203882739946681E-2</v>
      </c>
      <c r="M14" s="78">
        <v>2.2510613653149381E-2</v>
      </c>
      <c r="N14" s="78">
        <v>2.2510613653149381E-2</v>
      </c>
      <c r="O14" s="78" t="s">
        <v>1054</v>
      </c>
      <c r="P14" s="78">
        <v>0.72317818726400007</v>
      </c>
      <c r="Q14" s="78">
        <v>0.72317818726400007</v>
      </c>
    </row>
    <row r="15" spans="1:17">
      <c r="A15" s="78">
        <v>14</v>
      </c>
      <c r="B15" s="78" t="s">
        <v>1055</v>
      </c>
      <c r="C15" s="79">
        <v>0.78870959118450001</v>
      </c>
      <c r="D15" s="78">
        <v>5.2381134493661739E-2</v>
      </c>
      <c r="E15" s="78">
        <v>0.46364436150679356</v>
      </c>
      <c r="F15" s="78">
        <v>0.78870959118450001</v>
      </c>
      <c r="G15" s="78">
        <v>0.7738763592261807</v>
      </c>
      <c r="H15" s="78">
        <v>0.74398666484924958</v>
      </c>
      <c r="I15" s="78">
        <v>0.76345888905049275</v>
      </c>
      <c r="J15" s="78">
        <v>0.71120090550615322</v>
      </c>
      <c r="K15" s="78">
        <v>0.43317208956765785</v>
      </c>
      <c r="L15" s="78">
        <v>0.19470501633669407</v>
      </c>
      <c r="M15" s="78">
        <v>0.1037782901933423</v>
      </c>
      <c r="N15" s="78">
        <v>5.2381134493661739E-2</v>
      </c>
      <c r="O15" s="78" t="s">
        <v>1056</v>
      </c>
      <c r="P15" s="78">
        <v>0.53040387174400005</v>
      </c>
      <c r="Q15" s="78">
        <v>0.53040387174400005</v>
      </c>
    </row>
    <row r="16" spans="1:17">
      <c r="A16" s="78">
        <v>15</v>
      </c>
      <c r="B16" s="78" t="s">
        <v>1057</v>
      </c>
      <c r="C16" s="79">
        <v>0.79188657076847457</v>
      </c>
      <c r="D16" s="78">
        <v>0</v>
      </c>
      <c r="E16" s="78">
        <v>0.57910711794596137</v>
      </c>
      <c r="F16" s="78">
        <v>0.79188657076847457</v>
      </c>
      <c r="G16" s="78">
        <v>0.71741503349618041</v>
      </c>
      <c r="H16" s="78">
        <v>0.70726799334884849</v>
      </c>
      <c r="I16" s="78">
        <v>0.68485238155447936</v>
      </c>
      <c r="J16" s="78">
        <v>0.63364441827084372</v>
      </c>
      <c r="K16" s="78">
        <v>0.35545746648862736</v>
      </c>
      <c r="L16" s="78">
        <v>0.1615568695643636</v>
      </c>
      <c r="M16" s="78">
        <v>8.4755933113945192E-2</v>
      </c>
      <c r="N16" s="78">
        <v>8.4755933113945192E-2</v>
      </c>
      <c r="O16" s="78" t="s">
        <v>1058</v>
      </c>
      <c r="P16" s="78">
        <v>0.66018857226400007</v>
      </c>
      <c r="Q16" s="78">
        <v>0.66018857226400007</v>
      </c>
    </row>
    <row r="17" spans="1:17">
      <c r="A17" s="78">
        <v>16</v>
      </c>
      <c r="B17" s="78" t="s">
        <v>1059</v>
      </c>
      <c r="C17" s="79">
        <v>1.4363756173436517</v>
      </c>
      <c r="D17" s="78">
        <v>8.0706172074911556E-2</v>
      </c>
      <c r="E17" s="78">
        <v>0.66675705006700581</v>
      </c>
      <c r="F17" s="78">
        <v>1.1687664354567686</v>
      </c>
      <c r="G17" s="78">
        <v>1.2099672697271187</v>
      </c>
      <c r="H17" s="78">
        <v>1.3038484886128527</v>
      </c>
      <c r="I17" s="78">
        <v>1.3946835566198328</v>
      </c>
      <c r="J17" s="78">
        <v>1.4363756173436517</v>
      </c>
      <c r="K17" s="78">
        <v>0.97260921694926417</v>
      </c>
      <c r="L17" s="78">
        <v>0.4632758763898599</v>
      </c>
      <c r="M17" s="78">
        <v>0.26619565403801132</v>
      </c>
      <c r="N17" s="78">
        <v>8.0706172074911556E-2</v>
      </c>
      <c r="O17" s="78" t="s">
        <v>1060</v>
      </c>
      <c r="P17" s="78">
        <v>0.63614701495697601</v>
      </c>
      <c r="Q17" s="78">
        <v>0.63614701495697601</v>
      </c>
    </row>
    <row r="18" spans="1:17">
      <c r="A18" s="78">
        <v>17</v>
      </c>
      <c r="B18" s="78" t="s">
        <v>1061</v>
      </c>
      <c r="C18" s="79">
        <v>2.625101407316385</v>
      </c>
      <c r="D18" s="78">
        <v>0.12393172930786767</v>
      </c>
      <c r="E18" s="78">
        <v>1.0963881080586375</v>
      </c>
      <c r="F18" s="78">
        <v>1.9159945894103254</v>
      </c>
      <c r="G18" s="78">
        <v>1.9393430038765789</v>
      </c>
      <c r="H18" s="78">
        <v>2.1386330240083611</v>
      </c>
      <c r="I18" s="78">
        <v>2.2980019593759295</v>
      </c>
      <c r="J18" s="78">
        <v>2.625101407316385</v>
      </c>
      <c r="K18" s="78">
        <v>1.9439861368736413</v>
      </c>
      <c r="L18" s="78">
        <v>0.95491250444674802</v>
      </c>
      <c r="M18" s="78">
        <v>0.50728837808020655</v>
      </c>
      <c r="N18" s="78">
        <v>0.12393172930786767</v>
      </c>
      <c r="O18" s="78" t="s">
        <v>1062</v>
      </c>
      <c r="P18" s="78">
        <v>0.57564726295591095</v>
      </c>
      <c r="Q18" s="78">
        <v>0.57564726295591095</v>
      </c>
    </row>
    <row r="19" spans="1:17">
      <c r="A19" s="78">
        <v>18</v>
      </c>
      <c r="B19" s="78" t="s">
        <v>1063</v>
      </c>
      <c r="C19" s="79">
        <v>3.3550676193788829</v>
      </c>
      <c r="D19" s="78">
        <v>0</v>
      </c>
      <c r="E19" s="78">
        <v>1.3810824951077507</v>
      </c>
      <c r="F19" s="78">
        <v>2.418282456166271</v>
      </c>
      <c r="G19" s="78">
        <v>2.4556944731595287</v>
      </c>
      <c r="H19" s="78">
        <v>2.6999811446417961</v>
      </c>
      <c r="I19" s="78">
        <v>2.891044316104904</v>
      </c>
      <c r="J19" s="78">
        <v>3.3550676193788829</v>
      </c>
      <c r="K19" s="78">
        <v>2.566196329871127</v>
      </c>
      <c r="L19" s="78">
        <v>1.2361997701178946</v>
      </c>
      <c r="M19" s="78">
        <v>0.68117446114999114</v>
      </c>
      <c r="N19" s="78">
        <v>0.68117446114999114</v>
      </c>
      <c r="O19" s="78" t="s">
        <v>1064</v>
      </c>
      <c r="P19" s="78">
        <v>0.56343948689437484</v>
      </c>
      <c r="Q19" s="78">
        <v>0.56343948689437484</v>
      </c>
    </row>
    <row r="20" spans="1:17">
      <c r="A20" s="78">
        <v>19</v>
      </c>
      <c r="B20" s="78" t="s">
        <v>1065</v>
      </c>
      <c r="C20" s="79">
        <v>5.6884363232006905</v>
      </c>
      <c r="D20" s="78">
        <v>0.29046939246112458</v>
      </c>
      <c r="E20" s="78">
        <v>2.4001216153401441</v>
      </c>
      <c r="F20" s="78">
        <v>4.1887731448445011</v>
      </c>
      <c r="G20" s="78">
        <v>4.2567094668611798</v>
      </c>
      <c r="H20" s="78">
        <v>4.6883045838814983</v>
      </c>
      <c r="I20" s="78">
        <v>5.0303429030387159</v>
      </c>
      <c r="J20" s="78">
        <v>5.6884363232006905</v>
      </c>
      <c r="K20" s="78">
        <v>4.1789245238278738</v>
      </c>
      <c r="L20" s="78">
        <v>1.9777477542181987</v>
      </c>
      <c r="M20" s="78">
        <v>1.122428982770566</v>
      </c>
      <c r="N20" s="78">
        <v>0.29046939246112458</v>
      </c>
      <c r="O20" s="78" t="s">
        <v>1066</v>
      </c>
      <c r="P20" s="78">
        <v>0.58178255845583093</v>
      </c>
      <c r="Q20" s="78">
        <v>0.58178255845583093</v>
      </c>
    </row>
    <row r="21" spans="1:17">
      <c r="A21" s="78">
        <v>20</v>
      </c>
      <c r="B21" s="78" t="s">
        <v>1067</v>
      </c>
      <c r="C21" s="79">
        <v>10.27098768213796</v>
      </c>
      <c r="D21" s="78">
        <v>0.3605635522386193</v>
      </c>
      <c r="E21" s="78">
        <v>3.1907523408208665</v>
      </c>
      <c r="F21" s="78">
        <v>5.5668627777025987</v>
      </c>
      <c r="G21" s="78">
        <v>5.6732027201101918</v>
      </c>
      <c r="H21" s="78">
        <v>6.2475353882460958</v>
      </c>
      <c r="I21" s="78">
        <v>6.7022169290805875</v>
      </c>
      <c r="J21" s="78">
        <v>8.3978022451589283</v>
      </c>
      <c r="K21" s="78">
        <v>10.27098768213796</v>
      </c>
      <c r="L21" s="78">
        <v>5.8989516298746461</v>
      </c>
      <c r="M21" s="78">
        <v>3.048489890926688</v>
      </c>
      <c r="N21" s="78">
        <v>0.3605635522386193</v>
      </c>
      <c r="O21" s="78" t="s">
        <v>1068</v>
      </c>
      <c r="P21" s="78">
        <v>0.76859556511718752</v>
      </c>
      <c r="Q21" s="78">
        <v>0.76859556511718752</v>
      </c>
    </row>
    <row r="22" spans="1:17">
      <c r="A22" s="78">
        <v>21</v>
      </c>
      <c r="B22" s="78" t="s">
        <v>1069</v>
      </c>
      <c r="C22" s="79">
        <v>10.295935980873786</v>
      </c>
      <c r="D22" s="78">
        <v>0.27136043116383607</v>
      </c>
      <c r="E22" s="78">
        <v>2.4029465959632126</v>
      </c>
      <c r="F22" s="78">
        <v>4.1771712880832785</v>
      </c>
      <c r="G22" s="78">
        <v>4.2475587394086771</v>
      </c>
      <c r="H22" s="78">
        <v>4.6799342873908882</v>
      </c>
      <c r="I22" s="78">
        <v>5.0235118468605338</v>
      </c>
      <c r="J22" s="78">
        <v>6.3151878670078299</v>
      </c>
      <c r="K22" s="78">
        <v>10.295935980873786</v>
      </c>
      <c r="L22" s="78">
        <v>6.1042988945388359</v>
      </c>
      <c r="M22" s="78">
        <v>3.6404789047229751</v>
      </c>
      <c r="N22" s="78">
        <v>0.27136043116383607</v>
      </c>
      <c r="O22" s="78" t="s">
        <v>1070</v>
      </c>
      <c r="P22" s="78">
        <v>0.65979667351416316</v>
      </c>
      <c r="Q22" s="78">
        <v>0.65979667351416316</v>
      </c>
    </row>
    <row r="23" spans="1:17">
      <c r="A23" s="78">
        <v>22</v>
      </c>
      <c r="B23" s="78" t="s">
        <v>1071</v>
      </c>
      <c r="C23" s="79">
        <v>13.515294199359289</v>
      </c>
      <c r="D23" s="78">
        <v>0.40427893077764471</v>
      </c>
      <c r="E23" s="78">
        <v>3.5776960430151794</v>
      </c>
      <c r="F23" s="78">
        <v>6.2410828568254093</v>
      </c>
      <c r="G23" s="78">
        <v>6.3552774148769471</v>
      </c>
      <c r="H23" s="78">
        <v>6.9970703917211816</v>
      </c>
      <c r="I23" s="78">
        <v>7.5042997199500734</v>
      </c>
      <c r="J23" s="78">
        <v>9.4156790810298077</v>
      </c>
      <c r="K23" s="78">
        <v>13.515294199359289</v>
      </c>
      <c r="L23" s="78">
        <v>7.6848987792105996</v>
      </c>
      <c r="M23" s="78">
        <v>4.3565099429777803</v>
      </c>
      <c r="N23" s="78">
        <v>0.40427893077764471</v>
      </c>
      <c r="O23" s="78" t="s">
        <v>1072</v>
      </c>
      <c r="P23" s="78">
        <v>0.71274600499281937</v>
      </c>
      <c r="Q23" s="78">
        <v>0.71274600499281937</v>
      </c>
    </row>
    <row r="24" spans="1:17">
      <c r="A24" s="78">
        <v>23</v>
      </c>
      <c r="B24" s="78" t="s">
        <v>1073</v>
      </c>
      <c r="C24" s="79">
        <v>25.571654843836875</v>
      </c>
      <c r="D24" s="78">
        <v>0.69749825052226089</v>
      </c>
      <c r="E24" s="78">
        <v>6.1608365995939112</v>
      </c>
      <c r="F24" s="78">
        <v>10.779736505956544</v>
      </c>
      <c r="G24" s="78">
        <v>10.97521262699688</v>
      </c>
      <c r="H24" s="78">
        <v>12.042065008600918</v>
      </c>
      <c r="I24" s="78">
        <v>12.928073088951162</v>
      </c>
      <c r="J24" s="78">
        <v>16.23351592297789</v>
      </c>
      <c r="K24" s="78">
        <v>25.571654843836875</v>
      </c>
      <c r="L24" s="78">
        <v>15.254412365510415</v>
      </c>
      <c r="M24" s="78">
        <v>8.7417919059790865</v>
      </c>
      <c r="N24" s="78">
        <v>0.69749825052226089</v>
      </c>
      <c r="O24" s="78" t="s">
        <v>1074</v>
      </c>
      <c r="P24" s="78">
        <v>0.67696260192535529</v>
      </c>
      <c r="Q24" s="78">
        <v>0.67696260192535529</v>
      </c>
    </row>
    <row r="25" spans="1:17">
      <c r="A25" s="78">
        <v>24</v>
      </c>
      <c r="B25" s="78" t="s">
        <v>1075</v>
      </c>
      <c r="C25" s="79">
        <v>45.478993109473876</v>
      </c>
      <c r="D25" s="78">
        <v>0</v>
      </c>
      <c r="E25" s="78">
        <v>12.274757095673978</v>
      </c>
      <c r="F25" s="78">
        <v>21.482595195856863</v>
      </c>
      <c r="G25" s="78">
        <v>21.884669615155175</v>
      </c>
      <c r="H25" s="78">
        <v>24.020573609736992</v>
      </c>
      <c r="I25" s="78">
        <v>25.668525049764789</v>
      </c>
      <c r="J25" s="78">
        <v>32.346552132987959</v>
      </c>
      <c r="K25" s="78">
        <v>45.478993109473876</v>
      </c>
      <c r="L25" s="78">
        <v>26.107675608592004</v>
      </c>
      <c r="M25" s="78">
        <v>14.787589511890385</v>
      </c>
      <c r="N25" s="78">
        <v>12.274757095673978</v>
      </c>
      <c r="O25" s="78" t="s">
        <v>1076</v>
      </c>
      <c r="P25" s="78">
        <v>0.72202839696657906</v>
      </c>
      <c r="Q25" s="78">
        <v>0.72202839696657906</v>
      </c>
    </row>
    <row r="26" spans="1:17">
      <c r="A26" s="78">
        <v>25</v>
      </c>
      <c r="B26" s="78" t="s">
        <v>1077</v>
      </c>
      <c r="C26" s="79">
        <v>46.293148824601928</v>
      </c>
      <c r="D26" s="78">
        <v>0</v>
      </c>
      <c r="E26" s="78">
        <v>9.1186753074579894</v>
      </c>
      <c r="F26" s="78">
        <v>15.954013599700199</v>
      </c>
      <c r="G26" s="78">
        <v>16.186813443949269</v>
      </c>
      <c r="H26" s="78">
        <v>17.838839048470852</v>
      </c>
      <c r="I26" s="78">
        <v>19.153896475936232</v>
      </c>
      <c r="J26" s="78">
        <v>24.026612519484463</v>
      </c>
      <c r="K26" s="78">
        <v>46.293148824601928</v>
      </c>
      <c r="L26" s="78">
        <v>31.616256522894215</v>
      </c>
      <c r="M26" s="78">
        <v>18.60968771868124</v>
      </c>
      <c r="N26" s="78">
        <v>9.1186753074579894</v>
      </c>
      <c r="O26" s="78" t="s">
        <v>1078</v>
      </c>
      <c r="P26" s="78">
        <v>0.56402748723200002</v>
      </c>
      <c r="Q26" s="78">
        <v>0.56402748723200002</v>
      </c>
    </row>
    <row r="27" spans="1:17">
      <c r="A27" s="78">
        <v>26</v>
      </c>
      <c r="B27" s="78" t="s">
        <v>1079</v>
      </c>
      <c r="C27" s="79">
        <v>50.528560504861062</v>
      </c>
      <c r="D27" s="78">
        <v>0</v>
      </c>
      <c r="E27" s="78">
        <v>9.3388654676756548</v>
      </c>
      <c r="F27" s="78">
        <v>16.297791194163757</v>
      </c>
      <c r="G27" s="78">
        <v>16.55552383654307</v>
      </c>
      <c r="H27" s="78">
        <v>18.279475461770023</v>
      </c>
      <c r="I27" s="78">
        <v>19.560873742250386</v>
      </c>
      <c r="J27" s="78">
        <v>24.581790214168141</v>
      </c>
      <c r="K27" s="78">
        <v>50.528560504861062</v>
      </c>
      <c r="L27" s="78">
        <v>39.794885557308028</v>
      </c>
      <c r="M27" s="78">
        <v>23.597402754113794</v>
      </c>
      <c r="N27" s="78">
        <v>9.3388654676756548</v>
      </c>
      <c r="O27" s="78" t="s">
        <v>1080</v>
      </c>
      <c r="P27" s="78">
        <v>0.48882075359575505</v>
      </c>
      <c r="Q27" s="78" t="s">
        <v>1081</v>
      </c>
    </row>
    <row r="28" spans="1:17">
      <c r="A28" s="78">
        <v>27</v>
      </c>
      <c r="B28" s="78" t="s">
        <v>1082</v>
      </c>
      <c r="C28" s="79">
        <v>65.688720939476454</v>
      </c>
      <c r="D28" s="78">
        <v>0</v>
      </c>
      <c r="E28" s="78">
        <v>0</v>
      </c>
      <c r="F28" s="78">
        <v>26.966324073786033</v>
      </c>
      <c r="G28" s="78">
        <v>27.364615587624478</v>
      </c>
      <c r="H28" s="78">
        <v>30.097926003942</v>
      </c>
      <c r="I28" s="78">
        <v>32.241843387893027</v>
      </c>
      <c r="J28" s="78">
        <v>44.752266524201374</v>
      </c>
      <c r="K28" s="78">
        <v>65.688720939476454</v>
      </c>
      <c r="L28" s="78">
        <v>38.181867222148234</v>
      </c>
      <c r="M28" s="78">
        <v>21.347085430968871</v>
      </c>
      <c r="N28" s="78">
        <v>21.347085430968871</v>
      </c>
      <c r="O28" s="78" t="s">
        <v>1083</v>
      </c>
      <c r="P28" s="78">
        <v>0.70576635990683856</v>
      </c>
      <c r="Q28" s="78">
        <v>0.70576635990683856</v>
      </c>
    </row>
    <row r="29" spans="1:17">
      <c r="A29" s="78">
        <v>28</v>
      </c>
      <c r="B29" s="78" t="s">
        <v>1084</v>
      </c>
      <c r="C29" s="79">
        <v>66.443662008800928</v>
      </c>
      <c r="D29" s="78">
        <v>0</v>
      </c>
      <c r="E29" s="78">
        <v>12.075027389498358</v>
      </c>
      <c r="F29" s="78">
        <v>21.158152939466689</v>
      </c>
      <c r="G29" s="78">
        <v>21.686795958220543</v>
      </c>
      <c r="H29" s="78">
        <v>23.657801373390413</v>
      </c>
      <c r="I29" s="78">
        <v>25.510690563392323</v>
      </c>
      <c r="J29" s="78">
        <v>31.835361519036539</v>
      </c>
      <c r="K29" s="78">
        <v>65.507435334001229</v>
      </c>
      <c r="L29" s="78">
        <v>66.443662008800928</v>
      </c>
      <c r="M29" s="78">
        <v>42.220348806359297</v>
      </c>
      <c r="N29" s="78">
        <v>12.075027389498358</v>
      </c>
      <c r="O29" s="78" t="s">
        <v>1085</v>
      </c>
      <c r="P29" s="78">
        <v>0.81373346199999996</v>
      </c>
      <c r="Q29" s="78">
        <v>0.81373346199999996</v>
      </c>
    </row>
    <row r="30" spans="1:17">
      <c r="A30" s="78">
        <v>29</v>
      </c>
      <c r="B30" s="78" t="s">
        <v>1086</v>
      </c>
      <c r="C30" s="79">
        <v>161.49146994706516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81.533168271266547</v>
      </c>
      <c r="K30" s="78">
        <v>161.49146994706516</v>
      </c>
      <c r="L30" s="78">
        <v>115.45284435010568</v>
      </c>
      <c r="M30" s="78">
        <v>68.032309114564157</v>
      </c>
      <c r="N30" s="78">
        <v>68.032309114564157</v>
      </c>
      <c r="O30" s="78" t="s">
        <v>1087</v>
      </c>
      <c r="P30" s="78">
        <v>0.53697564326981129</v>
      </c>
      <c r="Q30" s="78">
        <v>0.53697564326981129</v>
      </c>
    </row>
    <row r="31" spans="1:17">
      <c r="A31" s="78">
        <v>31</v>
      </c>
      <c r="B31" s="78" t="s">
        <v>1088</v>
      </c>
      <c r="C31" s="79">
        <v>172.47003500043954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56.401058830637069</v>
      </c>
      <c r="K31" s="78">
        <v>115.5984394440423</v>
      </c>
      <c r="L31" s="78">
        <v>172.47003500043954</v>
      </c>
      <c r="M31" s="78">
        <v>119.44374207702353</v>
      </c>
      <c r="N31" s="78">
        <v>56.401058830637069</v>
      </c>
      <c r="O31" s="78" t="s">
        <v>1089</v>
      </c>
      <c r="P31" s="78">
        <v>0.69466605254363878</v>
      </c>
      <c r="Q31" s="78">
        <v>0.69466605254363878</v>
      </c>
    </row>
    <row r="32" spans="1:17">
      <c r="A32" s="78">
        <v>32</v>
      </c>
      <c r="B32" s="78" t="s">
        <v>1090</v>
      </c>
      <c r="C32" s="79">
        <v>213.2179925701042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71.054748466021195</v>
      </c>
      <c r="K32" s="78">
        <v>145.22325794943791</v>
      </c>
      <c r="L32" s="78">
        <v>213.2179925701042</v>
      </c>
      <c r="M32" s="78">
        <v>149.50433998409773</v>
      </c>
      <c r="N32" s="78">
        <v>71.054748466021195</v>
      </c>
      <c r="O32" s="78" t="s">
        <v>1091</v>
      </c>
      <c r="P32" s="78">
        <v>0.69572970572093651</v>
      </c>
      <c r="Q32" s="78">
        <v>0.69572970572093651</v>
      </c>
    </row>
    <row r="33" spans="1:17">
      <c r="A33" s="78">
        <v>30</v>
      </c>
      <c r="B33" s="78" t="s">
        <v>1092</v>
      </c>
      <c r="C33" s="79">
        <v>393.30867618991516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143.59446133818619</v>
      </c>
      <c r="K33" s="78">
        <v>295.00071726817015</v>
      </c>
      <c r="L33" s="78">
        <v>393.30867618991516</v>
      </c>
      <c r="M33" s="78">
        <v>269.68347329436114</v>
      </c>
      <c r="N33" s="78">
        <v>143.59446133818619</v>
      </c>
      <c r="O33" s="78" t="s">
        <v>1093</v>
      </c>
      <c r="P33" s="78">
        <v>0.72866026748768986</v>
      </c>
      <c r="Q33" s="78">
        <v>0.72866026748768986</v>
      </c>
    </row>
    <row r="34" spans="1:17">
      <c r="A34" s="78">
        <v>33</v>
      </c>
      <c r="B34" s="78" t="s">
        <v>1094</v>
      </c>
      <c r="C34" s="79">
        <v>472.23617683028829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136.71420609318255</v>
      </c>
      <c r="K34" s="78">
        <v>279.95793694436929</v>
      </c>
      <c r="L34" s="78">
        <v>472.23617683028829</v>
      </c>
      <c r="M34" s="78">
        <v>354.86706140590638</v>
      </c>
      <c r="N34" s="78">
        <v>136.71420609318255</v>
      </c>
      <c r="O34" s="78" t="s">
        <v>1095</v>
      </c>
      <c r="P34" s="78">
        <v>0.62940525384123269</v>
      </c>
      <c r="Q34" s="78">
        <v>0.62940525384123269</v>
      </c>
    </row>
    <row r="35" spans="1:17">
      <c r="A35" s="78">
        <v>34</v>
      </c>
      <c r="B35" s="78" t="s">
        <v>1096</v>
      </c>
      <c r="C35" s="79">
        <v>1566.6628639402065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344.66646593606947</v>
      </c>
      <c r="K35" s="78">
        <v>708.4421067020678</v>
      </c>
      <c r="L35" s="78">
        <v>1441.4363735039994</v>
      </c>
      <c r="M35" s="78">
        <v>1566.6628639402065</v>
      </c>
      <c r="N35" s="78">
        <v>344.66646593606947</v>
      </c>
      <c r="O35" s="78" t="s">
        <v>1097</v>
      </c>
      <c r="P35" s="78">
        <v>0.74745557413831942</v>
      </c>
      <c r="Q35" s="78">
        <v>0.74745557413831942</v>
      </c>
    </row>
    <row r="36" spans="1:17">
      <c r="A36" s="78">
        <v>35</v>
      </c>
      <c r="B36" s="78" t="s">
        <v>1098</v>
      </c>
      <c r="C36" s="79">
        <v>4086.326237338289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1305.0411192724973</v>
      </c>
      <c r="L36" s="78">
        <v>2673.5331816959997</v>
      </c>
      <c r="M36" s="78">
        <v>4086.326237338289</v>
      </c>
      <c r="N36" s="78">
        <v>636.93540394378226</v>
      </c>
      <c r="O36" s="78" t="s">
        <v>1099</v>
      </c>
      <c r="P36" s="78">
        <v>0.58995068420437924</v>
      </c>
      <c r="Q36" s="78">
        <v>0.58995068420437924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36"/>
  <sheetViews>
    <sheetView workbookViewId="0">
      <selection activeCell="C7" sqref="C7"/>
    </sheetView>
  </sheetViews>
  <sheetFormatPr defaultRowHeight="15"/>
  <cols>
    <col min="2" max="2" width="17.7109375" customWidth="1"/>
    <col min="3" max="3" width="17.7109375" style="53" customWidth="1"/>
  </cols>
  <sheetData>
    <row r="1" spans="1:13">
      <c r="A1" s="77" t="s">
        <v>1012</v>
      </c>
      <c r="B1" s="77" t="s">
        <v>1013</v>
      </c>
      <c r="C1" s="77"/>
      <c r="D1" s="77" t="s">
        <v>1014</v>
      </c>
      <c r="E1" s="77" t="s">
        <v>1015</v>
      </c>
      <c r="F1" s="77" t="s">
        <v>1016</v>
      </c>
      <c r="G1" s="77" t="s">
        <v>1017</v>
      </c>
      <c r="H1" s="77" t="s">
        <v>1018</v>
      </c>
      <c r="I1" s="77" t="s">
        <v>1019</v>
      </c>
      <c r="J1" s="77" t="s">
        <v>1020</v>
      </c>
      <c r="K1" s="77" t="s">
        <v>1021</v>
      </c>
      <c r="L1" s="77" t="s">
        <v>1022</v>
      </c>
      <c r="M1" s="77" t="s">
        <v>1023</v>
      </c>
    </row>
    <row r="2" spans="1:13">
      <c r="A2" s="78">
        <v>1</v>
      </c>
      <c r="B2" s="78" t="s">
        <v>1029</v>
      </c>
      <c r="C2" s="78"/>
      <c r="D2" s="78"/>
      <c r="E2" s="78">
        <v>55135</v>
      </c>
      <c r="F2" s="78">
        <v>55137</v>
      </c>
      <c r="G2" s="78">
        <v>55134</v>
      </c>
      <c r="H2" s="78">
        <v>55138</v>
      </c>
      <c r="I2" s="78">
        <v>55139</v>
      </c>
      <c r="J2" s="78">
        <v>55140</v>
      </c>
      <c r="K2" s="78"/>
      <c r="L2" s="78"/>
      <c r="M2" s="78"/>
    </row>
    <row r="3" spans="1:13">
      <c r="A3" s="78">
        <v>2</v>
      </c>
      <c r="B3" s="78" t="s">
        <v>1031</v>
      </c>
      <c r="C3" s="78"/>
      <c r="D3" s="78"/>
      <c r="E3" s="78">
        <v>55145</v>
      </c>
      <c r="F3" s="78">
        <v>55147</v>
      </c>
      <c r="G3" s="78">
        <v>55144</v>
      </c>
      <c r="H3" s="78">
        <v>55148</v>
      </c>
      <c r="I3" s="78">
        <v>55149</v>
      </c>
      <c r="J3" s="78">
        <v>55150</v>
      </c>
      <c r="K3" s="78"/>
      <c r="L3" s="78"/>
      <c r="M3" s="78"/>
    </row>
    <row r="4" spans="1:13">
      <c r="A4" s="78">
        <v>3</v>
      </c>
      <c r="B4" s="78" t="s">
        <v>1033</v>
      </c>
      <c r="C4" s="78"/>
      <c r="D4" s="78"/>
      <c r="E4" s="78">
        <v>55175</v>
      </c>
      <c r="F4" s="78">
        <v>55177</v>
      </c>
      <c r="G4" s="78">
        <v>55174</v>
      </c>
      <c r="H4" s="78">
        <v>55178</v>
      </c>
      <c r="I4" s="78">
        <v>55179</v>
      </c>
      <c r="J4" s="78">
        <v>55180</v>
      </c>
      <c r="K4" s="78">
        <v>55181</v>
      </c>
      <c r="L4" s="78"/>
      <c r="M4" s="78"/>
    </row>
    <row r="5" spans="1:13">
      <c r="A5" s="78">
        <v>4</v>
      </c>
      <c r="B5" s="78" t="s">
        <v>1035</v>
      </c>
      <c r="C5" s="78"/>
      <c r="D5" s="78">
        <v>55016</v>
      </c>
      <c r="E5" s="78">
        <v>55015</v>
      </c>
      <c r="F5" s="78">
        <v>55017</v>
      </c>
      <c r="G5" s="78">
        <v>55014</v>
      </c>
      <c r="H5" s="78">
        <v>55018</v>
      </c>
      <c r="I5" s="78">
        <v>55019</v>
      </c>
      <c r="J5" s="78">
        <v>55020</v>
      </c>
      <c r="K5" s="78">
        <v>55021</v>
      </c>
      <c r="L5" s="78">
        <v>55022</v>
      </c>
      <c r="M5" s="78">
        <v>55023</v>
      </c>
    </row>
    <row r="6" spans="1:13">
      <c r="A6" s="78">
        <v>6</v>
      </c>
      <c r="B6" s="78" t="s">
        <v>1037</v>
      </c>
      <c r="C6" s="78"/>
      <c r="D6" s="78">
        <v>55236</v>
      </c>
      <c r="E6" s="78">
        <v>55235</v>
      </c>
      <c r="F6" s="78">
        <v>55237</v>
      </c>
      <c r="G6" s="78">
        <v>55234</v>
      </c>
      <c r="H6" s="78">
        <v>55238</v>
      </c>
      <c r="I6" s="78">
        <v>55239</v>
      </c>
      <c r="J6" s="78">
        <v>55240</v>
      </c>
      <c r="K6" s="78">
        <v>55241</v>
      </c>
      <c r="L6" s="78">
        <v>55242</v>
      </c>
      <c r="M6" s="78">
        <v>55243</v>
      </c>
    </row>
    <row r="7" spans="1:13">
      <c r="A7" s="78">
        <v>5</v>
      </c>
      <c r="B7" s="78" t="s">
        <v>1039</v>
      </c>
      <c r="C7" s="78"/>
      <c r="D7" s="78">
        <v>55266</v>
      </c>
      <c r="E7" s="78">
        <v>55265</v>
      </c>
      <c r="F7" s="78">
        <v>55267</v>
      </c>
      <c r="G7" s="78">
        <v>55264</v>
      </c>
      <c r="H7" s="78">
        <v>55268</v>
      </c>
      <c r="I7" s="78">
        <v>55269</v>
      </c>
      <c r="J7" s="78">
        <v>55270</v>
      </c>
      <c r="K7" s="78">
        <v>55271</v>
      </c>
      <c r="L7" s="78">
        <v>55272</v>
      </c>
      <c r="M7" s="78">
        <v>55273</v>
      </c>
    </row>
    <row r="8" spans="1:13">
      <c r="A8" s="78">
        <v>7</v>
      </c>
      <c r="B8" s="78" t="s">
        <v>1041</v>
      </c>
      <c r="C8" s="78"/>
      <c r="D8" s="78">
        <v>55026</v>
      </c>
      <c r="E8" s="78">
        <v>55025</v>
      </c>
      <c r="F8" s="78">
        <v>55027</v>
      </c>
      <c r="G8" s="78">
        <v>55024</v>
      </c>
      <c r="H8" s="78">
        <v>55028</v>
      </c>
      <c r="I8" s="78">
        <v>55029</v>
      </c>
      <c r="J8" s="78">
        <v>55030</v>
      </c>
      <c r="K8" s="78">
        <v>55031</v>
      </c>
      <c r="L8" s="78">
        <v>55032</v>
      </c>
      <c r="M8" s="78">
        <v>55033</v>
      </c>
    </row>
    <row r="9" spans="1:13">
      <c r="A9" s="78">
        <v>8</v>
      </c>
      <c r="B9" s="78" t="s">
        <v>1043</v>
      </c>
      <c r="C9" s="78"/>
      <c r="D9" s="78"/>
      <c r="E9" s="78">
        <v>55405</v>
      </c>
      <c r="F9" s="78">
        <v>55407</v>
      </c>
      <c r="G9" s="78">
        <v>55404</v>
      </c>
      <c r="H9" s="78">
        <v>55408</v>
      </c>
      <c r="I9" s="78">
        <v>55409</v>
      </c>
      <c r="J9" s="78">
        <v>55410</v>
      </c>
      <c r="K9" s="78">
        <v>55411</v>
      </c>
      <c r="L9" s="78">
        <v>55412</v>
      </c>
      <c r="M9" s="78">
        <v>55413</v>
      </c>
    </row>
    <row r="10" spans="1:13">
      <c r="A10" s="78">
        <v>9</v>
      </c>
      <c r="B10" s="78" t="s">
        <v>1045</v>
      </c>
      <c r="C10" s="78"/>
      <c r="D10" s="78">
        <v>55276</v>
      </c>
      <c r="E10" s="78">
        <v>55275</v>
      </c>
      <c r="F10" s="78">
        <v>55277</v>
      </c>
      <c r="G10" s="78">
        <v>55274</v>
      </c>
      <c r="H10" s="78">
        <v>55278</v>
      </c>
      <c r="I10" s="78">
        <v>55279</v>
      </c>
      <c r="J10" s="78">
        <v>55280</v>
      </c>
      <c r="K10" s="78">
        <v>55281</v>
      </c>
      <c r="L10" s="78">
        <v>55282</v>
      </c>
      <c r="M10" s="78">
        <v>55283</v>
      </c>
    </row>
    <row r="11" spans="1:13">
      <c r="A11" s="78">
        <v>10</v>
      </c>
      <c r="B11" s="78" t="s">
        <v>1047</v>
      </c>
      <c r="C11" s="78"/>
      <c r="D11" s="78">
        <v>55286</v>
      </c>
      <c r="E11" s="78">
        <v>55285</v>
      </c>
      <c r="F11" s="78">
        <v>55287</v>
      </c>
      <c r="G11" s="78">
        <v>55284</v>
      </c>
      <c r="H11" s="78">
        <v>55288</v>
      </c>
      <c r="I11" s="78">
        <v>55289</v>
      </c>
      <c r="J11" s="78">
        <v>55290</v>
      </c>
      <c r="K11" s="78">
        <v>55291</v>
      </c>
      <c r="L11" s="78">
        <v>55292</v>
      </c>
      <c r="M11" s="78">
        <v>55293</v>
      </c>
    </row>
    <row r="12" spans="1:13">
      <c r="A12" s="78">
        <v>11</v>
      </c>
      <c r="B12" s="78" t="s">
        <v>1049</v>
      </c>
      <c r="C12" s="78"/>
      <c r="D12" s="78">
        <v>55036</v>
      </c>
      <c r="E12" s="78">
        <v>55035</v>
      </c>
      <c r="F12" s="78">
        <v>55037</v>
      </c>
      <c r="G12" s="78">
        <v>55034</v>
      </c>
      <c r="H12" s="78">
        <v>55038</v>
      </c>
      <c r="I12" s="78">
        <v>55039</v>
      </c>
      <c r="J12" s="78">
        <v>55040</v>
      </c>
      <c r="K12" s="78">
        <v>55041</v>
      </c>
      <c r="L12" s="78">
        <v>55042</v>
      </c>
      <c r="M12" s="78">
        <v>55043</v>
      </c>
    </row>
    <row r="13" spans="1:13">
      <c r="A13" s="78">
        <v>12</v>
      </c>
      <c r="B13" s="78" t="s">
        <v>1051</v>
      </c>
      <c r="C13" s="78"/>
      <c r="D13" s="78"/>
      <c r="E13" s="78">
        <v>55125</v>
      </c>
      <c r="F13" s="78">
        <v>55127</v>
      </c>
      <c r="G13" s="78">
        <v>55124</v>
      </c>
      <c r="H13" s="78">
        <v>55128</v>
      </c>
      <c r="I13" s="78">
        <v>55129</v>
      </c>
      <c r="J13" s="78">
        <v>55130</v>
      </c>
      <c r="K13" s="78">
        <v>55131</v>
      </c>
      <c r="L13" s="78">
        <v>55132</v>
      </c>
      <c r="M13" s="78">
        <v>55133</v>
      </c>
    </row>
    <row r="14" spans="1:13">
      <c r="A14" s="78">
        <v>13</v>
      </c>
      <c r="B14" s="78" t="s">
        <v>1053</v>
      </c>
      <c r="C14" s="78"/>
      <c r="D14" s="78">
        <v>55046</v>
      </c>
      <c r="E14" s="78">
        <v>55045</v>
      </c>
      <c r="F14" s="78">
        <v>55047</v>
      </c>
      <c r="G14" s="78">
        <v>55044</v>
      </c>
      <c r="H14" s="78">
        <v>55048</v>
      </c>
      <c r="I14" s="78">
        <v>55049</v>
      </c>
      <c r="J14" s="78">
        <v>55050</v>
      </c>
      <c r="K14" s="78">
        <v>55051</v>
      </c>
      <c r="L14" s="78">
        <v>55052</v>
      </c>
      <c r="M14" s="78">
        <v>55053</v>
      </c>
    </row>
    <row r="15" spans="1:13">
      <c r="A15" s="78">
        <v>14</v>
      </c>
      <c r="B15" s="78" t="s">
        <v>1055</v>
      </c>
      <c r="C15" s="78"/>
      <c r="D15" s="78">
        <v>55116</v>
      </c>
      <c r="E15" s="78">
        <v>55115</v>
      </c>
      <c r="F15" s="78">
        <v>55117</v>
      </c>
      <c r="G15" s="78">
        <v>55114</v>
      </c>
      <c r="H15" s="78">
        <v>55118</v>
      </c>
      <c r="I15" s="78">
        <v>55119</v>
      </c>
      <c r="J15" s="78">
        <v>55120</v>
      </c>
      <c r="K15" s="78">
        <v>55121</v>
      </c>
      <c r="L15" s="78">
        <v>55122</v>
      </c>
      <c r="M15" s="78">
        <v>55123</v>
      </c>
    </row>
    <row r="16" spans="1:13">
      <c r="A16" s="78">
        <v>15</v>
      </c>
      <c r="B16" s="78" t="s">
        <v>1057</v>
      </c>
      <c r="C16" s="78"/>
      <c r="D16" s="78"/>
      <c r="E16" s="78">
        <v>55375</v>
      </c>
      <c r="F16" s="78">
        <v>55377</v>
      </c>
      <c r="G16" s="78">
        <v>55374</v>
      </c>
      <c r="H16" s="78">
        <v>55378</v>
      </c>
      <c r="I16" s="78">
        <v>55379</v>
      </c>
      <c r="J16" s="78">
        <v>55380</v>
      </c>
      <c r="K16" s="78">
        <v>55381</v>
      </c>
      <c r="L16" s="78">
        <v>55382</v>
      </c>
      <c r="M16" s="78">
        <v>55383</v>
      </c>
    </row>
    <row r="17" spans="1:13">
      <c r="A17" s="78">
        <v>16</v>
      </c>
      <c r="B17" s="78" t="s">
        <v>1059</v>
      </c>
      <c r="C17" s="78"/>
      <c r="D17" s="78">
        <v>55202</v>
      </c>
      <c r="E17" s="78">
        <v>55201</v>
      </c>
      <c r="F17" s="78">
        <v>55203</v>
      </c>
      <c r="G17" s="78">
        <v>55200</v>
      </c>
      <c r="H17" s="78">
        <v>55204</v>
      </c>
      <c r="I17" s="78">
        <v>55205</v>
      </c>
      <c r="J17" s="78">
        <v>55206</v>
      </c>
      <c r="K17" s="78">
        <v>55848</v>
      </c>
      <c r="L17" s="78">
        <v>55208</v>
      </c>
      <c r="M17" s="78">
        <v>55209</v>
      </c>
    </row>
    <row r="18" spans="1:13">
      <c r="A18" s="78">
        <v>17</v>
      </c>
      <c r="B18" s="78" t="s">
        <v>1061</v>
      </c>
      <c r="C18" s="78"/>
      <c r="D18" s="78">
        <v>55306</v>
      </c>
      <c r="E18" s="78">
        <v>55305</v>
      </c>
      <c r="F18" s="78">
        <v>55307</v>
      </c>
      <c r="G18" s="78">
        <v>55304</v>
      </c>
      <c r="H18" s="78">
        <v>55308</v>
      </c>
      <c r="I18" s="78">
        <v>55309</v>
      </c>
      <c r="J18" s="78">
        <v>55310</v>
      </c>
      <c r="K18" s="78">
        <v>55059</v>
      </c>
      <c r="L18" s="78">
        <v>55312</v>
      </c>
      <c r="M18" s="78">
        <v>55313</v>
      </c>
    </row>
    <row r="19" spans="1:13">
      <c r="A19" s="78">
        <v>18</v>
      </c>
      <c r="B19" s="78" t="s">
        <v>1063</v>
      </c>
      <c r="C19" s="78"/>
      <c r="D19" s="78"/>
      <c r="E19" s="78">
        <v>55345</v>
      </c>
      <c r="F19" s="78">
        <v>55347</v>
      </c>
      <c r="G19" s="78">
        <v>55344</v>
      </c>
      <c r="H19" s="78">
        <v>55348</v>
      </c>
      <c r="I19" s="78">
        <v>55349</v>
      </c>
      <c r="J19" s="78">
        <v>55350</v>
      </c>
      <c r="K19" s="78">
        <v>55351</v>
      </c>
      <c r="L19" s="78">
        <v>55352</v>
      </c>
      <c r="M19" s="78">
        <v>55353</v>
      </c>
    </row>
    <row r="20" spans="1:13">
      <c r="A20" s="78">
        <v>19</v>
      </c>
      <c r="B20" s="78" t="s">
        <v>1065</v>
      </c>
      <c r="C20" s="78"/>
      <c r="D20" s="78">
        <v>55926</v>
      </c>
      <c r="E20" s="78">
        <v>55925</v>
      </c>
      <c r="F20" s="78">
        <v>55927</v>
      </c>
      <c r="G20" s="78">
        <v>55924</v>
      </c>
      <c r="H20" s="78">
        <v>55928</v>
      </c>
      <c r="I20" s="78">
        <v>55929</v>
      </c>
      <c r="J20" s="78">
        <v>55930</v>
      </c>
      <c r="K20" s="78">
        <v>55894</v>
      </c>
      <c r="L20" s="78">
        <v>55932</v>
      </c>
      <c r="M20" s="78">
        <v>55933</v>
      </c>
    </row>
    <row r="21" spans="1:13">
      <c r="A21" s="78">
        <v>20</v>
      </c>
      <c r="B21" s="78" t="s">
        <v>1067</v>
      </c>
      <c r="C21" s="78"/>
      <c r="D21" s="78">
        <v>55544</v>
      </c>
      <c r="E21" s="78">
        <v>55543</v>
      </c>
      <c r="F21" s="78">
        <v>55545</v>
      </c>
      <c r="G21" s="78">
        <v>55542</v>
      </c>
      <c r="H21" s="78">
        <v>55546</v>
      </c>
      <c r="I21" s="78">
        <v>55547</v>
      </c>
      <c r="J21" s="78">
        <v>55548</v>
      </c>
      <c r="K21" s="78">
        <v>55071</v>
      </c>
      <c r="L21" s="78">
        <v>55550</v>
      </c>
      <c r="M21" s="78">
        <v>55551</v>
      </c>
    </row>
    <row r="22" spans="1:13">
      <c r="A22" s="78">
        <v>21</v>
      </c>
      <c r="B22" s="78" t="s">
        <v>1069</v>
      </c>
      <c r="C22" s="78"/>
      <c r="D22" s="78">
        <v>55581</v>
      </c>
      <c r="E22" s="78">
        <v>55580</v>
      </c>
      <c r="F22" s="78">
        <v>55582</v>
      </c>
      <c r="G22" s="78">
        <v>55579</v>
      </c>
      <c r="H22" s="78">
        <v>55583</v>
      </c>
      <c r="I22" s="78">
        <v>55584</v>
      </c>
      <c r="J22" s="78">
        <v>55585</v>
      </c>
      <c r="K22" s="78">
        <v>55586</v>
      </c>
      <c r="L22" s="78">
        <v>55587</v>
      </c>
      <c r="M22" s="78">
        <v>55588</v>
      </c>
    </row>
    <row r="23" spans="1:13">
      <c r="A23" s="78">
        <v>22</v>
      </c>
      <c r="B23" s="78" t="s">
        <v>1071</v>
      </c>
      <c r="C23" s="78"/>
      <c r="D23" s="78">
        <v>55320</v>
      </c>
      <c r="E23" s="78">
        <v>55319</v>
      </c>
      <c r="F23" s="78">
        <v>55321</v>
      </c>
      <c r="G23" s="78">
        <v>55318</v>
      </c>
      <c r="H23" s="78">
        <v>55322</v>
      </c>
      <c r="I23" s="78">
        <v>55323</v>
      </c>
      <c r="J23" s="78">
        <v>55324</v>
      </c>
      <c r="K23" s="78">
        <v>55076</v>
      </c>
      <c r="L23" s="78">
        <v>55326</v>
      </c>
      <c r="M23" s="78">
        <v>55327</v>
      </c>
    </row>
    <row r="24" spans="1:13">
      <c r="A24" s="78">
        <v>23</v>
      </c>
      <c r="B24" s="78" t="s">
        <v>1073</v>
      </c>
      <c r="C24" s="78"/>
      <c r="D24" s="78">
        <v>55250</v>
      </c>
      <c r="E24" s="78">
        <v>55249</v>
      </c>
      <c r="F24" s="78">
        <v>55251</v>
      </c>
      <c r="G24" s="78">
        <v>55248</v>
      </c>
      <c r="H24" s="78">
        <v>55252</v>
      </c>
      <c r="I24" s="78">
        <v>55253</v>
      </c>
      <c r="J24" s="78">
        <v>55254</v>
      </c>
      <c r="K24" s="78">
        <v>55083</v>
      </c>
      <c r="L24" s="78">
        <v>55256</v>
      </c>
      <c r="M24" s="78">
        <v>55257</v>
      </c>
    </row>
    <row r="25" spans="1:13">
      <c r="A25" s="78">
        <v>24</v>
      </c>
      <c r="B25" s="78" t="s">
        <v>1075</v>
      </c>
      <c r="C25" s="78"/>
      <c r="D25" s="78"/>
      <c r="E25" s="78">
        <v>55433</v>
      </c>
      <c r="F25" s="78">
        <v>55435</v>
      </c>
      <c r="G25" s="78">
        <v>55432</v>
      </c>
      <c r="H25" s="78">
        <v>55436</v>
      </c>
      <c r="I25" s="78">
        <v>55437</v>
      </c>
      <c r="J25" s="78">
        <v>55438</v>
      </c>
      <c r="K25" s="78">
        <v>55439</v>
      </c>
      <c r="L25" s="78">
        <v>55440</v>
      </c>
      <c r="M25" s="78">
        <v>55441</v>
      </c>
    </row>
    <row r="26" spans="1:13">
      <c r="A26" s="78">
        <v>25</v>
      </c>
      <c r="B26" s="78" t="s">
        <v>1077</v>
      </c>
      <c r="C26" s="78"/>
      <c r="D26" s="78"/>
      <c r="E26" s="78">
        <v>55084</v>
      </c>
      <c r="F26" s="78">
        <v>55086</v>
      </c>
      <c r="G26" s="78">
        <v>55082</v>
      </c>
      <c r="H26" s="78">
        <v>55087</v>
      </c>
      <c r="I26" s="78">
        <v>55088</v>
      </c>
      <c r="J26" s="78">
        <v>55089</v>
      </c>
      <c r="K26" s="78">
        <v>55090</v>
      </c>
      <c r="L26" s="78">
        <v>55091</v>
      </c>
      <c r="M26" s="78">
        <v>55092</v>
      </c>
    </row>
    <row r="27" spans="1:13">
      <c r="A27" s="78">
        <v>26</v>
      </c>
      <c r="B27" s="78" t="s">
        <v>1079</v>
      </c>
      <c r="C27" s="78"/>
      <c r="D27" s="78"/>
      <c r="E27" s="78">
        <v>55710</v>
      </c>
      <c r="F27" s="78">
        <v>55712</v>
      </c>
      <c r="G27" s="78">
        <v>55709</v>
      </c>
      <c r="H27" s="78">
        <v>55713</v>
      </c>
      <c r="I27" s="78">
        <v>55714</v>
      </c>
      <c r="J27" s="78">
        <v>55715</v>
      </c>
      <c r="K27" s="78">
        <v>55716</v>
      </c>
      <c r="L27" s="78">
        <v>55717</v>
      </c>
      <c r="M27" s="78">
        <v>55718</v>
      </c>
    </row>
    <row r="28" spans="1:13">
      <c r="A28" s="78">
        <v>27</v>
      </c>
      <c r="B28" s="78" t="s">
        <v>1082</v>
      </c>
      <c r="C28" s="78"/>
      <c r="D28" s="78"/>
      <c r="E28" s="78"/>
      <c r="F28" s="78">
        <v>55199</v>
      </c>
      <c r="G28" s="78">
        <v>55198</v>
      </c>
      <c r="H28" s="78">
        <v>55197</v>
      </c>
      <c r="I28" s="78">
        <v>55196</v>
      </c>
      <c r="J28" s="78">
        <v>55195</v>
      </c>
      <c r="K28" s="78">
        <v>55192</v>
      </c>
      <c r="L28" s="78">
        <v>55191</v>
      </c>
      <c r="M28" s="78">
        <v>55190</v>
      </c>
    </row>
    <row r="29" spans="1:13">
      <c r="A29" s="78">
        <v>28</v>
      </c>
      <c r="B29" s="78" t="s">
        <v>1084</v>
      </c>
      <c r="C29" s="78"/>
      <c r="D29" s="78"/>
      <c r="E29" s="78">
        <v>55104</v>
      </c>
      <c r="F29" s="78">
        <v>55106</v>
      </c>
      <c r="G29" s="78">
        <v>55103</v>
      </c>
      <c r="H29" s="78">
        <v>55107</v>
      </c>
      <c r="I29" s="78">
        <v>55108</v>
      </c>
      <c r="J29" s="78">
        <v>55109</v>
      </c>
      <c r="K29" s="78">
        <v>55110</v>
      </c>
      <c r="L29" s="78">
        <v>55111</v>
      </c>
      <c r="M29" s="78">
        <v>55112</v>
      </c>
    </row>
    <row r="30" spans="1:13">
      <c r="A30" s="78">
        <v>29</v>
      </c>
      <c r="B30" s="78" t="s">
        <v>1086</v>
      </c>
      <c r="C30" s="78"/>
      <c r="D30" s="78"/>
      <c r="E30" s="78"/>
      <c r="F30" s="78"/>
      <c r="G30" s="78"/>
      <c r="H30" s="78"/>
      <c r="I30" s="78"/>
      <c r="J30" s="78">
        <v>55620</v>
      </c>
      <c r="K30" s="78">
        <v>55617</v>
      </c>
      <c r="L30" s="78">
        <v>55615</v>
      </c>
      <c r="M30" s="78">
        <v>55614</v>
      </c>
    </row>
    <row r="31" spans="1:13">
      <c r="A31" s="78">
        <v>31</v>
      </c>
      <c r="B31" s="78" t="s">
        <v>1088</v>
      </c>
      <c r="C31" s="78"/>
      <c r="D31" s="78"/>
      <c r="E31" s="78"/>
      <c r="F31" s="78"/>
      <c r="G31" s="78"/>
      <c r="H31" s="78"/>
      <c r="I31" s="78"/>
      <c r="J31" s="78">
        <v>55866</v>
      </c>
      <c r="K31" s="78">
        <v>55867</v>
      </c>
      <c r="L31" s="78">
        <v>55868</v>
      </c>
      <c r="M31" s="78">
        <v>55869</v>
      </c>
    </row>
    <row r="32" spans="1:13">
      <c r="A32" s="78">
        <v>32</v>
      </c>
      <c r="B32" s="78" t="s">
        <v>1090</v>
      </c>
      <c r="C32" s="78"/>
      <c r="D32" s="78"/>
      <c r="E32" s="78"/>
      <c r="F32" s="78"/>
      <c r="G32" s="78"/>
      <c r="H32" s="78"/>
      <c r="I32" s="78"/>
      <c r="J32" s="78">
        <v>55906</v>
      </c>
      <c r="K32" s="78">
        <v>55907</v>
      </c>
      <c r="L32" s="78">
        <v>55908</v>
      </c>
      <c r="M32" s="78">
        <v>55909</v>
      </c>
    </row>
    <row r="33" spans="1:13">
      <c r="A33" s="78">
        <v>30</v>
      </c>
      <c r="B33" s="78" t="s">
        <v>1092</v>
      </c>
      <c r="C33" s="78"/>
      <c r="D33" s="78"/>
      <c r="E33" s="78"/>
      <c r="F33" s="78"/>
      <c r="G33" s="78"/>
      <c r="H33" s="78"/>
      <c r="I33" s="78"/>
      <c r="J33" s="78">
        <v>55740</v>
      </c>
      <c r="K33" s="78">
        <v>55737</v>
      </c>
      <c r="L33" s="78">
        <v>55735</v>
      </c>
      <c r="M33" s="78">
        <v>55734</v>
      </c>
    </row>
    <row r="34" spans="1:13">
      <c r="A34" s="78">
        <v>33</v>
      </c>
      <c r="B34" s="78" t="s">
        <v>1094</v>
      </c>
      <c r="C34" s="78"/>
      <c r="D34" s="78"/>
      <c r="E34" s="78"/>
      <c r="F34" s="78"/>
      <c r="G34" s="78"/>
      <c r="H34" s="78"/>
      <c r="I34" s="78"/>
      <c r="J34" s="78">
        <v>55098</v>
      </c>
      <c r="K34" s="78">
        <v>55099</v>
      </c>
      <c r="L34" s="78">
        <v>55102</v>
      </c>
      <c r="M34" s="78">
        <v>55101</v>
      </c>
    </row>
    <row r="35" spans="1:13">
      <c r="A35" s="78">
        <v>34</v>
      </c>
      <c r="B35" s="78" t="s">
        <v>1096</v>
      </c>
      <c r="C35" s="78"/>
      <c r="D35" s="78"/>
      <c r="E35" s="78"/>
      <c r="F35" s="78"/>
      <c r="G35" s="78"/>
      <c r="H35" s="78"/>
      <c r="I35" s="78"/>
      <c r="J35" s="78">
        <v>55340</v>
      </c>
      <c r="K35" s="78">
        <v>55339</v>
      </c>
      <c r="L35" s="78">
        <v>55337</v>
      </c>
      <c r="M35" s="78">
        <v>55336</v>
      </c>
    </row>
    <row r="36" spans="1:13">
      <c r="A36" s="78">
        <v>35</v>
      </c>
      <c r="B36" s="78" t="s">
        <v>1098</v>
      </c>
      <c r="C36" s="78"/>
      <c r="D36" s="78"/>
      <c r="E36" s="78"/>
      <c r="F36" s="78"/>
      <c r="G36" s="78"/>
      <c r="H36" s="78"/>
      <c r="I36" s="78"/>
      <c r="J36" s="78"/>
      <c r="K36" s="78">
        <v>55167</v>
      </c>
      <c r="L36" s="78">
        <v>55165</v>
      </c>
      <c r="M36" s="78">
        <v>55164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36"/>
  <sheetViews>
    <sheetView workbookViewId="0">
      <selection activeCell="C2" sqref="C2"/>
    </sheetView>
  </sheetViews>
  <sheetFormatPr defaultRowHeight="15"/>
  <cols>
    <col min="4" max="7" width="9.140625" style="53"/>
  </cols>
  <sheetData>
    <row r="1" spans="1:13" ht="45">
      <c r="A1" s="76" t="s">
        <v>1012</v>
      </c>
      <c r="B1" s="76" t="s">
        <v>1013</v>
      </c>
      <c r="C1" s="76" t="s">
        <v>1024</v>
      </c>
      <c r="D1" s="76">
        <v>550</v>
      </c>
      <c r="E1" s="76">
        <v>300</v>
      </c>
      <c r="F1" s="76">
        <v>200</v>
      </c>
      <c r="G1" s="76">
        <v>173</v>
      </c>
      <c r="H1" s="76" t="s">
        <v>1018</v>
      </c>
      <c r="I1" s="76" t="s">
        <v>1019</v>
      </c>
      <c r="J1" s="76" t="s">
        <v>1020</v>
      </c>
      <c r="K1" s="76" t="s">
        <v>1021</v>
      </c>
      <c r="L1" s="76" t="s">
        <v>1022</v>
      </c>
      <c r="M1" s="76" t="s">
        <v>1023</v>
      </c>
    </row>
    <row r="2" spans="1:13">
      <c r="A2" s="67">
        <v>1</v>
      </c>
      <c r="B2" s="68" t="s">
        <v>1102</v>
      </c>
      <c r="C2" s="71">
        <v>0</v>
      </c>
      <c r="D2" s="71">
        <v>0</v>
      </c>
      <c r="E2" s="71">
        <v>0</v>
      </c>
      <c r="F2" s="71">
        <v>0</v>
      </c>
      <c r="G2" s="71">
        <v>0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0</v>
      </c>
    </row>
    <row r="3" spans="1:13">
      <c r="A3" s="67">
        <v>2</v>
      </c>
      <c r="B3" s="68" t="s">
        <v>1103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</row>
    <row r="4" spans="1:13">
      <c r="A4" s="67">
        <v>3</v>
      </c>
      <c r="B4" s="68" t="s">
        <v>1104</v>
      </c>
      <c r="C4" s="71">
        <v>0</v>
      </c>
      <c r="D4" s="71">
        <v>0</v>
      </c>
      <c r="E4" s="71">
        <v>0</v>
      </c>
      <c r="F4" s="71">
        <v>0</v>
      </c>
      <c r="G4" s="71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</row>
    <row r="5" spans="1:13">
      <c r="A5" s="67">
        <v>4</v>
      </c>
      <c r="B5" s="68" t="s">
        <v>692</v>
      </c>
      <c r="C5" s="71">
        <v>2.7362242948342124E-3</v>
      </c>
      <c r="D5" s="71">
        <v>0</v>
      </c>
      <c r="E5" s="71">
        <v>0</v>
      </c>
      <c r="F5" s="71">
        <v>0</v>
      </c>
      <c r="G5" s="71">
        <v>0</v>
      </c>
      <c r="H5" s="69">
        <v>2.7362242948342124E-3</v>
      </c>
      <c r="I5" s="69">
        <v>2.5031352404587606E-3</v>
      </c>
      <c r="J5" s="69">
        <v>2.1246177321780631E-3</v>
      </c>
      <c r="K5" s="69">
        <v>1.0272856986578319E-3</v>
      </c>
      <c r="L5" s="69">
        <v>4.2650113879995761E-4</v>
      </c>
      <c r="M5" s="69">
        <v>2.5558120006344319E-4</v>
      </c>
    </row>
    <row r="6" spans="1:13">
      <c r="A6" s="67">
        <v>5</v>
      </c>
      <c r="B6" s="68" t="s">
        <v>1105</v>
      </c>
      <c r="C6" s="71">
        <v>2.9586682597071822E-3</v>
      </c>
      <c r="D6" s="71">
        <v>0</v>
      </c>
      <c r="E6" s="71">
        <v>0</v>
      </c>
      <c r="F6" s="71">
        <v>0</v>
      </c>
      <c r="G6" s="71">
        <v>0</v>
      </c>
      <c r="H6" s="69">
        <v>2.9586682597071822E-3</v>
      </c>
      <c r="I6" s="69">
        <v>2.7232514158168266E-3</v>
      </c>
      <c r="J6" s="69">
        <v>2.3013359328463937E-3</v>
      </c>
      <c r="K6" s="69">
        <v>1.1161660526814827E-3</v>
      </c>
      <c r="L6" s="69">
        <v>4.7053110856054884E-4</v>
      </c>
      <c r="M6" s="69">
        <v>2.5633290906957424E-4</v>
      </c>
    </row>
    <row r="7" spans="1:13">
      <c r="A7" s="67">
        <v>6</v>
      </c>
      <c r="B7" s="68" t="s">
        <v>1106</v>
      </c>
      <c r="C7" s="71">
        <v>4.9775656147866389E-3</v>
      </c>
      <c r="D7" s="71">
        <v>0</v>
      </c>
      <c r="E7" s="71">
        <v>0</v>
      </c>
      <c r="F7" s="71">
        <v>0</v>
      </c>
      <c r="G7" s="71">
        <v>0</v>
      </c>
      <c r="H7" s="69">
        <v>4.9775656147866389E-3</v>
      </c>
      <c r="I7" s="69">
        <v>4.5662530423937866E-3</v>
      </c>
      <c r="J7" s="69">
        <v>3.8601565123152679E-3</v>
      </c>
      <c r="K7" s="69">
        <v>1.8863845797364206E-3</v>
      </c>
      <c r="L7" s="69">
        <v>7.8955303549350486E-4</v>
      </c>
      <c r="M7" s="69">
        <v>4.5063826034861946E-4</v>
      </c>
    </row>
    <row r="8" spans="1:13">
      <c r="A8" s="67">
        <v>8</v>
      </c>
      <c r="B8" s="68" t="s">
        <v>693</v>
      </c>
      <c r="C8" s="71">
        <v>1.4069384809989019E-2</v>
      </c>
      <c r="D8" s="71">
        <v>0</v>
      </c>
      <c r="E8" s="71">
        <v>0</v>
      </c>
      <c r="F8" s="71">
        <v>0</v>
      </c>
      <c r="G8" s="71">
        <v>0</v>
      </c>
      <c r="H8" s="69">
        <v>1.4069384809989019E-2</v>
      </c>
      <c r="I8" s="69">
        <v>1.3108996605279291E-2</v>
      </c>
      <c r="J8" s="69">
        <v>1.1058310018090135E-2</v>
      </c>
      <c r="K8" s="69">
        <v>5.4026504078851963E-3</v>
      </c>
      <c r="L8" s="69">
        <v>2.3665708169482024E-3</v>
      </c>
      <c r="M8" s="69">
        <v>1.2885034428517207E-3</v>
      </c>
    </row>
    <row r="9" spans="1:13">
      <c r="A9" s="67">
        <v>7</v>
      </c>
      <c r="B9" s="68" t="s">
        <v>1107</v>
      </c>
      <c r="C9" s="71">
        <v>1.933498506891803E-2</v>
      </c>
      <c r="D9" s="71">
        <v>0</v>
      </c>
      <c r="E9" s="71">
        <v>0</v>
      </c>
      <c r="F9" s="71">
        <v>0</v>
      </c>
      <c r="G9" s="71">
        <v>0</v>
      </c>
      <c r="H9" s="69">
        <v>1.933498506891803E-2</v>
      </c>
      <c r="I9" s="69">
        <v>1.7460246818103601E-2</v>
      </c>
      <c r="J9" s="69">
        <v>1.519658500910556E-2</v>
      </c>
      <c r="K9" s="69">
        <v>7.2981709076842278E-3</v>
      </c>
      <c r="L9" s="69">
        <v>3.0823446279430512E-3</v>
      </c>
      <c r="M9" s="69">
        <v>1.75795470819328E-3</v>
      </c>
    </row>
    <row r="10" spans="1:13">
      <c r="A10" s="67">
        <v>9</v>
      </c>
      <c r="B10" s="68" t="s">
        <v>1108</v>
      </c>
      <c r="C10" s="71">
        <v>3.4129486735153543E-2</v>
      </c>
      <c r="D10" s="71">
        <v>0</v>
      </c>
      <c r="E10" s="71">
        <v>0</v>
      </c>
      <c r="F10" s="71">
        <v>0</v>
      </c>
      <c r="G10" s="71">
        <v>0</v>
      </c>
      <c r="H10" s="69">
        <v>3.4129486735153543E-2</v>
      </c>
      <c r="I10" s="69">
        <v>3.1407916391201121E-2</v>
      </c>
      <c r="J10" s="69">
        <v>2.6680099039865013E-2</v>
      </c>
      <c r="K10" s="69">
        <v>1.2880396491874561E-2</v>
      </c>
      <c r="L10" s="69">
        <v>5.6428189817146045E-3</v>
      </c>
      <c r="M10" s="69">
        <v>3.0715552056351345E-3</v>
      </c>
    </row>
    <row r="11" spans="1:13">
      <c r="A11" s="67">
        <v>10</v>
      </c>
      <c r="B11" s="68" t="s">
        <v>1109</v>
      </c>
      <c r="C11" s="71">
        <v>4.2159954202248495E-2</v>
      </c>
      <c r="D11" s="71">
        <v>0</v>
      </c>
      <c r="E11" s="71">
        <v>0</v>
      </c>
      <c r="F11" s="71">
        <v>0</v>
      </c>
      <c r="G11" s="71">
        <v>0</v>
      </c>
      <c r="H11" s="69">
        <v>4.2159954202248495E-2</v>
      </c>
      <c r="I11" s="69">
        <v>3.8885991722439492E-2</v>
      </c>
      <c r="J11" s="69">
        <v>3.3224274276058313E-2</v>
      </c>
      <c r="K11" s="69">
        <v>1.6486907509599438E-2</v>
      </c>
      <c r="L11" s="69">
        <v>7.1817696130913149E-3</v>
      </c>
      <c r="M11" s="69">
        <v>3.5834810732409904E-3</v>
      </c>
    </row>
    <row r="12" spans="1:13">
      <c r="A12" s="67">
        <v>11</v>
      </c>
      <c r="B12" s="68" t="s">
        <v>694</v>
      </c>
      <c r="C12" s="71">
        <v>5.5978651731663609E-2</v>
      </c>
      <c r="D12" s="71">
        <v>0</v>
      </c>
      <c r="E12" s="71">
        <v>0</v>
      </c>
      <c r="F12" s="71">
        <v>0</v>
      </c>
      <c r="G12" s="71">
        <v>0</v>
      </c>
      <c r="H12" s="69">
        <v>5.5978651731663609E-2</v>
      </c>
      <c r="I12" s="69">
        <v>5.1686741409923916E-2</v>
      </c>
      <c r="J12" s="69">
        <v>4.4252972592378585E-2</v>
      </c>
      <c r="K12" s="69">
        <v>2.2038817164930172E-2</v>
      </c>
      <c r="L12" s="69">
        <v>9.6024092710564786E-3</v>
      </c>
      <c r="M12" s="69">
        <v>4.7909477018914055E-3</v>
      </c>
    </row>
    <row r="13" spans="1:13">
      <c r="A13" s="67">
        <v>12</v>
      </c>
      <c r="B13" s="68" t="s">
        <v>1110</v>
      </c>
      <c r="C13" s="71">
        <v>0.11966513247703492</v>
      </c>
      <c r="D13" s="71">
        <v>0</v>
      </c>
      <c r="E13" s="71">
        <v>0</v>
      </c>
      <c r="F13" s="71">
        <v>0</v>
      </c>
      <c r="G13" s="71">
        <v>0</v>
      </c>
      <c r="H13" s="69">
        <v>0.11966513247703492</v>
      </c>
      <c r="I13" s="69">
        <v>0.1111494282419838</v>
      </c>
      <c r="J13" s="69">
        <v>9.5783953272502637E-2</v>
      </c>
      <c r="K13" s="69">
        <v>4.9248899278449942E-2</v>
      </c>
      <c r="L13" s="69">
        <v>2.0803280367266131E-2</v>
      </c>
      <c r="M13" s="69">
        <v>1.132223354756778E-2</v>
      </c>
    </row>
    <row r="14" spans="1:13">
      <c r="A14" s="67">
        <v>13</v>
      </c>
      <c r="B14" s="68" t="s">
        <v>695</v>
      </c>
      <c r="C14" s="71">
        <v>0.23945894070248538</v>
      </c>
      <c r="D14" s="71">
        <v>0</v>
      </c>
      <c r="E14" s="71">
        <v>0</v>
      </c>
      <c r="F14" s="71">
        <v>0</v>
      </c>
      <c r="G14" s="71">
        <v>0</v>
      </c>
      <c r="H14" s="69">
        <v>0.23945894070248538</v>
      </c>
      <c r="I14" s="69">
        <v>0.22529939165555932</v>
      </c>
      <c r="J14" s="69">
        <v>0.19500118608940661</v>
      </c>
      <c r="K14" s="69">
        <v>0.10023558057847141</v>
      </c>
      <c r="L14" s="69">
        <v>4.4620056921174475E-2</v>
      </c>
      <c r="M14" s="69">
        <v>2.2266119201167986E-2</v>
      </c>
    </row>
    <row r="15" spans="1:13">
      <c r="A15" s="67">
        <v>15</v>
      </c>
      <c r="B15" s="68" t="s">
        <v>1111</v>
      </c>
      <c r="C15" s="71">
        <v>0.82607594159279074</v>
      </c>
      <c r="D15" s="71">
        <v>0</v>
      </c>
      <c r="E15" s="71">
        <v>0</v>
      </c>
      <c r="F15" s="71">
        <v>0</v>
      </c>
      <c r="G15" s="71">
        <v>0</v>
      </c>
      <c r="H15" s="69">
        <v>0.82607594159279074</v>
      </c>
      <c r="I15" s="69">
        <v>0.77524764131323598</v>
      </c>
      <c r="J15" s="69">
        <v>0.6868928104327322</v>
      </c>
      <c r="K15" s="69">
        <v>0.35897265077481089</v>
      </c>
      <c r="L15" s="69">
        <v>0.15936854874948964</v>
      </c>
      <c r="M15" s="69">
        <v>8.3741227507033666E-2</v>
      </c>
    </row>
    <row r="16" spans="1:13">
      <c r="A16" s="67">
        <v>14</v>
      </c>
      <c r="B16" s="68" t="s">
        <v>1112</v>
      </c>
      <c r="C16" s="71">
        <v>0.93585787950211596</v>
      </c>
      <c r="D16" s="71">
        <v>0</v>
      </c>
      <c r="E16" s="71">
        <v>0</v>
      </c>
      <c r="F16" s="71">
        <v>0</v>
      </c>
      <c r="G16" s="71">
        <v>0</v>
      </c>
      <c r="H16" s="69">
        <v>0.93585787950211596</v>
      </c>
      <c r="I16" s="69">
        <v>0.92939664770579333</v>
      </c>
      <c r="J16" s="69">
        <v>0.81283645139735605</v>
      </c>
      <c r="K16" s="69">
        <v>0.44209007878866913</v>
      </c>
      <c r="L16" s="69">
        <v>0.19197638946438575</v>
      </c>
      <c r="M16" s="69">
        <v>0.10233436459015725</v>
      </c>
    </row>
    <row r="17" spans="1:13">
      <c r="A17" s="67">
        <v>16</v>
      </c>
      <c r="B17" s="68" t="s">
        <v>1113</v>
      </c>
      <c r="C17" s="71">
        <v>1.9418340593621972</v>
      </c>
      <c r="D17" s="71">
        <v>0</v>
      </c>
      <c r="E17" s="71">
        <v>0</v>
      </c>
      <c r="F17" s="71">
        <v>0</v>
      </c>
      <c r="G17" s="71">
        <v>0</v>
      </c>
      <c r="H17" s="69">
        <v>1.9418340593621972</v>
      </c>
      <c r="I17" s="69">
        <v>1.9407015781763728</v>
      </c>
      <c r="J17" s="69">
        <v>1.8133928812965794</v>
      </c>
      <c r="K17" s="69">
        <v>1.0140900539198763</v>
      </c>
      <c r="L17" s="69">
        <v>0.45739370611567182</v>
      </c>
      <c r="M17" s="69">
        <v>0.26194764981596602</v>
      </c>
    </row>
    <row r="18" spans="1:13">
      <c r="A18" s="67">
        <v>17</v>
      </c>
      <c r="B18" s="68" t="s">
        <v>1114</v>
      </c>
      <c r="C18" s="71">
        <v>3.6240970060613753</v>
      </c>
      <c r="D18" s="71">
        <v>0</v>
      </c>
      <c r="E18" s="71">
        <v>0</v>
      </c>
      <c r="F18" s="71">
        <v>0</v>
      </c>
      <c r="G18" s="71">
        <v>0</v>
      </c>
      <c r="H18" s="69">
        <v>3.6019915792454085</v>
      </c>
      <c r="I18" s="69">
        <v>3.6240970060613753</v>
      </c>
      <c r="J18" s="69">
        <v>3.4997426318713685</v>
      </c>
      <c r="K18" s="69">
        <v>2.0519891896131797</v>
      </c>
      <c r="L18" s="69">
        <v>0.94415531350939708</v>
      </c>
      <c r="M18" s="69">
        <v>0.49888498480569765</v>
      </c>
    </row>
    <row r="19" spans="1:13">
      <c r="A19" s="67">
        <v>18</v>
      </c>
      <c r="B19" s="68" t="s">
        <v>1115</v>
      </c>
      <c r="C19" s="71">
        <v>4.677332050943253</v>
      </c>
      <c r="D19" s="71">
        <v>0</v>
      </c>
      <c r="E19" s="71">
        <v>0</v>
      </c>
      <c r="F19" s="71">
        <v>0</v>
      </c>
      <c r="G19" s="71">
        <v>0</v>
      </c>
      <c r="H19" s="69">
        <v>4.6491542185734342</v>
      </c>
      <c r="I19" s="69">
        <v>4.677332050943253</v>
      </c>
      <c r="J19" s="69">
        <v>4.525479257107377</v>
      </c>
      <c r="K19" s="69">
        <v>2.716056880201382</v>
      </c>
      <c r="L19" s="69">
        <v>1.2227128920443204</v>
      </c>
      <c r="M19" s="69">
        <v>0.66982495366730677</v>
      </c>
    </row>
    <row r="20" spans="1:13">
      <c r="A20" s="67">
        <v>19</v>
      </c>
      <c r="B20" s="68" t="s">
        <v>1116</v>
      </c>
      <c r="C20" s="71">
        <v>7.8295364262582412</v>
      </c>
      <c r="D20" s="71">
        <v>0</v>
      </c>
      <c r="E20" s="71">
        <v>0</v>
      </c>
      <c r="F20" s="71">
        <v>0</v>
      </c>
      <c r="G20" s="71">
        <v>0</v>
      </c>
      <c r="H20" s="69">
        <v>7.8065053642378865</v>
      </c>
      <c r="I20" s="69">
        <v>7.8295364262582412</v>
      </c>
      <c r="J20" s="69">
        <v>7.540028439934491</v>
      </c>
      <c r="K20" s="69">
        <v>4.4052632124095776</v>
      </c>
      <c r="L20" s="69">
        <v>1.9551323576325246</v>
      </c>
      <c r="M20" s="69">
        <v>1.1038936700054884</v>
      </c>
    </row>
    <row r="21" spans="1:13">
      <c r="A21" s="67">
        <v>21</v>
      </c>
      <c r="B21" s="68" t="s">
        <v>1117</v>
      </c>
      <c r="C21" s="71">
        <v>14.713722014270944</v>
      </c>
      <c r="D21" s="71">
        <v>0</v>
      </c>
      <c r="E21" s="71">
        <v>0</v>
      </c>
      <c r="F21" s="71">
        <v>0</v>
      </c>
      <c r="G21" s="71">
        <v>0</v>
      </c>
      <c r="H21" s="69">
        <v>9.5927180371592833</v>
      </c>
      <c r="I21" s="69">
        <v>11.038502734858499</v>
      </c>
      <c r="J21" s="69">
        <v>14.713722014270944</v>
      </c>
      <c r="K21" s="69">
        <v>12.592253663740392</v>
      </c>
      <c r="L21" s="69">
        <v>6.2123052079296768</v>
      </c>
      <c r="M21" s="69">
        <v>3.5911464977195728</v>
      </c>
    </row>
    <row r="22" spans="1:13">
      <c r="A22" s="67">
        <v>20</v>
      </c>
      <c r="B22" s="68" t="s">
        <v>1118</v>
      </c>
      <c r="C22" s="71">
        <v>16.648312264291715</v>
      </c>
      <c r="D22" s="71">
        <v>0</v>
      </c>
      <c r="E22" s="71">
        <v>0</v>
      </c>
      <c r="F22" s="71">
        <v>0</v>
      </c>
      <c r="G22" s="71">
        <v>0</v>
      </c>
      <c r="H22" s="69">
        <v>12.805916007857306</v>
      </c>
      <c r="I22" s="69">
        <v>14.727235081073147</v>
      </c>
      <c r="J22" s="69">
        <v>16.648312264291715</v>
      </c>
      <c r="K22" s="69">
        <v>11.654646130232035</v>
      </c>
      <c r="L22" s="69">
        <v>5.9065755756348652</v>
      </c>
      <c r="M22" s="69">
        <v>2.9980254821394401</v>
      </c>
    </row>
    <row r="23" spans="1:13">
      <c r="A23" s="67">
        <v>22</v>
      </c>
      <c r="B23" s="68" t="s">
        <v>1119</v>
      </c>
      <c r="C23" s="71">
        <v>21.044016399171884</v>
      </c>
      <c r="D23" s="71">
        <v>0</v>
      </c>
      <c r="E23" s="71">
        <v>0</v>
      </c>
      <c r="F23" s="71">
        <v>0</v>
      </c>
      <c r="G23" s="71">
        <v>0</v>
      </c>
      <c r="H23" s="69">
        <v>14.342279021904295</v>
      </c>
      <c r="I23" s="69">
        <v>16.48970590835486</v>
      </c>
      <c r="J23" s="69">
        <v>21.044016399171884</v>
      </c>
      <c r="K23" s="69">
        <v>15.912904302586748</v>
      </c>
      <c r="L23" s="69">
        <v>7.7548709327336161</v>
      </c>
      <c r="M23" s="69">
        <v>4.2898005291281498</v>
      </c>
    </row>
    <row r="24" spans="1:13">
      <c r="A24" s="67">
        <v>23</v>
      </c>
      <c r="B24" s="68" t="s">
        <v>1120</v>
      </c>
      <c r="C24" s="71">
        <v>37.822380843613551</v>
      </c>
      <c r="D24" s="71">
        <v>0</v>
      </c>
      <c r="E24" s="71">
        <v>0</v>
      </c>
      <c r="F24" s="71">
        <v>0</v>
      </c>
      <c r="G24" s="71">
        <v>0</v>
      </c>
      <c r="H24" s="69">
        <v>24.683281242620215</v>
      </c>
      <c r="I24" s="69">
        <v>28.407730388457857</v>
      </c>
      <c r="J24" s="69">
        <v>37.822380843613551</v>
      </c>
      <c r="K24" s="69">
        <v>30.880946366843766</v>
      </c>
      <c r="L24" s="69">
        <v>15.479857677360588</v>
      </c>
      <c r="M24" s="69">
        <v>8.6178037494888233</v>
      </c>
    </row>
    <row r="25" spans="1:13">
      <c r="A25" s="67">
        <v>25</v>
      </c>
      <c r="B25" s="68" t="s">
        <v>696</v>
      </c>
      <c r="C25" s="71">
        <v>61.206015287482096</v>
      </c>
      <c r="D25" s="71">
        <v>0</v>
      </c>
      <c r="E25" s="71">
        <v>0</v>
      </c>
      <c r="F25" s="71">
        <v>0</v>
      </c>
      <c r="G25" s="71">
        <v>0</v>
      </c>
      <c r="H25" s="69">
        <v>0</v>
      </c>
      <c r="I25" s="69">
        <v>0</v>
      </c>
      <c r="J25" s="69">
        <v>55.979474403791016</v>
      </c>
      <c r="K25" s="69">
        <v>61.206015287482096</v>
      </c>
      <c r="L25" s="69">
        <v>32.770126771108146</v>
      </c>
      <c r="M25" s="69">
        <v>18.443887177343981</v>
      </c>
    </row>
    <row r="26" spans="1:13">
      <c r="A26" s="67">
        <v>24</v>
      </c>
      <c r="B26" s="68" t="s">
        <v>1121</v>
      </c>
      <c r="C26" s="71">
        <v>71.060714395518374</v>
      </c>
      <c r="D26" s="71">
        <v>0</v>
      </c>
      <c r="E26" s="71">
        <v>0</v>
      </c>
      <c r="F26" s="71">
        <v>0</v>
      </c>
      <c r="G26" s="71">
        <v>0</v>
      </c>
      <c r="H26" s="69">
        <v>0</v>
      </c>
      <c r="I26" s="69">
        <v>56.403188167793118</v>
      </c>
      <c r="J26" s="69">
        <v>71.060714395518374</v>
      </c>
      <c r="K26" s="69">
        <v>53.207993079692912</v>
      </c>
      <c r="L26" s="69">
        <v>26.309214718033331</v>
      </c>
      <c r="M26" s="69">
        <v>14.557441808898487</v>
      </c>
    </row>
    <row r="27" spans="1:13">
      <c r="A27" s="67">
        <v>26</v>
      </c>
      <c r="B27" s="68" t="s">
        <v>1122</v>
      </c>
      <c r="C27" s="71">
        <v>72.885690528701943</v>
      </c>
      <c r="D27" s="71">
        <v>0</v>
      </c>
      <c r="E27" s="71">
        <v>0</v>
      </c>
      <c r="F27" s="71">
        <v>0</v>
      </c>
      <c r="G27" s="71">
        <v>0</v>
      </c>
      <c r="H27" s="69">
        <v>0</v>
      </c>
      <c r="I27" s="69">
        <v>42.982432386418012</v>
      </c>
      <c r="J27" s="69">
        <v>57.27297990831844</v>
      </c>
      <c r="K27" s="69">
        <v>72.885690528701943</v>
      </c>
      <c r="L27" s="69">
        <v>41.98044978083383</v>
      </c>
      <c r="M27" s="69">
        <v>23.508305212788269</v>
      </c>
    </row>
    <row r="28" spans="1:13">
      <c r="A28" s="67">
        <v>27</v>
      </c>
      <c r="B28" s="68" t="s">
        <v>1123</v>
      </c>
      <c r="C28" s="71">
        <v>101.26073056961707</v>
      </c>
      <c r="D28" s="71">
        <v>0</v>
      </c>
      <c r="E28" s="71">
        <v>0</v>
      </c>
      <c r="F28" s="71">
        <v>0</v>
      </c>
      <c r="G28" s="71">
        <v>0</v>
      </c>
      <c r="H28" s="69">
        <v>0</v>
      </c>
      <c r="I28" s="69">
        <v>0</v>
      </c>
      <c r="J28" s="69">
        <v>101.26073056961707</v>
      </c>
      <c r="K28" s="69">
        <v>77.716679035491453</v>
      </c>
      <c r="L28" s="69">
        <v>38.570183377087965</v>
      </c>
      <c r="M28" s="69">
        <v>21.024479345037623</v>
      </c>
    </row>
    <row r="29" spans="1:13">
      <c r="A29" s="67">
        <v>28</v>
      </c>
      <c r="B29" s="68" t="s">
        <v>1124</v>
      </c>
      <c r="C29" s="71">
        <v>114.22745575129103</v>
      </c>
      <c r="D29" s="71">
        <v>0</v>
      </c>
      <c r="E29" s="71">
        <v>0</v>
      </c>
      <c r="F29" s="71">
        <v>0</v>
      </c>
      <c r="G29" s="71">
        <v>0</v>
      </c>
      <c r="H29" s="69">
        <v>0</v>
      </c>
      <c r="I29" s="69">
        <v>0</v>
      </c>
      <c r="J29" s="69">
        <v>74.173036413065617</v>
      </c>
      <c r="K29" s="69">
        <v>114.22745575129103</v>
      </c>
      <c r="L29" s="69">
        <v>72.331678170893156</v>
      </c>
      <c r="M29" s="69">
        <v>42.489935961029879</v>
      </c>
    </row>
    <row r="30" spans="1:13">
      <c r="A30" s="67">
        <v>29</v>
      </c>
      <c r="B30" s="68" t="s">
        <v>1125</v>
      </c>
      <c r="C30" s="71">
        <v>218.82594091244817</v>
      </c>
      <c r="D30" s="71">
        <v>0</v>
      </c>
      <c r="E30" s="71">
        <v>0</v>
      </c>
      <c r="F30" s="71">
        <v>0</v>
      </c>
      <c r="G30" s="71">
        <v>0</v>
      </c>
      <c r="H30" s="69">
        <v>0</v>
      </c>
      <c r="I30" s="69">
        <v>0</v>
      </c>
      <c r="J30" s="69">
        <v>189.96368724887915</v>
      </c>
      <c r="K30" s="69">
        <v>218.82594091244817</v>
      </c>
      <c r="L30" s="69">
        <v>120.38240769844685</v>
      </c>
      <c r="M30" s="69">
        <v>67.540466392608593</v>
      </c>
    </row>
    <row r="31" spans="1:13">
      <c r="A31" s="67">
        <v>31</v>
      </c>
      <c r="B31" s="68" t="s">
        <v>1126</v>
      </c>
      <c r="C31" s="71">
        <v>244.98644337291768</v>
      </c>
      <c r="D31" s="71">
        <v>0</v>
      </c>
      <c r="E31" s="71">
        <v>0</v>
      </c>
      <c r="F31" s="71">
        <v>0</v>
      </c>
      <c r="G31" s="71">
        <v>0</v>
      </c>
      <c r="H31" s="69">
        <v>0</v>
      </c>
      <c r="I31" s="69">
        <v>0</v>
      </c>
      <c r="J31" s="69">
        <v>131.40852155483569</v>
      </c>
      <c r="K31" s="69">
        <v>244.98644337291768</v>
      </c>
      <c r="L31" s="69">
        <v>203.98464981268833</v>
      </c>
      <c r="M31" s="69">
        <v>123.85109583938468</v>
      </c>
    </row>
    <row r="32" spans="1:13">
      <c r="A32" s="67">
        <v>32</v>
      </c>
      <c r="B32" s="68" t="s">
        <v>1127</v>
      </c>
      <c r="C32" s="71">
        <v>307.76998055655139</v>
      </c>
      <c r="D32" s="71">
        <v>0</v>
      </c>
      <c r="E32" s="71">
        <v>0</v>
      </c>
      <c r="F32" s="71">
        <v>0</v>
      </c>
      <c r="G32" s="71">
        <v>0</v>
      </c>
      <c r="H32" s="69">
        <v>0</v>
      </c>
      <c r="I32" s="69">
        <v>0</v>
      </c>
      <c r="J32" s="69">
        <v>165.55007368582599</v>
      </c>
      <c r="K32" s="69">
        <v>307.76998055655139</v>
      </c>
      <c r="L32" s="69">
        <v>251.97560000577073</v>
      </c>
      <c r="M32" s="69">
        <v>154.97369862347134</v>
      </c>
    </row>
    <row r="33" spans="1:13">
      <c r="A33" s="67">
        <v>33</v>
      </c>
      <c r="B33" s="68" t="s">
        <v>1128</v>
      </c>
      <c r="C33" s="71">
        <v>593.31163634973598</v>
      </c>
      <c r="D33" s="71">
        <v>0</v>
      </c>
      <c r="E33" s="71">
        <v>0</v>
      </c>
      <c r="F33" s="71">
        <v>0</v>
      </c>
      <c r="G33" s="71">
        <v>0</v>
      </c>
      <c r="H33" s="69">
        <v>0</v>
      </c>
      <c r="I33" s="69">
        <v>0</v>
      </c>
      <c r="J33" s="69">
        <v>318.52968846197285</v>
      </c>
      <c r="K33" s="69">
        <v>593.31163634973598</v>
      </c>
      <c r="L33" s="69">
        <v>588.19710044473038</v>
      </c>
      <c r="M33" s="69">
        <v>375.42806724376635</v>
      </c>
    </row>
    <row r="34" spans="1:13">
      <c r="A34" s="67">
        <v>30</v>
      </c>
      <c r="B34" s="68" t="s">
        <v>1129</v>
      </c>
      <c r="C34" s="71">
        <v>625.19162770335606</v>
      </c>
      <c r="D34" s="71">
        <v>0</v>
      </c>
      <c r="E34" s="71">
        <v>0</v>
      </c>
      <c r="F34" s="71">
        <v>0</v>
      </c>
      <c r="G34" s="71">
        <v>0</v>
      </c>
      <c r="H34" s="69">
        <v>0</v>
      </c>
      <c r="I34" s="69">
        <v>0</v>
      </c>
      <c r="J34" s="69">
        <v>334.55995790036701</v>
      </c>
      <c r="K34" s="69">
        <v>625.19162770335606</v>
      </c>
      <c r="L34" s="69">
        <v>453.64206745356051</v>
      </c>
      <c r="M34" s="69">
        <v>277.02110711085908</v>
      </c>
    </row>
    <row r="35" spans="1:13">
      <c r="A35" s="67">
        <v>34</v>
      </c>
      <c r="B35" s="68" t="s">
        <v>1130</v>
      </c>
      <c r="C35" s="71">
        <v>2446.0949370435328</v>
      </c>
      <c r="D35" s="71">
        <v>0</v>
      </c>
      <c r="E35" s="71">
        <v>0</v>
      </c>
      <c r="F35" s="71">
        <v>0</v>
      </c>
      <c r="G35" s="71">
        <v>0</v>
      </c>
      <c r="H35" s="69">
        <v>0</v>
      </c>
      <c r="I35" s="69">
        <v>0</v>
      </c>
      <c r="J35" s="69">
        <v>803.03653259761745</v>
      </c>
      <c r="K35" s="69">
        <v>1501.3932099020344</v>
      </c>
      <c r="L35" s="69">
        <v>2446.0949370435328</v>
      </c>
      <c r="M35" s="69">
        <v>1822.9383160624975</v>
      </c>
    </row>
    <row r="36" spans="1:13">
      <c r="A36" s="67">
        <v>35</v>
      </c>
      <c r="B36" s="68" t="s">
        <v>1131</v>
      </c>
      <c r="C36" s="71">
        <v>5877.0342366840368</v>
      </c>
      <c r="D36" s="71">
        <v>0</v>
      </c>
      <c r="E36" s="71">
        <v>0</v>
      </c>
      <c r="F36" s="71">
        <v>0</v>
      </c>
      <c r="G36" s="71">
        <v>0</v>
      </c>
      <c r="H36" s="69">
        <v>0</v>
      </c>
      <c r="I36" s="69">
        <v>0</v>
      </c>
      <c r="J36" s="69">
        <v>1483.9923486102946</v>
      </c>
      <c r="K36" s="69">
        <v>2765.758636566597</v>
      </c>
      <c r="L36" s="69">
        <v>5877.0342366840368</v>
      </c>
      <c r="M36" s="69">
        <v>5447.2637583604037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topLeftCell="A10" workbookViewId="0">
      <selection activeCell="O17" sqref="O17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36"/>
  <sheetViews>
    <sheetView workbookViewId="0">
      <selection activeCell="C2" sqref="C2"/>
    </sheetView>
  </sheetViews>
  <sheetFormatPr defaultRowHeight="15"/>
  <cols>
    <col min="3" max="7" width="9.140625" style="53"/>
  </cols>
  <sheetData>
    <row r="1" spans="1:13" ht="30">
      <c r="A1" s="76" t="s">
        <v>1012</v>
      </c>
      <c r="B1" s="76" t="s">
        <v>1013</v>
      </c>
      <c r="C1" s="76"/>
      <c r="D1" s="76">
        <v>550</v>
      </c>
      <c r="E1" s="76">
        <v>300</v>
      </c>
      <c r="F1" s="76">
        <v>200</v>
      </c>
      <c r="G1" s="76">
        <v>173</v>
      </c>
      <c r="H1" s="76" t="s">
        <v>1018</v>
      </c>
      <c r="I1" s="76" t="s">
        <v>1019</v>
      </c>
      <c r="J1" s="76" t="s">
        <v>1020</v>
      </c>
      <c r="K1" s="76" t="s">
        <v>1021</v>
      </c>
      <c r="L1" s="76" t="s">
        <v>1022</v>
      </c>
      <c r="M1" s="76" t="s">
        <v>1023</v>
      </c>
    </row>
    <row r="2" spans="1:13">
      <c r="A2" s="67">
        <v>1</v>
      </c>
      <c r="B2" s="68" t="s">
        <v>1102</v>
      </c>
      <c r="C2" s="68"/>
      <c r="D2" s="68"/>
      <c r="E2" s="68"/>
      <c r="F2" s="68"/>
      <c r="G2" s="68"/>
      <c r="H2" s="69"/>
      <c r="I2" s="69"/>
      <c r="J2" s="69"/>
      <c r="K2" s="69"/>
      <c r="L2" s="69"/>
      <c r="M2" s="69"/>
    </row>
    <row r="3" spans="1:13">
      <c r="A3" s="67">
        <v>2</v>
      </c>
      <c r="B3" s="68" t="s">
        <v>1103</v>
      </c>
      <c r="C3" s="68"/>
      <c r="D3" s="68"/>
      <c r="E3" s="68"/>
      <c r="F3" s="68"/>
      <c r="G3" s="68"/>
      <c r="H3" s="69"/>
      <c r="I3" s="69"/>
      <c r="J3" s="69"/>
      <c r="K3" s="69"/>
      <c r="L3" s="69"/>
      <c r="M3" s="69"/>
    </row>
    <row r="4" spans="1:13">
      <c r="A4" s="67">
        <v>3</v>
      </c>
      <c r="B4" s="68" t="s">
        <v>1104</v>
      </c>
      <c r="C4" s="68"/>
      <c r="D4" s="68"/>
      <c r="E4" s="68"/>
      <c r="F4" s="68"/>
      <c r="G4" s="68"/>
      <c r="H4" s="69"/>
      <c r="I4" s="69"/>
      <c r="J4" s="69"/>
      <c r="K4" s="69"/>
      <c r="L4" s="69"/>
      <c r="M4" s="69"/>
    </row>
    <row r="5" spans="1:13">
      <c r="A5" s="67">
        <v>4</v>
      </c>
      <c r="B5" s="70" t="s">
        <v>692</v>
      </c>
      <c r="C5" s="70"/>
      <c r="D5" s="70"/>
      <c r="E5" s="70"/>
      <c r="F5" s="70"/>
      <c r="G5" s="70"/>
      <c r="H5" s="69">
        <v>58018</v>
      </c>
      <c r="I5" s="69">
        <v>58019</v>
      </c>
      <c r="J5" s="69">
        <v>58020</v>
      </c>
      <c r="K5" s="69">
        <v>58021</v>
      </c>
      <c r="L5" s="69">
        <v>58022</v>
      </c>
      <c r="M5" s="69">
        <v>58023</v>
      </c>
    </row>
    <row r="6" spans="1:13">
      <c r="A6" s="67">
        <v>5</v>
      </c>
      <c r="B6" s="70" t="s">
        <v>1105</v>
      </c>
      <c r="C6" s="70"/>
      <c r="D6" s="70"/>
      <c r="E6" s="70"/>
      <c r="F6" s="70"/>
      <c r="G6" s="70"/>
      <c r="H6" s="69">
        <v>58238</v>
      </c>
      <c r="I6" s="69">
        <v>58239</v>
      </c>
      <c r="J6" s="69">
        <v>58240</v>
      </c>
      <c r="K6" s="69">
        <v>58241</v>
      </c>
      <c r="L6" s="69">
        <v>58241</v>
      </c>
      <c r="M6" s="69">
        <v>58243</v>
      </c>
    </row>
    <row r="7" spans="1:13">
      <c r="A7" s="67">
        <v>6</v>
      </c>
      <c r="B7" s="70" t="s">
        <v>1106</v>
      </c>
      <c r="C7" s="70"/>
      <c r="D7" s="70"/>
      <c r="E7" s="70"/>
      <c r="F7" s="70"/>
      <c r="G7" s="70"/>
      <c r="H7" s="69">
        <v>58268</v>
      </c>
      <c r="I7" s="69">
        <v>58269</v>
      </c>
      <c r="J7" s="69">
        <v>58270</v>
      </c>
      <c r="K7" s="69">
        <v>58271</v>
      </c>
      <c r="L7" s="69">
        <v>58272</v>
      </c>
      <c r="M7" s="69">
        <v>58273</v>
      </c>
    </row>
    <row r="8" spans="1:13">
      <c r="A8" s="67">
        <v>8</v>
      </c>
      <c r="B8" s="70" t="s">
        <v>693</v>
      </c>
      <c r="C8" s="70"/>
      <c r="D8" s="70"/>
      <c r="E8" s="70"/>
      <c r="F8" s="70"/>
      <c r="G8" s="70"/>
      <c r="H8" s="69">
        <v>58028</v>
      </c>
      <c r="I8" s="69">
        <v>58029</v>
      </c>
      <c r="J8" s="69">
        <v>58030</v>
      </c>
      <c r="K8" s="69">
        <v>58031</v>
      </c>
      <c r="L8" s="69">
        <v>58032</v>
      </c>
      <c r="M8" s="69">
        <v>58033</v>
      </c>
    </row>
    <row r="9" spans="1:13">
      <c r="A9" s="67">
        <v>7</v>
      </c>
      <c r="B9" s="70" t="s">
        <v>1107</v>
      </c>
      <c r="C9" s="70"/>
      <c r="D9" s="70"/>
      <c r="E9" s="70"/>
      <c r="F9" s="70"/>
      <c r="G9" s="70"/>
      <c r="H9" s="69">
        <v>58408</v>
      </c>
      <c r="I9" s="69">
        <v>58409</v>
      </c>
      <c r="J9" s="69">
        <v>58410</v>
      </c>
      <c r="K9" s="69">
        <v>58411</v>
      </c>
      <c r="L9" s="69">
        <v>58412</v>
      </c>
      <c r="M9" s="69">
        <v>58413</v>
      </c>
    </row>
    <row r="10" spans="1:13">
      <c r="A10" s="67">
        <v>9</v>
      </c>
      <c r="B10" s="70" t="s">
        <v>1108</v>
      </c>
      <c r="C10" s="70"/>
      <c r="D10" s="70"/>
      <c r="E10" s="70"/>
      <c r="F10" s="70"/>
      <c r="G10" s="70"/>
      <c r="H10" s="69">
        <v>58278</v>
      </c>
      <c r="I10" s="69">
        <v>58279</v>
      </c>
      <c r="J10" s="69">
        <v>58280</v>
      </c>
      <c r="K10" s="69">
        <v>58281</v>
      </c>
      <c r="L10" s="69">
        <v>58282</v>
      </c>
      <c r="M10" s="69">
        <v>58283</v>
      </c>
    </row>
    <row r="11" spans="1:13">
      <c r="A11" s="67">
        <v>10</v>
      </c>
      <c r="B11" s="70" t="s">
        <v>1109</v>
      </c>
      <c r="C11" s="70"/>
      <c r="D11" s="70"/>
      <c r="E11" s="70"/>
      <c r="F11" s="70"/>
      <c r="G11" s="70"/>
      <c r="H11" s="69">
        <v>58288</v>
      </c>
      <c r="I11" s="69">
        <v>58289</v>
      </c>
      <c r="J11" s="69">
        <v>58290</v>
      </c>
      <c r="K11" s="69">
        <v>58291</v>
      </c>
      <c r="L11" s="69">
        <v>58292</v>
      </c>
      <c r="M11" s="69">
        <v>58293</v>
      </c>
    </row>
    <row r="12" spans="1:13">
      <c r="A12" s="67">
        <v>11</v>
      </c>
      <c r="B12" s="70" t="s">
        <v>694</v>
      </c>
      <c r="C12" s="70"/>
      <c r="D12" s="70"/>
      <c r="E12" s="70"/>
      <c r="F12" s="70"/>
      <c r="G12" s="70"/>
      <c r="H12" s="69">
        <v>58038</v>
      </c>
      <c r="I12" s="69">
        <v>58039</v>
      </c>
      <c r="J12" s="69">
        <v>58040</v>
      </c>
      <c r="K12" s="69">
        <v>58041</v>
      </c>
      <c r="L12" s="69">
        <v>58042</v>
      </c>
      <c r="M12" s="69">
        <v>58043</v>
      </c>
    </row>
    <row r="13" spans="1:13">
      <c r="A13" s="67">
        <v>12</v>
      </c>
      <c r="B13" s="70" t="s">
        <v>1110</v>
      </c>
      <c r="C13" s="70"/>
      <c r="D13" s="70"/>
      <c r="E13" s="70"/>
      <c r="F13" s="70"/>
      <c r="G13" s="70"/>
      <c r="H13" s="69">
        <v>58128</v>
      </c>
      <c r="I13" s="69">
        <v>58129</v>
      </c>
      <c r="J13" s="69">
        <v>58130</v>
      </c>
      <c r="K13" s="69">
        <v>58131</v>
      </c>
      <c r="L13" s="69">
        <v>58132</v>
      </c>
      <c r="M13" s="69">
        <v>58133</v>
      </c>
    </row>
    <row r="14" spans="1:13">
      <c r="A14" s="67">
        <v>13</v>
      </c>
      <c r="B14" s="70" t="s">
        <v>695</v>
      </c>
      <c r="C14" s="70"/>
      <c r="D14" s="70"/>
      <c r="E14" s="70"/>
      <c r="F14" s="70"/>
      <c r="G14" s="70"/>
      <c r="H14" s="69">
        <v>58048</v>
      </c>
      <c r="I14" s="69">
        <v>58049</v>
      </c>
      <c r="J14" s="69">
        <v>58050</v>
      </c>
      <c r="K14" s="69">
        <v>58051</v>
      </c>
      <c r="L14" s="69">
        <v>58052</v>
      </c>
      <c r="M14" s="69">
        <v>58053</v>
      </c>
    </row>
    <row r="15" spans="1:13">
      <c r="A15" s="67">
        <v>15</v>
      </c>
      <c r="B15" s="70" t="s">
        <v>1111</v>
      </c>
      <c r="C15" s="70"/>
      <c r="D15" s="70"/>
      <c r="E15" s="70"/>
      <c r="F15" s="70"/>
      <c r="G15" s="70"/>
      <c r="H15" s="69">
        <v>58378</v>
      </c>
      <c r="I15" s="69">
        <v>58379</v>
      </c>
      <c r="J15" s="69">
        <v>58380</v>
      </c>
      <c r="K15" s="69">
        <v>58381</v>
      </c>
      <c r="L15" s="69">
        <v>58382</v>
      </c>
      <c r="M15" s="69">
        <v>58383</v>
      </c>
    </row>
    <row r="16" spans="1:13">
      <c r="A16" s="67">
        <v>14</v>
      </c>
      <c r="B16" s="70" t="s">
        <v>1112</v>
      </c>
      <c r="C16" s="70"/>
      <c r="D16" s="70"/>
      <c r="E16" s="70"/>
      <c r="F16" s="70"/>
      <c r="G16" s="70"/>
      <c r="H16" s="69">
        <v>58118</v>
      </c>
      <c r="I16" s="69">
        <v>58119</v>
      </c>
      <c r="J16" s="69">
        <v>58120</v>
      </c>
      <c r="K16" s="69">
        <v>58121</v>
      </c>
      <c r="L16" s="69">
        <v>58122</v>
      </c>
      <c r="M16" s="69">
        <v>58123</v>
      </c>
    </row>
    <row r="17" spans="1:13">
      <c r="A17" s="67">
        <v>16</v>
      </c>
      <c r="B17" s="70" t="s">
        <v>1113</v>
      </c>
      <c r="C17" s="70"/>
      <c r="D17" s="70"/>
      <c r="E17" s="70"/>
      <c r="F17" s="70"/>
      <c r="G17" s="70"/>
      <c r="H17" s="69">
        <v>58204</v>
      </c>
      <c r="I17" s="69">
        <v>58205</v>
      </c>
      <c r="J17" s="69">
        <v>58206</v>
      </c>
      <c r="K17" s="69">
        <v>58848</v>
      </c>
      <c r="L17" s="69">
        <v>58208</v>
      </c>
      <c r="M17" s="69">
        <v>58209</v>
      </c>
    </row>
    <row r="18" spans="1:13">
      <c r="A18" s="67">
        <v>17</v>
      </c>
      <c r="B18" s="70" t="s">
        <v>1114</v>
      </c>
      <c r="C18" s="70"/>
      <c r="D18" s="70"/>
      <c r="E18" s="70"/>
      <c r="F18" s="70"/>
      <c r="G18" s="70"/>
      <c r="H18" s="69">
        <v>58308</v>
      </c>
      <c r="I18" s="69">
        <v>58309</v>
      </c>
      <c r="J18" s="69">
        <v>58310</v>
      </c>
      <c r="K18" s="69">
        <v>58059</v>
      </c>
      <c r="L18" s="69">
        <v>58312</v>
      </c>
      <c r="M18" s="69">
        <v>58313</v>
      </c>
    </row>
    <row r="19" spans="1:13">
      <c r="A19" s="67">
        <v>18</v>
      </c>
      <c r="B19" s="70" t="s">
        <v>1115</v>
      </c>
      <c r="C19" s="70"/>
      <c r="D19" s="70"/>
      <c r="E19" s="70"/>
      <c r="F19" s="70"/>
      <c r="G19" s="70"/>
      <c r="H19" s="69">
        <v>58348</v>
      </c>
      <c r="I19" s="69">
        <v>58349</v>
      </c>
      <c r="J19" s="69">
        <v>58350</v>
      </c>
      <c r="K19" s="69">
        <v>58351</v>
      </c>
      <c r="L19" s="69">
        <v>58352</v>
      </c>
      <c r="M19" s="69">
        <v>58353</v>
      </c>
    </row>
    <row r="20" spans="1:13">
      <c r="A20" s="67">
        <v>19</v>
      </c>
      <c r="B20" s="70" t="s">
        <v>1116</v>
      </c>
      <c r="C20" s="70"/>
      <c r="D20" s="70"/>
      <c r="E20" s="70"/>
      <c r="F20" s="70"/>
      <c r="G20" s="70"/>
      <c r="H20" s="69">
        <v>58928</v>
      </c>
      <c r="I20" s="69">
        <v>58929</v>
      </c>
      <c r="J20" s="69">
        <v>58930</v>
      </c>
      <c r="K20" s="69">
        <v>58894</v>
      </c>
      <c r="L20" s="69">
        <v>58932</v>
      </c>
      <c r="M20" s="69">
        <v>58933</v>
      </c>
    </row>
    <row r="21" spans="1:13">
      <c r="A21" s="67">
        <v>21</v>
      </c>
      <c r="B21" s="70" t="s">
        <v>1117</v>
      </c>
      <c r="C21" s="70"/>
      <c r="D21" s="70"/>
      <c r="E21" s="70"/>
      <c r="F21" s="70"/>
      <c r="G21" s="70"/>
      <c r="H21" s="69">
        <v>58583</v>
      </c>
      <c r="I21" s="69">
        <v>58584</v>
      </c>
      <c r="J21" s="69">
        <v>58585</v>
      </c>
      <c r="K21" s="69">
        <v>58586</v>
      </c>
      <c r="L21" s="69">
        <v>58587</v>
      </c>
      <c r="M21" s="69">
        <v>58588</v>
      </c>
    </row>
    <row r="22" spans="1:13">
      <c r="A22" s="67">
        <v>20</v>
      </c>
      <c r="B22" s="70" t="s">
        <v>1118</v>
      </c>
      <c r="C22" s="70"/>
      <c r="D22" s="70"/>
      <c r="E22" s="70"/>
      <c r="F22" s="70"/>
      <c r="G22" s="70"/>
      <c r="H22" s="69">
        <v>58546</v>
      </c>
      <c r="I22" s="69">
        <v>58547</v>
      </c>
      <c r="J22" s="69">
        <v>58548</v>
      </c>
      <c r="K22" s="69">
        <v>58071</v>
      </c>
      <c r="L22" s="69">
        <v>58550</v>
      </c>
      <c r="M22" s="69">
        <v>58551</v>
      </c>
    </row>
    <row r="23" spans="1:13">
      <c r="A23" s="67">
        <v>22</v>
      </c>
      <c r="B23" s="70" t="s">
        <v>1119</v>
      </c>
      <c r="C23" s="70"/>
      <c r="D23" s="70"/>
      <c r="E23" s="70"/>
      <c r="F23" s="70"/>
      <c r="G23" s="70"/>
      <c r="H23" s="69">
        <v>58322</v>
      </c>
      <c r="I23" s="69">
        <v>58323</v>
      </c>
      <c r="J23" s="69">
        <v>58324</v>
      </c>
      <c r="K23" s="69">
        <v>58076</v>
      </c>
      <c r="L23" s="69">
        <v>58326</v>
      </c>
      <c r="M23" s="69">
        <v>58327</v>
      </c>
    </row>
    <row r="24" spans="1:13">
      <c r="A24" s="67">
        <v>23</v>
      </c>
      <c r="B24" s="70" t="s">
        <v>1120</v>
      </c>
      <c r="C24" s="70"/>
      <c r="D24" s="70"/>
      <c r="E24" s="70"/>
      <c r="F24" s="70"/>
      <c r="G24" s="70"/>
      <c r="H24" s="69">
        <v>58252</v>
      </c>
      <c r="I24" s="69">
        <v>58253</v>
      </c>
      <c r="J24" s="69">
        <v>58254</v>
      </c>
      <c r="K24" s="69">
        <v>58083</v>
      </c>
      <c r="L24" s="69">
        <v>58256</v>
      </c>
      <c r="M24" s="69">
        <v>58257</v>
      </c>
    </row>
    <row r="25" spans="1:13">
      <c r="A25" s="67">
        <v>25</v>
      </c>
      <c r="B25" s="70" t="s">
        <v>696</v>
      </c>
      <c r="C25" s="70"/>
      <c r="D25" s="70"/>
      <c r="E25" s="70"/>
      <c r="F25" s="70"/>
      <c r="G25" s="70"/>
      <c r="H25" s="69"/>
      <c r="I25" s="69"/>
      <c r="J25" s="69">
        <v>58089</v>
      </c>
      <c r="K25" s="69">
        <v>58090</v>
      </c>
      <c r="L25" s="69">
        <v>58091</v>
      </c>
      <c r="M25" s="69">
        <v>58092</v>
      </c>
    </row>
    <row r="26" spans="1:13">
      <c r="A26" s="67">
        <v>24</v>
      </c>
      <c r="B26" s="70" t="s">
        <v>1121</v>
      </c>
      <c r="C26" s="70"/>
      <c r="D26" s="70"/>
      <c r="E26" s="70"/>
      <c r="F26" s="70"/>
      <c r="G26" s="70"/>
      <c r="H26" s="69"/>
      <c r="I26" s="69">
        <v>58437</v>
      </c>
      <c r="J26" s="69">
        <v>58438</v>
      </c>
      <c r="K26" s="69">
        <v>58439</v>
      </c>
      <c r="L26" s="69">
        <v>58440</v>
      </c>
      <c r="M26" s="69">
        <v>58441</v>
      </c>
    </row>
    <row r="27" spans="1:13">
      <c r="A27" s="67">
        <v>26</v>
      </c>
      <c r="B27" s="70" t="s">
        <v>1122</v>
      </c>
      <c r="C27" s="70"/>
      <c r="D27" s="70"/>
      <c r="E27" s="70"/>
      <c r="F27" s="70"/>
      <c r="G27" s="70"/>
      <c r="H27" s="69"/>
      <c r="I27" s="69">
        <v>58714</v>
      </c>
      <c r="J27" s="69">
        <v>58715</v>
      </c>
      <c r="K27" s="69">
        <v>58716</v>
      </c>
      <c r="L27" s="69">
        <v>58717</v>
      </c>
      <c r="M27" s="69">
        <v>58718</v>
      </c>
    </row>
    <row r="28" spans="1:13">
      <c r="A28" s="67">
        <v>27</v>
      </c>
      <c r="B28" s="70" t="s">
        <v>1123</v>
      </c>
      <c r="C28" s="70"/>
      <c r="D28" s="70"/>
      <c r="E28" s="70"/>
      <c r="F28" s="70"/>
      <c r="G28" s="70"/>
      <c r="H28" s="69"/>
      <c r="I28" s="69"/>
      <c r="J28" s="69">
        <v>58195</v>
      </c>
      <c r="K28" s="69">
        <v>58192</v>
      </c>
      <c r="L28" s="69">
        <v>58191</v>
      </c>
      <c r="M28" s="69">
        <v>58190</v>
      </c>
    </row>
    <row r="29" spans="1:13">
      <c r="A29" s="67">
        <v>28</v>
      </c>
      <c r="B29" s="70" t="s">
        <v>1124</v>
      </c>
      <c r="C29" s="70"/>
      <c r="D29" s="70"/>
      <c r="E29" s="70"/>
      <c r="F29" s="70"/>
      <c r="G29" s="70"/>
      <c r="H29" s="69"/>
      <c r="I29" s="69"/>
      <c r="J29" s="69">
        <v>58109</v>
      </c>
      <c r="K29" s="69">
        <v>58110</v>
      </c>
      <c r="L29" s="69">
        <v>58111</v>
      </c>
      <c r="M29" s="69">
        <v>58112</v>
      </c>
    </row>
    <row r="30" spans="1:13">
      <c r="A30" s="67">
        <v>29</v>
      </c>
      <c r="B30" s="70" t="s">
        <v>1125</v>
      </c>
      <c r="C30" s="70"/>
      <c r="D30" s="70"/>
      <c r="E30" s="70"/>
      <c r="F30" s="70"/>
      <c r="G30" s="70"/>
      <c r="H30" s="69"/>
      <c r="I30" s="69"/>
      <c r="J30" s="69">
        <v>58620</v>
      </c>
      <c r="K30" s="69">
        <v>58617</v>
      </c>
      <c r="L30" s="69">
        <v>58615</v>
      </c>
      <c r="M30" s="69">
        <v>58614</v>
      </c>
    </row>
    <row r="31" spans="1:13">
      <c r="A31" s="67">
        <v>31</v>
      </c>
      <c r="B31" s="70" t="s">
        <v>1126</v>
      </c>
      <c r="C31" s="70"/>
      <c r="D31" s="70"/>
      <c r="E31" s="70"/>
      <c r="F31" s="70"/>
      <c r="G31" s="70"/>
      <c r="H31" s="69"/>
      <c r="I31" s="69"/>
      <c r="J31" s="69">
        <v>58866</v>
      </c>
      <c r="K31" s="69">
        <v>58867</v>
      </c>
      <c r="L31" s="69">
        <v>58868</v>
      </c>
      <c r="M31" s="69">
        <v>58869</v>
      </c>
    </row>
    <row r="32" spans="1:13">
      <c r="A32" s="67">
        <v>32</v>
      </c>
      <c r="B32" s="70" t="s">
        <v>1127</v>
      </c>
      <c r="C32" s="70"/>
      <c r="D32" s="70"/>
      <c r="E32" s="70"/>
      <c r="F32" s="70"/>
      <c r="G32" s="70"/>
      <c r="H32" s="69"/>
      <c r="I32" s="69"/>
      <c r="J32" s="69">
        <v>58906</v>
      </c>
      <c r="K32" s="69">
        <v>58907</v>
      </c>
      <c r="L32" s="69">
        <v>58908</v>
      </c>
      <c r="M32" s="69">
        <v>58909</v>
      </c>
    </row>
    <row r="33" spans="1:13">
      <c r="A33" s="67">
        <v>33</v>
      </c>
      <c r="B33" s="70" t="s">
        <v>1128</v>
      </c>
      <c r="C33" s="70"/>
      <c r="D33" s="70"/>
      <c r="E33" s="70"/>
      <c r="F33" s="70"/>
      <c r="G33" s="70"/>
      <c r="H33" s="69"/>
      <c r="I33" s="69"/>
      <c r="J33" s="69">
        <v>58098</v>
      </c>
      <c r="K33" s="69">
        <v>58099</v>
      </c>
      <c r="L33" s="69">
        <v>58102</v>
      </c>
      <c r="M33" s="69">
        <v>58101</v>
      </c>
    </row>
    <row r="34" spans="1:13">
      <c r="A34" s="67">
        <v>30</v>
      </c>
      <c r="B34" s="70" t="s">
        <v>1129</v>
      </c>
      <c r="C34" s="70"/>
      <c r="D34" s="70"/>
      <c r="E34" s="70"/>
      <c r="F34" s="70"/>
      <c r="G34" s="70"/>
      <c r="H34" s="69"/>
      <c r="I34" s="69"/>
      <c r="J34" s="69">
        <v>58740</v>
      </c>
      <c r="K34" s="69">
        <v>58737</v>
      </c>
      <c r="L34" s="69">
        <v>58735</v>
      </c>
      <c r="M34" s="69">
        <v>58734</v>
      </c>
    </row>
    <row r="35" spans="1:13">
      <c r="A35" s="67">
        <v>34</v>
      </c>
      <c r="B35" s="70" t="s">
        <v>1130</v>
      </c>
      <c r="C35" s="70"/>
      <c r="D35" s="70"/>
      <c r="E35" s="70"/>
      <c r="F35" s="70"/>
      <c r="G35" s="70"/>
      <c r="H35" s="69"/>
      <c r="I35" s="69"/>
      <c r="J35" s="69">
        <v>58340</v>
      </c>
      <c r="K35" s="69">
        <v>58339</v>
      </c>
      <c r="L35" s="69">
        <v>58337</v>
      </c>
      <c r="M35" s="69">
        <v>58336</v>
      </c>
    </row>
    <row r="36" spans="1:13">
      <c r="A36" s="67">
        <v>35</v>
      </c>
      <c r="B36" s="70" t="s">
        <v>1131</v>
      </c>
      <c r="C36" s="70"/>
      <c r="D36" s="70"/>
      <c r="E36" s="70"/>
      <c r="F36" s="70"/>
      <c r="G36" s="70"/>
      <c r="H36" s="69"/>
      <c r="I36" s="69"/>
      <c r="J36" s="69"/>
      <c r="K36" s="69">
        <v>58167</v>
      </c>
      <c r="L36" s="69">
        <v>58165</v>
      </c>
      <c r="M36" s="69">
        <v>58164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L36"/>
  <sheetViews>
    <sheetView topLeftCell="A19" workbookViewId="0">
      <selection activeCell="O25" sqref="O25"/>
    </sheetView>
  </sheetViews>
  <sheetFormatPr defaultRowHeight="15"/>
  <cols>
    <col min="4" max="6" width="9.140625" style="53"/>
  </cols>
  <sheetData>
    <row r="1" spans="2:12" ht="45">
      <c r="B1" s="72" t="s">
        <v>1013</v>
      </c>
      <c r="C1" s="73" t="s">
        <v>1136</v>
      </c>
      <c r="D1" s="73">
        <v>173</v>
      </c>
      <c r="E1" s="73">
        <v>160</v>
      </c>
      <c r="F1" s="73">
        <v>147</v>
      </c>
      <c r="G1" s="73" t="s">
        <v>1020</v>
      </c>
      <c r="H1" s="73" t="s">
        <v>1133</v>
      </c>
      <c r="I1" s="73" t="s">
        <v>1134</v>
      </c>
      <c r="J1" s="73" t="s">
        <v>1021</v>
      </c>
      <c r="K1" s="73" t="s">
        <v>1135</v>
      </c>
      <c r="L1" s="73" t="s">
        <v>1022</v>
      </c>
    </row>
    <row r="2" spans="2:12">
      <c r="B2" s="74" t="s">
        <v>1102</v>
      </c>
      <c r="C2" s="71">
        <v>1.9855798747672301E-4</v>
      </c>
      <c r="D2" s="71">
        <v>0</v>
      </c>
      <c r="E2" s="71">
        <v>0</v>
      </c>
      <c r="F2" s="71">
        <v>0</v>
      </c>
      <c r="G2" s="71">
        <v>1.9855798747672301E-4</v>
      </c>
      <c r="H2" s="71">
        <v>1.4621228540713976E-4</v>
      </c>
      <c r="I2" s="71">
        <v>1.2439650144236902E-4</v>
      </c>
      <c r="J2" s="71">
        <v>1.0173813329161227E-4</v>
      </c>
      <c r="K2" s="71">
        <v>0</v>
      </c>
      <c r="L2" s="71">
        <v>0</v>
      </c>
    </row>
    <row r="3" spans="2:12">
      <c r="B3" s="74" t="s">
        <v>1103</v>
      </c>
      <c r="C3" s="71">
        <v>7.8648092671335893E-4</v>
      </c>
      <c r="D3" s="71">
        <v>0</v>
      </c>
      <c r="E3" s="71">
        <v>0</v>
      </c>
      <c r="F3" s="71">
        <v>0</v>
      </c>
      <c r="G3" s="71">
        <v>7.8648092671335893E-4</v>
      </c>
      <c r="H3" s="71">
        <v>5.6989843380760735E-4</v>
      </c>
      <c r="I3" s="71">
        <v>4.8610012901806256E-4</v>
      </c>
      <c r="J3" s="71">
        <v>3.9756206574704378E-4</v>
      </c>
      <c r="K3" s="71">
        <v>0</v>
      </c>
      <c r="L3" s="71">
        <v>0</v>
      </c>
    </row>
    <row r="4" spans="2:12">
      <c r="B4" s="74" t="s">
        <v>1104</v>
      </c>
      <c r="C4" s="71">
        <v>8.3119679909360593E-4</v>
      </c>
      <c r="D4" s="71">
        <v>0</v>
      </c>
      <c r="E4" s="71">
        <v>0</v>
      </c>
      <c r="F4" s="71">
        <v>0</v>
      </c>
      <c r="G4" s="71">
        <v>8.3119679909360593E-4</v>
      </c>
      <c r="H4" s="71">
        <v>6.000215621540186E-4</v>
      </c>
      <c r="I4" s="71">
        <v>5.0637517277403606E-4</v>
      </c>
      <c r="J4" s="71">
        <v>4.0846008537839541E-4</v>
      </c>
      <c r="K4" s="71">
        <v>0</v>
      </c>
      <c r="L4" s="71">
        <v>0</v>
      </c>
    </row>
    <row r="5" spans="2:12">
      <c r="B5" s="74" t="s">
        <v>692</v>
      </c>
      <c r="C5" s="71">
        <v>2.0103853414328498E-3</v>
      </c>
      <c r="D5" s="71">
        <v>0</v>
      </c>
      <c r="E5" s="71">
        <v>0</v>
      </c>
      <c r="F5" s="71">
        <v>0</v>
      </c>
      <c r="G5" s="71">
        <v>2.0103853414328498E-3</v>
      </c>
      <c r="H5" s="71">
        <v>1.4658523874585721E-3</v>
      </c>
      <c r="I5" s="71">
        <v>1.2389130414191245E-3</v>
      </c>
      <c r="J5" s="71">
        <v>1.0004434234168282E-3</v>
      </c>
      <c r="K5" s="71">
        <v>0</v>
      </c>
      <c r="L5" s="71">
        <v>0</v>
      </c>
    </row>
    <row r="6" spans="2:12">
      <c r="B6" s="74" t="s">
        <v>1105</v>
      </c>
      <c r="C6" s="71">
        <v>2.1776020952080301E-3</v>
      </c>
      <c r="D6" s="71">
        <v>0</v>
      </c>
      <c r="E6" s="71">
        <v>0</v>
      </c>
      <c r="F6" s="71">
        <v>0</v>
      </c>
      <c r="G6" s="71">
        <v>2.1776020952080301E-3</v>
      </c>
      <c r="H6" s="71">
        <v>1.5926773586559244E-3</v>
      </c>
      <c r="I6" s="71">
        <v>1.3253940280943618E-3</v>
      </c>
      <c r="J6" s="71">
        <v>1.0870013943591827E-3</v>
      </c>
      <c r="K6" s="71">
        <v>0</v>
      </c>
      <c r="L6" s="71">
        <v>0</v>
      </c>
    </row>
    <row r="7" spans="2:12">
      <c r="B7" s="74" t="s">
        <v>1106</v>
      </c>
      <c r="C7" s="71">
        <v>3.6666676979525202E-3</v>
      </c>
      <c r="D7" s="71">
        <v>0</v>
      </c>
      <c r="E7" s="71">
        <v>0</v>
      </c>
      <c r="F7" s="71">
        <v>0</v>
      </c>
      <c r="G7" s="71">
        <v>3.6666676979525202E-3</v>
      </c>
      <c r="H7" s="71">
        <v>2.6644268141648138E-3</v>
      </c>
      <c r="I7" s="71">
        <v>2.262082229867022E-3</v>
      </c>
      <c r="J7" s="71">
        <v>1.8401886466129533E-3</v>
      </c>
      <c r="K7" s="71">
        <v>0</v>
      </c>
      <c r="L7" s="71">
        <v>0</v>
      </c>
    </row>
    <row r="8" spans="2:12">
      <c r="B8" s="74" t="s">
        <v>693</v>
      </c>
      <c r="C8" s="71">
        <v>9.9860576925431543E-3</v>
      </c>
      <c r="D8" s="71">
        <v>0</v>
      </c>
      <c r="E8" s="71">
        <v>0</v>
      </c>
      <c r="F8" s="71">
        <v>0</v>
      </c>
      <c r="G8" s="71">
        <v>9.9860576925431543E-3</v>
      </c>
      <c r="H8" s="71">
        <v>7.325386926320448E-3</v>
      </c>
      <c r="I8" s="71">
        <v>6.288559600207186E-3</v>
      </c>
      <c r="J8" s="71">
        <v>5.1607797676418068E-3</v>
      </c>
      <c r="K8" s="71">
        <v>0</v>
      </c>
      <c r="L8" s="71">
        <v>0</v>
      </c>
    </row>
    <row r="9" spans="2:12">
      <c r="B9" s="74" t="s">
        <v>1107</v>
      </c>
      <c r="C9" s="71">
        <v>1.3562181421054496E-2</v>
      </c>
      <c r="D9" s="71">
        <v>0</v>
      </c>
      <c r="E9" s="71">
        <v>0</v>
      </c>
      <c r="F9" s="71">
        <v>0</v>
      </c>
      <c r="G9" s="71">
        <v>1.3562181421054496E-2</v>
      </c>
      <c r="H9" s="71">
        <v>1.0038596951886065E-2</v>
      </c>
      <c r="I9" s="71">
        <v>8.6609634028267275E-3</v>
      </c>
      <c r="J9" s="71">
        <v>6.9393486314010535E-3</v>
      </c>
      <c r="K9" s="71">
        <v>0</v>
      </c>
      <c r="L9" s="71">
        <v>0</v>
      </c>
    </row>
    <row r="10" spans="2:12">
      <c r="B10" s="74" t="s">
        <v>1108</v>
      </c>
      <c r="C10" s="71">
        <v>2.3308593290613109E-2</v>
      </c>
      <c r="D10" s="71">
        <v>0</v>
      </c>
      <c r="E10" s="71">
        <v>0</v>
      </c>
      <c r="F10" s="71">
        <v>0</v>
      </c>
      <c r="G10" s="71">
        <v>2.3308593290613109E-2</v>
      </c>
      <c r="H10" s="71">
        <v>1.7488261832630435E-2</v>
      </c>
      <c r="I10" s="71">
        <v>1.5190802761130062E-2</v>
      </c>
      <c r="J10" s="71">
        <v>1.2147900418264889E-2</v>
      </c>
      <c r="K10" s="71">
        <v>0</v>
      </c>
      <c r="L10" s="71">
        <v>0</v>
      </c>
    </row>
    <row r="11" spans="2:12">
      <c r="B11" s="74" t="s">
        <v>1109</v>
      </c>
      <c r="C11" s="71">
        <v>2.9025795418499339E-2</v>
      </c>
      <c r="D11" s="71">
        <v>0</v>
      </c>
      <c r="E11" s="71">
        <v>0</v>
      </c>
      <c r="F11" s="71">
        <v>0</v>
      </c>
      <c r="G11" s="71">
        <v>2.9025795418499339E-2</v>
      </c>
      <c r="H11" s="71">
        <v>2.2090435999112125E-2</v>
      </c>
      <c r="I11" s="71">
        <v>1.8988503451412574E-2</v>
      </c>
      <c r="J11" s="71">
        <v>1.5549312535379056E-2</v>
      </c>
      <c r="K11" s="71">
        <v>0</v>
      </c>
      <c r="L11" s="71">
        <v>0</v>
      </c>
    </row>
    <row r="12" spans="2:12">
      <c r="B12" s="74" t="s">
        <v>694</v>
      </c>
      <c r="C12" s="71">
        <v>3.8057866150380835E-2</v>
      </c>
      <c r="D12" s="71">
        <v>0</v>
      </c>
      <c r="E12" s="71">
        <v>0</v>
      </c>
      <c r="F12" s="71">
        <v>0</v>
      </c>
      <c r="G12" s="71">
        <v>3.8057866150380835E-2</v>
      </c>
      <c r="H12" s="71">
        <v>2.9184708174785769E-2</v>
      </c>
      <c r="I12" s="71">
        <v>2.5163689000664305E-2</v>
      </c>
      <c r="J12" s="71">
        <v>2.0664116880330114E-2</v>
      </c>
      <c r="K12" s="71">
        <v>0</v>
      </c>
      <c r="L12" s="71">
        <v>0</v>
      </c>
    </row>
    <row r="13" spans="2:12">
      <c r="B13" s="74" t="s">
        <v>1110</v>
      </c>
      <c r="C13" s="71">
        <v>7.6001737530448032E-2</v>
      </c>
      <c r="D13" s="71">
        <v>0</v>
      </c>
      <c r="E13" s="71">
        <v>0</v>
      </c>
      <c r="F13" s="71">
        <v>0</v>
      </c>
      <c r="G13" s="71">
        <v>7.6001737530448032E-2</v>
      </c>
      <c r="H13" s="71">
        <v>5.9944563591884895E-2</v>
      </c>
      <c r="I13" s="71">
        <v>5.3016448501741309E-2</v>
      </c>
      <c r="J13" s="71">
        <v>4.4873527336967603E-2</v>
      </c>
      <c r="K13" s="71">
        <v>0</v>
      </c>
      <c r="L13" s="71">
        <v>0</v>
      </c>
    </row>
    <row r="14" spans="2:12">
      <c r="B14" s="74" t="s">
        <v>695</v>
      </c>
      <c r="C14" s="71">
        <v>0.14554618836945482</v>
      </c>
      <c r="D14" s="71">
        <v>0</v>
      </c>
      <c r="E14" s="71">
        <v>0</v>
      </c>
      <c r="F14" s="71">
        <v>0</v>
      </c>
      <c r="G14" s="71">
        <v>0.14554618836945482</v>
      </c>
      <c r="H14" s="71">
        <v>0.11843997630958909</v>
      </c>
      <c r="I14" s="71">
        <v>0.10688305976758</v>
      </c>
      <c r="J14" s="71">
        <v>8.9451905792085853E-2</v>
      </c>
      <c r="K14" s="71">
        <v>0</v>
      </c>
      <c r="L14" s="71">
        <v>0</v>
      </c>
    </row>
    <row r="15" spans="2:12">
      <c r="B15" s="74" t="s">
        <v>1111</v>
      </c>
      <c r="C15" s="71">
        <v>0.48846353071454085</v>
      </c>
      <c r="D15" s="71">
        <v>0</v>
      </c>
      <c r="E15" s="71">
        <v>0</v>
      </c>
      <c r="F15" s="71">
        <v>0</v>
      </c>
      <c r="G15" s="71">
        <v>0.48846353071454085</v>
      </c>
      <c r="H15" s="71">
        <v>0.41188736284433086</v>
      </c>
      <c r="I15" s="71">
        <v>0.36518188657550682</v>
      </c>
      <c r="J15" s="71">
        <v>0.31521815139228992</v>
      </c>
      <c r="K15" s="71">
        <v>0</v>
      </c>
      <c r="L15" s="71">
        <v>0</v>
      </c>
    </row>
    <row r="16" spans="2:12">
      <c r="B16" s="74" t="s">
        <v>1112</v>
      </c>
      <c r="C16" s="71">
        <v>0.5216734301967404</v>
      </c>
      <c r="D16" s="71">
        <v>0</v>
      </c>
      <c r="E16" s="71">
        <v>0</v>
      </c>
      <c r="F16" s="71">
        <v>0</v>
      </c>
      <c r="G16" s="71">
        <v>0.5216734301967404</v>
      </c>
      <c r="H16" s="71">
        <v>0.47064195573832962</v>
      </c>
      <c r="I16" s="71">
        <v>0.42411149052954172</v>
      </c>
      <c r="J16" s="71">
        <v>0.37513391652466332</v>
      </c>
      <c r="K16" s="71">
        <v>0</v>
      </c>
      <c r="L16" s="71">
        <v>0</v>
      </c>
    </row>
    <row r="17" spans="2:12">
      <c r="B17" s="74" t="s">
        <v>1113</v>
      </c>
      <c r="C17" s="71">
        <v>0.99046141160591106</v>
      </c>
      <c r="D17" s="71">
        <v>0</v>
      </c>
      <c r="E17" s="71">
        <v>0</v>
      </c>
      <c r="F17" s="71">
        <v>0</v>
      </c>
      <c r="G17" s="71">
        <v>0.87674604892230457</v>
      </c>
      <c r="H17" s="71">
        <v>0.99046141160591106</v>
      </c>
      <c r="I17" s="71">
        <v>0.9281500106586541</v>
      </c>
      <c r="J17" s="71">
        <v>0.81562036844671992</v>
      </c>
      <c r="K17" s="71">
        <v>0.60423535149829943</v>
      </c>
      <c r="L17" s="71">
        <v>0</v>
      </c>
    </row>
    <row r="18" spans="2:12">
      <c r="B18" s="74" t="s">
        <v>1114</v>
      </c>
      <c r="C18" s="71">
        <v>1.868963377019327</v>
      </c>
      <c r="D18" s="71">
        <v>0</v>
      </c>
      <c r="E18" s="71">
        <v>0</v>
      </c>
      <c r="F18" s="71">
        <v>0</v>
      </c>
      <c r="G18" s="71">
        <v>1.4399186846958409</v>
      </c>
      <c r="H18" s="71">
        <v>1.868963377019327</v>
      </c>
      <c r="I18" s="71">
        <v>1.7616234947507943</v>
      </c>
      <c r="J18" s="71">
        <v>1.6080061703665538</v>
      </c>
      <c r="K18" s="71">
        <v>1.2477132818107286</v>
      </c>
      <c r="L18" s="71">
        <v>0.88917787111962077</v>
      </c>
    </row>
    <row r="19" spans="2:12">
      <c r="B19" s="74" t="s">
        <v>1115</v>
      </c>
      <c r="C19" s="71">
        <v>2.4101991294831873</v>
      </c>
      <c r="D19" s="71">
        <v>0</v>
      </c>
      <c r="E19" s="71">
        <v>0</v>
      </c>
      <c r="F19" s="71">
        <v>0</v>
      </c>
      <c r="G19" s="71">
        <v>1.8066469459558241</v>
      </c>
      <c r="H19" s="71">
        <v>2.4101991294831873</v>
      </c>
      <c r="I19" s="71">
        <v>2.2727995850014762</v>
      </c>
      <c r="J19" s="71">
        <v>2.1169897339240671</v>
      </c>
      <c r="K19" s="71">
        <v>1.630272832974089</v>
      </c>
      <c r="L19" s="71">
        <v>1.1498409906885965</v>
      </c>
    </row>
    <row r="20" spans="2:12">
      <c r="B20" s="74" t="s">
        <v>1116</v>
      </c>
      <c r="C20" s="71">
        <v>4.0227315180640657</v>
      </c>
      <c r="D20" s="71">
        <v>0</v>
      </c>
      <c r="E20" s="71">
        <v>0</v>
      </c>
      <c r="F20" s="71">
        <v>0</v>
      </c>
      <c r="G20" s="71">
        <v>3.1504779402138667</v>
      </c>
      <c r="H20" s="71">
        <v>4.0227315180640657</v>
      </c>
      <c r="I20" s="71">
        <v>3.7916343957691661</v>
      </c>
      <c r="J20" s="71">
        <v>3.4613785828408381</v>
      </c>
      <c r="K20" s="71">
        <v>2.6496777964510749</v>
      </c>
      <c r="L20" s="71">
        <v>1.8426206380805434</v>
      </c>
    </row>
    <row r="21" spans="2:12">
      <c r="B21" s="74" t="s">
        <v>1117</v>
      </c>
      <c r="C21" s="71">
        <v>7.9657569981173451</v>
      </c>
      <c r="D21" s="71">
        <v>0</v>
      </c>
      <c r="E21" s="71">
        <v>0</v>
      </c>
      <c r="F21" s="71">
        <v>0</v>
      </c>
      <c r="G21" s="71">
        <v>3.1492163819764483</v>
      </c>
      <c r="H21" s="71">
        <v>4.8756679216943981</v>
      </c>
      <c r="I21" s="71">
        <v>5.7576624820470004</v>
      </c>
      <c r="J21" s="71">
        <v>7.9657569981173451</v>
      </c>
      <c r="K21" s="71">
        <v>7.1733215068633438</v>
      </c>
      <c r="L21" s="71">
        <v>5.4879531052236086</v>
      </c>
    </row>
    <row r="22" spans="2:12">
      <c r="B22" s="74" t="s">
        <v>1118</v>
      </c>
      <c r="C22" s="71">
        <v>8.0937196421170619</v>
      </c>
      <c r="D22" s="71">
        <v>0</v>
      </c>
      <c r="E22" s="71">
        <v>0</v>
      </c>
      <c r="F22" s="71">
        <v>0</v>
      </c>
      <c r="G22" s="71">
        <v>4.1877608330888165</v>
      </c>
      <c r="H22" s="71">
        <v>6.4387771515139862</v>
      </c>
      <c r="I22" s="71">
        <v>7.7013112555000491</v>
      </c>
      <c r="J22" s="71">
        <v>8.0937196421170619</v>
      </c>
      <c r="K22" s="71">
        <v>6.8817810271426234</v>
      </c>
      <c r="L22" s="71">
        <v>5.3751885152760019</v>
      </c>
    </row>
    <row r="23" spans="2:12">
      <c r="B23" s="74" t="s">
        <v>1119</v>
      </c>
      <c r="C23" s="71">
        <v>10.522183443994866</v>
      </c>
      <c r="D23" s="71">
        <v>0</v>
      </c>
      <c r="E23" s="71">
        <v>0</v>
      </c>
      <c r="F23" s="71">
        <v>0</v>
      </c>
      <c r="G23" s="71">
        <v>4.695348964093653</v>
      </c>
      <c r="H23" s="71">
        <v>7.2334444658787111</v>
      </c>
      <c r="I23" s="71">
        <v>8.6328259983939244</v>
      </c>
      <c r="J23" s="71">
        <v>10.522183443994866</v>
      </c>
      <c r="K23" s="71">
        <v>9.1620711839897027</v>
      </c>
      <c r="L23" s="71">
        <v>6.9512856882385483</v>
      </c>
    </row>
    <row r="24" spans="2:12">
      <c r="B24" s="74" t="s">
        <v>1120</v>
      </c>
      <c r="C24" s="71">
        <v>19.813000758045085</v>
      </c>
      <c r="D24" s="71">
        <v>0</v>
      </c>
      <c r="E24" s="71">
        <v>0</v>
      </c>
      <c r="F24" s="71">
        <v>0</v>
      </c>
      <c r="G24" s="71">
        <v>8.0952230334740261</v>
      </c>
      <c r="H24" s="71">
        <v>12.510905950473845</v>
      </c>
      <c r="I24" s="71">
        <v>14.955944495740018</v>
      </c>
      <c r="J24" s="71">
        <v>19.813000758045085</v>
      </c>
      <c r="K24" s="71">
        <v>17.860957107848719</v>
      </c>
      <c r="L24" s="71">
        <v>13.740267055481723</v>
      </c>
    </row>
    <row r="25" spans="2:12">
      <c r="B25" s="74" t="s">
        <v>696</v>
      </c>
      <c r="C25" s="71">
        <v>34.812356584819014</v>
      </c>
      <c r="D25" s="71">
        <v>0</v>
      </c>
      <c r="E25" s="71">
        <v>0</v>
      </c>
      <c r="F25" s="71">
        <v>0</v>
      </c>
      <c r="G25" s="71">
        <v>11.981433227830697</v>
      </c>
      <c r="H25" s="71">
        <v>18.487687485996695</v>
      </c>
      <c r="I25" s="71">
        <v>22.133264867891793</v>
      </c>
      <c r="J25" s="71">
        <v>31.099735521523165</v>
      </c>
      <c r="K25" s="71">
        <v>34.812356584819014</v>
      </c>
      <c r="L25" s="71">
        <v>28.1583278291344</v>
      </c>
    </row>
    <row r="26" spans="2:12">
      <c r="B26" s="74" t="s">
        <v>1121</v>
      </c>
      <c r="C26" s="71">
        <v>35.464864158516562</v>
      </c>
      <c r="D26" s="71">
        <v>0</v>
      </c>
      <c r="E26" s="71">
        <v>0</v>
      </c>
      <c r="F26" s="71">
        <v>0</v>
      </c>
      <c r="G26" s="71">
        <v>16.130366035480382</v>
      </c>
      <c r="H26" s="71">
        <v>24.881303246709933</v>
      </c>
      <c r="I26" s="71">
        <v>29.812441311296979</v>
      </c>
      <c r="J26" s="71">
        <v>35.464864158516562</v>
      </c>
      <c r="K26" s="71">
        <v>30.949564792239336</v>
      </c>
      <c r="L26" s="71">
        <v>23.642585196016086</v>
      </c>
    </row>
    <row r="27" spans="2:12">
      <c r="B27" s="74" t="s">
        <v>1122</v>
      </c>
      <c r="C27" s="71">
        <v>41.774013197563072</v>
      </c>
      <c r="D27" s="71">
        <v>0</v>
      </c>
      <c r="E27" s="71">
        <v>0</v>
      </c>
      <c r="F27" s="71">
        <v>0</v>
      </c>
      <c r="G27" s="71">
        <v>12.258285591976463</v>
      </c>
      <c r="H27" s="71">
        <v>18.862380327416673</v>
      </c>
      <c r="I27" s="71">
        <v>22.552800267678112</v>
      </c>
      <c r="J27" s="71">
        <v>31.628491749060093</v>
      </c>
      <c r="K27" s="71">
        <v>41.774013197563072</v>
      </c>
      <c r="L27" s="71">
        <v>35.227015614223859</v>
      </c>
    </row>
    <row r="28" spans="2:12">
      <c r="B28" s="74" t="s">
        <v>1123</v>
      </c>
      <c r="C28" s="71">
        <v>51.083862661524044</v>
      </c>
      <c r="D28" s="71">
        <v>0</v>
      </c>
      <c r="E28" s="71">
        <v>0</v>
      </c>
      <c r="F28" s="71">
        <v>0</v>
      </c>
      <c r="G28" s="71">
        <v>22.316766157483571</v>
      </c>
      <c r="H28" s="71">
        <v>34.538507261760167</v>
      </c>
      <c r="I28" s="71">
        <v>41.100844650507803</v>
      </c>
      <c r="J28" s="71">
        <v>51.083862661524044</v>
      </c>
      <c r="K28" s="71">
        <v>45.108629983194319</v>
      </c>
      <c r="L28" s="71">
        <v>34.507670239464517</v>
      </c>
    </row>
    <row r="29" spans="2:12">
      <c r="B29" s="74" t="s">
        <v>1124</v>
      </c>
      <c r="C29" s="71">
        <v>64.775816926406293</v>
      </c>
      <c r="D29" s="71">
        <v>0</v>
      </c>
      <c r="E29" s="71">
        <v>0</v>
      </c>
      <c r="F29" s="71">
        <v>0</v>
      </c>
      <c r="G29" s="71">
        <v>15.875448859670193</v>
      </c>
      <c r="H29" s="71">
        <v>24.457005980915067</v>
      </c>
      <c r="I29" s="71">
        <v>29.396945187822887</v>
      </c>
      <c r="J29" s="71">
        <v>41.004559743280623</v>
      </c>
      <c r="K29" s="71">
        <v>64.775816926406293</v>
      </c>
      <c r="L29" s="71">
        <v>58.429020579687226</v>
      </c>
    </row>
    <row r="30" spans="2:12">
      <c r="B30" s="74" t="s">
        <v>1125</v>
      </c>
      <c r="C30" s="71">
        <v>124.93988683877377</v>
      </c>
      <c r="D30" s="71">
        <v>0</v>
      </c>
      <c r="E30" s="71">
        <v>0</v>
      </c>
      <c r="F30" s="71">
        <v>0</v>
      </c>
      <c r="G30" s="71">
        <v>0</v>
      </c>
      <c r="H30" s="71">
        <v>62.886368522103936</v>
      </c>
      <c r="I30" s="71">
        <v>75.158067414877905</v>
      </c>
      <c r="J30" s="71">
        <v>104.78173935685857</v>
      </c>
      <c r="K30" s="71">
        <v>124.93988683877377</v>
      </c>
      <c r="L30" s="71">
        <v>102.58758301034142</v>
      </c>
    </row>
    <row r="31" spans="2:12">
      <c r="B31" s="74" t="s">
        <v>1126</v>
      </c>
      <c r="C31" s="71">
        <v>151.3024058933656</v>
      </c>
      <c r="D31" s="71">
        <v>0</v>
      </c>
      <c r="E31" s="71">
        <v>0</v>
      </c>
      <c r="F31" s="71">
        <v>0</v>
      </c>
      <c r="G31" s="71">
        <v>28.125709348757123</v>
      </c>
      <c r="H31" s="71">
        <v>0</v>
      </c>
      <c r="I31" s="71">
        <v>0</v>
      </c>
      <c r="J31" s="71">
        <v>72.359161860713854</v>
      </c>
      <c r="K31" s="71">
        <v>119.09868462303447</v>
      </c>
      <c r="L31" s="71">
        <v>151.3024058933656</v>
      </c>
    </row>
    <row r="32" spans="2:12">
      <c r="B32" s="74" t="s">
        <v>1127</v>
      </c>
      <c r="C32" s="71">
        <v>187.0394394377094</v>
      </c>
      <c r="D32" s="71">
        <v>0</v>
      </c>
      <c r="E32" s="71">
        <v>0</v>
      </c>
      <c r="F32" s="71">
        <v>0</v>
      </c>
      <c r="G32" s="71">
        <v>35.433114991784365</v>
      </c>
      <c r="H32" s="71">
        <v>0</v>
      </c>
      <c r="I32" s="71">
        <v>0</v>
      </c>
      <c r="J32" s="71">
        <v>90.902898676156369</v>
      </c>
      <c r="K32" s="71">
        <v>151.61546357708173</v>
      </c>
      <c r="L32" s="71">
        <v>187.0394394377094</v>
      </c>
    </row>
    <row r="33" spans="2:12">
      <c r="B33" s="74" t="s">
        <v>1129</v>
      </c>
      <c r="C33" s="71">
        <v>344.68546125962405</v>
      </c>
      <c r="D33" s="71">
        <v>0</v>
      </c>
      <c r="E33" s="71">
        <v>0</v>
      </c>
      <c r="F33" s="71">
        <v>0</v>
      </c>
      <c r="G33" s="71">
        <v>0</v>
      </c>
      <c r="H33" s="71">
        <v>110.62932553194064</v>
      </c>
      <c r="I33" s="71">
        <v>132.03166515510176</v>
      </c>
      <c r="J33" s="71">
        <v>184.65651225479701</v>
      </c>
      <c r="K33" s="71">
        <v>306.1845027814615</v>
      </c>
      <c r="L33" s="71">
        <v>344.68546125962405</v>
      </c>
    </row>
    <row r="34" spans="2:12">
      <c r="B34" s="74" t="s">
        <v>1128</v>
      </c>
      <c r="C34" s="71">
        <v>416.7383511948421</v>
      </c>
      <c r="D34" s="71">
        <v>0</v>
      </c>
      <c r="E34" s="71">
        <v>0</v>
      </c>
      <c r="F34" s="71">
        <v>0</v>
      </c>
      <c r="G34" s="71">
        <v>68.175741806007153</v>
      </c>
      <c r="H34" s="71">
        <v>0</v>
      </c>
      <c r="I34" s="71">
        <v>0</v>
      </c>
      <c r="J34" s="71">
        <v>175.24044244001399</v>
      </c>
      <c r="K34" s="71">
        <v>290.57143493353919</v>
      </c>
      <c r="L34" s="71">
        <v>416.7383511948421</v>
      </c>
    </row>
    <row r="35" spans="2:12">
      <c r="B35" s="74" t="s">
        <v>1130</v>
      </c>
      <c r="C35" s="71">
        <v>1196.5620563498621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443.45128977813357</v>
      </c>
      <c r="K35" s="71">
        <v>732.97298902154034</v>
      </c>
      <c r="L35" s="71">
        <v>1196.5620563498621</v>
      </c>
    </row>
    <row r="36" spans="2:12">
      <c r="B36" s="74" t="s">
        <v>1131</v>
      </c>
      <c r="C36" s="71">
        <v>2219.3476038301728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1354.516592075167</v>
      </c>
      <c r="L36" s="71">
        <v>2219.3476038301728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L36"/>
  <sheetViews>
    <sheetView workbookViewId="0">
      <selection activeCell="N9" sqref="N9"/>
    </sheetView>
  </sheetViews>
  <sheetFormatPr defaultRowHeight="15"/>
  <cols>
    <col min="3" max="6" width="9.140625" style="53"/>
  </cols>
  <sheetData>
    <row r="1" spans="2:12" ht="30">
      <c r="B1" s="73" t="s">
        <v>1013</v>
      </c>
      <c r="C1" s="73">
        <v>200</v>
      </c>
      <c r="D1" s="73">
        <v>173</v>
      </c>
      <c r="E1" s="73">
        <v>160</v>
      </c>
      <c r="F1" s="73">
        <v>147</v>
      </c>
      <c r="G1" s="73" t="s">
        <v>1020</v>
      </c>
      <c r="H1" s="73" t="s">
        <v>1133</v>
      </c>
      <c r="I1" s="73" t="s">
        <v>1134</v>
      </c>
      <c r="J1" s="73" t="s">
        <v>1021</v>
      </c>
      <c r="K1" s="73" t="s">
        <v>1135</v>
      </c>
      <c r="L1" s="73" t="s">
        <v>1022</v>
      </c>
    </row>
    <row r="2" spans="2:12">
      <c r="B2" s="74" t="s">
        <v>1102</v>
      </c>
      <c r="C2" s="68"/>
      <c r="D2" s="68"/>
      <c r="E2" s="68"/>
      <c r="F2" s="68"/>
      <c r="G2" s="69">
        <v>77140</v>
      </c>
      <c r="H2" s="69">
        <v>77444</v>
      </c>
      <c r="I2" s="69">
        <v>77445</v>
      </c>
      <c r="J2" s="69">
        <v>77141</v>
      </c>
      <c r="K2" s="69"/>
      <c r="L2" s="69"/>
    </row>
    <row r="3" spans="2:12">
      <c r="B3" s="74" t="s">
        <v>1103</v>
      </c>
      <c r="C3" s="68"/>
      <c r="D3" s="68"/>
      <c r="E3" s="68"/>
      <c r="F3" s="68"/>
      <c r="G3" s="69">
        <v>77150</v>
      </c>
      <c r="H3" s="69">
        <v>77154</v>
      </c>
      <c r="I3" s="69">
        <v>77155</v>
      </c>
      <c r="J3" s="69">
        <v>77151</v>
      </c>
      <c r="K3" s="69"/>
      <c r="L3" s="69"/>
    </row>
    <row r="4" spans="2:12">
      <c r="B4" s="74" t="s">
        <v>1104</v>
      </c>
      <c r="C4" s="68"/>
      <c r="D4" s="68"/>
      <c r="E4" s="68"/>
      <c r="F4" s="68"/>
      <c r="G4" s="69">
        <v>77180</v>
      </c>
      <c r="H4" s="69">
        <v>77184</v>
      </c>
      <c r="I4" s="69">
        <v>77185</v>
      </c>
      <c r="J4" s="69">
        <v>77181</v>
      </c>
      <c r="K4" s="69"/>
      <c r="L4" s="69"/>
    </row>
    <row r="5" spans="2:12">
      <c r="B5" s="74" t="s">
        <v>692</v>
      </c>
      <c r="C5" s="68"/>
      <c r="D5" s="68"/>
      <c r="E5" s="68"/>
      <c r="F5" s="68"/>
      <c r="G5" s="69">
        <v>77020</v>
      </c>
      <c r="H5" s="69">
        <v>77824</v>
      </c>
      <c r="I5" s="69">
        <v>77825</v>
      </c>
      <c r="J5" s="69">
        <v>77021</v>
      </c>
      <c r="K5" s="69"/>
      <c r="L5" s="69"/>
    </row>
    <row r="6" spans="2:12">
      <c r="B6" s="74" t="s">
        <v>1105</v>
      </c>
      <c r="C6" s="68"/>
      <c r="D6" s="68"/>
      <c r="E6" s="68"/>
      <c r="F6" s="68"/>
      <c r="G6" s="69">
        <v>77240</v>
      </c>
      <c r="H6" s="69">
        <v>77244</v>
      </c>
      <c r="I6" s="69">
        <v>77245</v>
      </c>
      <c r="J6" s="69">
        <v>77241</v>
      </c>
      <c r="K6" s="69"/>
      <c r="L6" s="69"/>
    </row>
    <row r="7" spans="2:12">
      <c r="B7" s="74" t="s">
        <v>1106</v>
      </c>
      <c r="C7" s="68"/>
      <c r="D7" s="68"/>
      <c r="E7" s="68"/>
      <c r="F7" s="68"/>
      <c r="G7" s="69">
        <v>77270</v>
      </c>
      <c r="H7" s="69">
        <v>77874</v>
      </c>
      <c r="I7" s="69">
        <v>77875</v>
      </c>
      <c r="J7" s="69">
        <v>77271</v>
      </c>
      <c r="K7" s="69"/>
      <c r="L7" s="69"/>
    </row>
    <row r="8" spans="2:12">
      <c r="B8" s="74" t="s">
        <v>693</v>
      </c>
      <c r="C8" s="68"/>
      <c r="D8" s="68"/>
      <c r="E8" s="68"/>
      <c r="F8" s="68"/>
      <c r="G8" s="69">
        <v>77030</v>
      </c>
      <c r="H8" s="69">
        <v>77834</v>
      </c>
      <c r="I8" s="69">
        <v>77835</v>
      </c>
      <c r="J8" s="69">
        <v>77031</v>
      </c>
      <c r="K8" s="69"/>
      <c r="L8" s="69"/>
    </row>
    <row r="9" spans="2:12">
      <c r="B9" s="74" t="s">
        <v>1107</v>
      </c>
      <c r="C9" s="68"/>
      <c r="D9" s="68"/>
      <c r="E9" s="68"/>
      <c r="F9" s="68"/>
      <c r="G9" s="69">
        <v>77410</v>
      </c>
      <c r="H9" s="69">
        <v>77414</v>
      </c>
      <c r="I9" s="69">
        <v>77415</v>
      </c>
      <c r="J9" s="69">
        <v>77411</v>
      </c>
      <c r="K9" s="69"/>
      <c r="L9" s="69"/>
    </row>
    <row r="10" spans="2:12">
      <c r="B10" s="74" t="s">
        <v>1108</v>
      </c>
      <c r="C10" s="68"/>
      <c r="D10" s="68"/>
      <c r="E10" s="68"/>
      <c r="F10" s="68"/>
      <c r="G10" s="69">
        <v>77280</v>
      </c>
      <c r="H10" s="69">
        <v>77884</v>
      </c>
      <c r="I10" s="69">
        <v>77885</v>
      </c>
      <c r="J10" s="69">
        <v>77281</v>
      </c>
      <c r="K10" s="69"/>
      <c r="L10" s="69"/>
    </row>
    <row r="11" spans="2:12">
      <c r="B11" s="74" t="s">
        <v>1109</v>
      </c>
      <c r="C11" s="68"/>
      <c r="D11" s="68"/>
      <c r="E11" s="68"/>
      <c r="F11" s="68"/>
      <c r="G11" s="69">
        <v>77290</v>
      </c>
      <c r="H11" s="69">
        <v>77294</v>
      </c>
      <c r="I11" s="69">
        <v>77295</v>
      </c>
      <c r="J11" s="69">
        <v>77291</v>
      </c>
      <c r="K11" s="69"/>
      <c r="L11" s="69"/>
    </row>
    <row r="12" spans="2:12">
      <c r="B12" s="74" t="s">
        <v>694</v>
      </c>
      <c r="C12" s="68"/>
      <c r="D12" s="68"/>
      <c r="E12" s="68"/>
      <c r="F12" s="68"/>
      <c r="G12" s="69">
        <v>77040</v>
      </c>
      <c r="H12" s="69">
        <v>77844</v>
      </c>
      <c r="I12" s="69">
        <v>77845</v>
      </c>
      <c r="J12" s="69">
        <v>77041</v>
      </c>
      <c r="K12" s="69"/>
      <c r="L12" s="69"/>
    </row>
    <row r="13" spans="2:12">
      <c r="B13" s="74" t="s">
        <v>1110</v>
      </c>
      <c r="C13" s="68"/>
      <c r="D13" s="68"/>
      <c r="E13" s="68"/>
      <c r="F13" s="68"/>
      <c r="G13" s="69">
        <v>77130</v>
      </c>
      <c r="H13" s="69">
        <v>77334</v>
      </c>
      <c r="I13" s="69">
        <v>77335</v>
      </c>
      <c r="J13" s="69">
        <v>77131</v>
      </c>
      <c r="K13" s="69"/>
      <c r="L13" s="69"/>
    </row>
    <row r="14" spans="2:12">
      <c r="B14" s="74" t="s">
        <v>695</v>
      </c>
      <c r="C14" s="68"/>
      <c r="D14" s="68"/>
      <c r="E14" s="68"/>
      <c r="F14" s="68"/>
      <c r="G14" s="69">
        <v>77050</v>
      </c>
      <c r="H14" s="69">
        <v>77054</v>
      </c>
      <c r="I14" s="69">
        <v>77055</v>
      </c>
      <c r="J14" s="69">
        <v>77051</v>
      </c>
      <c r="K14" s="69"/>
      <c r="L14" s="69"/>
    </row>
    <row r="15" spans="2:12">
      <c r="B15" s="74" t="s">
        <v>1111</v>
      </c>
      <c r="C15" s="68"/>
      <c r="D15" s="68"/>
      <c r="E15" s="68"/>
      <c r="F15" s="68"/>
      <c r="G15" s="69">
        <v>77380</v>
      </c>
      <c r="H15" s="69">
        <v>77384</v>
      </c>
      <c r="I15" s="69">
        <v>77385</v>
      </c>
      <c r="J15" s="69">
        <v>77381</v>
      </c>
      <c r="K15" s="69"/>
      <c r="L15" s="69"/>
    </row>
    <row r="16" spans="2:12">
      <c r="B16" s="74" t="s">
        <v>1112</v>
      </c>
      <c r="C16" s="68"/>
      <c r="D16" s="68"/>
      <c r="E16" s="68"/>
      <c r="F16" s="68"/>
      <c r="G16" s="69">
        <v>77120</v>
      </c>
      <c r="H16" s="69">
        <v>77224</v>
      </c>
      <c r="I16" s="69">
        <v>77225</v>
      </c>
      <c r="J16" s="69">
        <v>77121</v>
      </c>
      <c r="K16" s="69"/>
      <c r="L16" s="69"/>
    </row>
    <row r="17" spans="2:12">
      <c r="B17" s="74" t="s">
        <v>1113</v>
      </c>
      <c r="C17" s="68"/>
      <c r="D17" s="68"/>
      <c r="E17" s="68"/>
      <c r="F17" s="68"/>
      <c r="G17" s="69">
        <v>77206</v>
      </c>
      <c r="H17" s="69">
        <v>77210</v>
      </c>
      <c r="I17" s="69">
        <v>77211</v>
      </c>
      <c r="J17" s="69">
        <v>77848</v>
      </c>
      <c r="K17" s="69">
        <v>77847</v>
      </c>
      <c r="L17" s="69"/>
    </row>
    <row r="18" spans="2:12">
      <c r="B18" s="74" t="s">
        <v>1114</v>
      </c>
      <c r="C18" s="68"/>
      <c r="D18" s="68"/>
      <c r="E18" s="68"/>
      <c r="F18" s="68"/>
      <c r="G18" s="69">
        <v>77310</v>
      </c>
      <c r="H18" s="69">
        <v>77314</v>
      </c>
      <c r="I18" s="69">
        <v>77315</v>
      </c>
      <c r="J18" s="69">
        <v>77059</v>
      </c>
      <c r="K18" s="69">
        <v>77316</v>
      </c>
      <c r="L18" s="69">
        <v>77312</v>
      </c>
    </row>
    <row r="19" spans="2:12">
      <c r="B19" s="74" t="s">
        <v>1115</v>
      </c>
      <c r="C19" s="68"/>
      <c r="D19" s="68"/>
      <c r="E19" s="68"/>
      <c r="F19" s="68"/>
      <c r="G19" s="69">
        <v>77350</v>
      </c>
      <c r="H19" s="69">
        <v>77354</v>
      </c>
      <c r="I19" s="69">
        <v>77355</v>
      </c>
      <c r="J19" s="69">
        <v>77351</v>
      </c>
      <c r="K19" s="69">
        <v>77356</v>
      </c>
      <c r="L19" s="69">
        <v>77352</v>
      </c>
    </row>
    <row r="20" spans="2:12">
      <c r="B20" s="74" t="s">
        <v>1116</v>
      </c>
      <c r="C20" s="68"/>
      <c r="D20" s="68"/>
      <c r="E20" s="68"/>
      <c r="F20" s="68"/>
      <c r="G20" s="69">
        <v>77930</v>
      </c>
      <c r="H20" s="69">
        <v>77934</v>
      </c>
      <c r="I20" s="69">
        <v>77935</v>
      </c>
      <c r="J20" s="69">
        <v>77894</v>
      </c>
      <c r="K20" s="69">
        <v>77936</v>
      </c>
      <c r="L20" s="69">
        <v>77932</v>
      </c>
    </row>
    <row r="21" spans="2:12">
      <c r="B21" s="74" t="s">
        <v>1117</v>
      </c>
      <c r="C21" s="68"/>
      <c r="D21" s="68"/>
      <c r="E21" s="68"/>
      <c r="F21" s="68"/>
      <c r="G21" s="69">
        <v>77585</v>
      </c>
      <c r="H21" s="69">
        <v>77589</v>
      </c>
      <c r="I21" s="69">
        <v>77590</v>
      </c>
      <c r="J21" s="69">
        <v>77586</v>
      </c>
      <c r="K21" s="69">
        <v>77591</v>
      </c>
      <c r="L21" s="69">
        <v>77587</v>
      </c>
    </row>
    <row r="22" spans="2:12">
      <c r="B22" s="74" t="s">
        <v>1118</v>
      </c>
      <c r="C22" s="68"/>
      <c r="D22" s="68"/>
      <c r="E22" s="68"/>
      <c r="F22" s="68"/>
      <c r="G22" s="69">
        <v>77548</v>
      </c>
      <c r="H22" s="69">
        <v>77552</v>
      </c>
      <c r="I22" s="69">
        <v>77553</v>
      </c>
      <c r="J22" s="69">
        <v>77071</v>
      </c>
      <c r="K22" s="69">
        <v>77555</v>
      </c>
      <c r="L22" s="69">
        <v>77550</v>
      </c>
    </row>
    <row r="23" spans="2:12">
      <c r="B23" s="74" t="s">
        <v>1119</v>
      </c>
      <c r="C23" s="68"/>
      <c r="D23" s="68"/>
      <c r="E23" s="68"/>
      <c r="F23" s="68"/>
      <c r="G23" s="69">
        <v>77324</v>
      </c>
      <c r="H23" s="69">
        <v>77328</v>
      </c>
      <c r="I23" s="69">
        <v>77329</v>
      </c>
      <c r="J23" s="69">
        <v>77076</v>
      </c>
      <c r="K23" s="69">
        <v>77330</v>
      </c>
      <c r="L23" s="69">
        <v>77326</v>
      </c>
    </row>
    <row r="24" spans="2:12">
      <c r="B24" s="74" t="s">
        <v>1120</v>
      </c>
      <c r="C24" s="68"/>
      <c r="D24" s="68"/>
      <c r="E24" s="68"/>
      <c r="F24" s="68"/>
      <c r="G24" s="69">
        <v>77254</v>
      </c>
      <c r="H24" s="69">
        <v>77258</v>
      </c>
      <c r="I24" s="69">
        <v>77259</v>
      </c>
      <c r="J24" s="69">
        <v>77083</v>
      </c>
      <c r="K24" s="69">
        <v>77260</v>
      </c>
      <c r="L24" s="69">
        <v>77256</v>
      </c>
    </row>
    <row r="25" spans="2:12">
      <c r="B25" s="74" t="s">
        <v>696</v>
      </c>
      <c r="C25" s="68"/>
      <c r="D25" s="68"/>
      <c r="E25" s="68"/>
      <c r="F25" s="68"/>
      <c r="G25" s="69">
        <v>77089</v>
      </c>
      <c r="H25" s="69">
        <v>77093</v>
      </c>
      <c r="I25" s="69">
        <v>77094</v>
      </c>
      <c r="J25" s="69">
        <v>77090</v>
      </c>
      <c r="K25" s="69">
        <v>77095</v>
      </c>
      <c r="L25" s="69">
        <v>77091</v>
      </c>
    </row>
    <row r="26" spans="2:12">
      <c r="B26" s="74" t="s">
        <v>1121</v>
      </c>
      <c r="C26" s="68"/>
      <c r="D26" s="68"/>
      <c r="E26" s="68"/>
      <c r="F26" s="68"/>
      <c r="G26" s="69">
        <v>77438</v>
      </c>
      <c r="H26" s="69">
        <v>77442</v>
      </c>
      <c r="I26" s="69">
        <v>77443</v>
      </c>
      <c r="J26" s="69">
        <v>77439</v>
      </c>
      <c r="K26" s="69">
        <v>77431</v>
      </c>
      <c r="L26" s="69">
        <v>77440</v>
      </c>
    </row>
    <row r="27" spans="2:12">
      <c r="B27" s="74" t="s">
        <v>1122</v>
      </c>
      <c r="C27" s="68"/>
      <c r="D27" s="68"/>
      <c r="E27" s="68"/>
      <c r="F27" s="68"/>
      <c r="G27" s="69">
        <v>77715</v>
      </c>
      <c r="H27" s="69">
        <v>77719</v>
      </c>
      <c r="I27" s="69">
        <v>77720</v>
      </c>
      <c r="J27" s="69">
        <v>77716</v>
      </c>
      <c r="K27" s="69">
        <v>77721</v>
      </c>
      <c r="L27" s="69">
        <v>77717</v>
      </c>
    </row>
    <row r="28" spans="2:12">
      <c r="B28" s="74" t="s">
        <v>1123</v>
      </c>
      <c r="C28" s="68"/>
      <c r="D28" s="68"/>
      <c r="E28" s="68"/>
      <c r="F28" s="68"/>
      <c r="G28" s="69">
        <v>77195</v>
      </c>
      <c r="H28" s="69">
        <v>77194</v>
      </c>
      <c r="I28" s="69">
        <v>77193</v>
      </c>
      <c r="J28" s="69">
        <v>77192</v>
      </c>
      <c r="K28" s="69">
        <v>77189</v>
      </c>
      <c r="L28" s="69">
        <v>77191</v>
      </c>
    </row>
    <row r="29" spans="2:12">
      <c r="B29" s="74" t="s">
        <v>1124</v>
      </c>
      <c r="C29" s="68"/>
      <c r="D29" s="68"/>
      <c r="E29" s="68"/>
      <c r="F29" s="68"/>
      <c r="G29" s="69">
        <v>77109</v>
      </c>
      <c r="H29" s="69">
        <v>77213</v>
      </c>
      <c r="I29" s="69">
        <v>77214</v>
      </c>
      <c r="J29" s="69">
        <v>77110</v>
      </c>
      <c r="K29" s="69">
        <v>77212</v>
      </c>
      <c r="L29" s="69">
        <v>77111</v>
      </c>
    </row>
    <row r="30" spans="2:12">
      <c r="B30" s="74" t="s">
        <v>1125</v>
      </c>
      <c r="C30" s="68"/>
      <c r="D30" s="68"/>
      <c r="E30" s="68"/>
      <c r="F30" s="68"/>
      <c r="G30" s="69"/>
      <c r="H30" s="69">
        <v>77619</v>
      </c>
      <c r="I30" s="69">
        <v>77618</v>
      </c>
      <c r="J30" s="69">
        <v>77617</v>
      </c>
      <c r="K30" s="69">
        <v>77616</v>
      </c>
      <c r="L30" s="69">
        <v>77615</v>
      </c>
    </row>
    <row r="31" spans="2:12">
      <c r="B31" s="74" t="s">
        <v>1126</v>
      </c>
      <c r="C31" s="68"/>
      <c r="D31" s="68"/>
      <c r="E31" s="68"/>
      <c r="F31" s="68"/>
      <c r="G31" s="69">
        <v>77866</v>
      </c>
      <c r="H31" s="69"/>
      <c r="I31" s="69"/>
      <c r="J31" s="69">
        <v>77867</v>
      </c>
      <c r="K31" s="69">
        <v>77872</v>
      </c>
      <c r="L31" s="69">
        <v>77868</v>
      </c>
    </row>
    <row r="32" spans="2:12">
      <c r="B32" s="74" t="s">
        <v>1127</v>
      </c>
      <c r="C32" s="68"/>
      <c r="D32" s="68"/>
      <c r="E32" s="68"/>
      <c r="F32" s="68"/>
      <c r="G32" s="69">
        <v>77906</v>
      </c>
      <c r="H32" s="69"/>
      <c r="I32" s="69"/>
      <c r="J32" s="69">
        <v>77907</v>
      </c>
      <c r="K32" s="69">
        <v>77912</v>
      </c>
      <c r="L32" s="69">
        <v>77908</v>
      </c>
    </row>
    <row r="33" spans="2:12">
      <c r="B33" s="74" t="s">
        <v>1129</v>
      </c>
      <c r="C33" s="68"/>
      <c r="D33" s="68"/>
      <c r="E33" s="68"/>
      <c r="F33" s="68"/>
      <c r="G33" s="69"/>
      <c r="H33" s="69">
        <v>77739</v>
      </c>
      <c r="I33" s="69">
        <v>77738</v>
      </c>
      <c r="J33" s="69">
        <v>77737</v>
      </c>
      <c r="K33" s="69">
        <v>77736</v>
      </c>
      <c r="L33" s="69">
        <v>77735</v>
      </c>
    </row>
    <row r="34" spans="2:12">
      <c r="B34" s="74" t="s">
        <v>1128</v>
      </c>
      <c r="C34" s="68"/>
      <c r="D34" s="68"/>
      <c r="E34" s="68"/>
      <c r="F34" s="68"/>
      <c r="G34" s="69">
        <v>77098</v>
      </c>
      <c r="H34" s="69"/>
      <c r="I34" s="69"/>
      <c r="J34" s="69">
        <v>77099</v>
      </c>
      <c r="K34" s="69">
        <v>77100</v>
      </c>
      <c r="L34" s="69">
        <v>77102</v>
      </c>
    </row>
    <row r="35" spans="2:12">
      <c r="B35" s="74" t="s">
        <v>1130</v>
      </c>
      <c r="C35" s="68"/>
      <c r="D35" s="68"/>
      <c r="E35" s="68"/>
      <c r="F35" s="68"/>
      <c r="G35" s="69"/>
      <c r="H35" s="69"/>
      <c r="I35" s="69"/>
      <c r="J35" s="69">
        <v>77339</v>
      </c>
      <c r="K35" s="69">
        <v>77338</v>
      </c>
      <c r="L35" s="69">
        <v>77337</v>
      </c>
    </row>
    <row r="36" spans="2:12">
      <c r="B36" s="74" t="s">
        <v>1131</v>
      </c>
      <c r="C36" s="68"/>
      <c r="D36" s="68"/>
      <c r="E36" s="68"/>
      <c r="F36" s="68"/>
      <c r="G36" s="69"/>
      <c r="H36" s="69"/>
      <c r="I36" s="69"/>
      <c r="J36" s="69"/>
      <c r="K36" s="69">
        <v>77166</v>
      </c>
      <c r="L36" s="69">
        <v>77165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21"/>
  <sheetViews>
    <sheetView workbookViewId="0">
      <selection activeCell="C17" sqref="C17"/>
    </sheetView>
  </sheetViews>
  <sheetFormatPr defaultRowHeight="15"/>
  <cols>
    <col min="2" max="2" width="18.28515625" bestFit="1" customWidth="1"/>
    <col min="3" max="3" width="6.5703125" bestFit="1" customWidth="1"/>
    <col min="4" max="4" width="9.140625" style="34"/>
    <col min="5" max="5" width="9.140625" style="207"/>
  </cols>
  <sheetData>
    <row r="1" spans="1:5">
      <c r="A1" s="80"/>
      <c r="B1" s="80"/>
      <c r="C1" s="80"/>
      <c r="D1" s="208" t="s">
        <v>1022</v>
      </c>
      <c r="E1" s="209" t="s">
        <v>1021</v>
      </c>
    </row>
    <row r="2" spans="1:5">
      <c r="B2" s="71" t="s">
        <v>1137</v>
      </c>
      <c r="C2" s="75">
        <v>9.7504431888917095E-2</v>
      </c>
      <c r="D2" s="211">
        <v>4.4933181273182785E-2</v>
      </c>
      <c r="E2" s="210">
        <v>9.7504431888917095E-2</v>
      </c>
    </row>
    <row r="3" spans="1:5">
      <c r="B3" s="71" t="s">
        <v>1138</v>
      </c>
      <c r="C3" s="75">
        <v>0.34856639727382971</v>
      </c>
      <c r="D3" s="211">
        <v>0.1606697484390206</v>
      </c>
      <c r="E3" s="210">
        <v>0.34856639727382971</v>
      </c>
    </row>
    <row r="4" spans="1:5">
      <c r="B4" s="71" t="s">
        <v>1139</v>
      </c>
      <c r="C4" s="75">
        <v>0.42815858833867226</v>
      </c>
      <c r="D4" s="211">
        <v>0.19397913422566088</v>
      </c>
      <c r="E4" s="210">
        <v>0.42815858833867226</v>
      </c>
    </row>
    <row r="5" spans="1:5">
      <c r="B5" s="71" t="s">
        <v>1140</v>
      </c>
      <c r="C5" s="75">
        <v>0.98075440234547839</v>
      </c>
      <c r="D5" s="211">
        <v>0.46361758100934136</v>
      </c>
      <c r="E5" s="210">
        <v>0.98075440234547839</v>
      </c>
    </row>
    <row r="6" spans="1:5">
      <c r="B6" s="71" t="s">
        <v>1141</v>
      </c>
      <c r="C6" s="75">
        <v>1.9850659796533696</v>
      </c>
      <c r="D6" s="211">
        <v>0.95833297289774844</v>
      </c>
      <c r="E6" s="210">
        <v>1.9850659796533696</v>
      </c>
    </row>
    <row r="7" spans="1:5">
      <c r="B7" s="71" t="s">
        <v>1142</v>
      </c>
      <c r="C7" s="75">
        <v>2.6277955954393692</v>
      </c>
      <c r="D7" s="211">
        <v>1.2414178308089663</v>
      </c>
      <c r="E7" s="210">
        <v>2.6277955954393692</v>
      </c>
    </row>
    <row r="8" spans="1:5">
      <c r="B8" s="71" t="s">
        <v>1143</v>
      </c>
      <c r="C8" s="75">
        <v>4.2613667489651057</v>
      </c>
      <c r="D8" s="211">
        <v>1.98421395251771</v>
      </c>
      <c r="E8" s="210">
        <v>4.2613667489651057</v>
      </c>
    </row>
    <row r="9" spans="1:5">
      <c r="B9" s="71" t="s">
        <v>1144</v>
      </c>
      <c r="C9" s="75">
        <v>11.355217137344535</v>
      </c>
      <c r="D9" s="211">
        <v>6.029309019668168</v>
      </c>
      <c r="E9" s="210">
        <v>11.355217137344535</v>
      </c>
    </row>
    <row r="10" spans="1:5">
      <c r="B10" s="71" t="s">
        <v>1145</v>
      </c>
      <c r="C10" s="75">
        <v>12.395776562832241</v>
      </c>
      <c r="D10" s="211">
        <v>6.3661777077645132</v>
      </c>
      <c r="E10" s="210">
        <v>12.395776562832241</v>
      </c>
    </row>
    <row r="11" spans="1:5">
      <c r="B11" s="71" t="s">
        <v>1146</v>
      </c>
      <c r="C11" s="75">
        <v>15.581602850780312</v>
      </c>
      <c r="D11" s="211">
        <v>7.9324067681496269</v>
      </c>
      <c r="E11" s="210">
        <v>15.581602850780312</v>
      </c>
    </row>
    <row r="12" spans="1:5">
      <c r="B12" s="71" t="s">
        <v>1147</v>
      </c>
      <c r="C12" s="75">
        <v>30.345259014123162</v>
      </c>
      <c r="D12" s="211">
        <v>15.854017646994178</v>
      </c>
      <c r="E12" s="210">
        <v>30.345259014123162</v>
      </c>
    </row>
    <row r="13" spans="1:5">
      <c r="B13" s="71" t="s">
        <v>1148</v>
      </c>
      <c r="C13" s="75">
        <v>52.054453822544666</v>
      </c>
      <c r="D13" s="211">
        <v>26.902585922170438</v>
      </c>
      <c r="E13" s="210">
        <v>52.054453822544666</v>
      </c>
    </row>
    <row r="14" spans="1:5">
      <c r="B14" s="71" t="s">
        <v>1149</v>
      </c>
      <c r="C14" s="75">
        <v>60.884973827913491</v>
      </c>
      <c r="D14" s="211">
        <v>33.688515073424938</v>
      </c>
      <c r="E14" s="210">
        <v>60.884973827913491</v>
      </c>
    </row>
    <row r="15" spans="1:5">
      <c r="B15" s="71" t="s">
        <v>1150</v>
      </c>
      <c r="C15" s="75">
        <v>73.110811603455645</v>
      </c>
      <c r="D15" s="211">
        <v>43.265715014451764</v>
      </c>
      <c r="E15" s="210">
        <v>73.110811603455645</v>
      </c>
    </row>
    <row r="16" spans="1:5">
      <c r="B16" s="71" t="s">
        <v>1151</v>
      </c>
      <c r="C16" s="75">
        <v>76.149815233917053</v>
      </c>
      <c r="D16" s="211">
        <v>39.462944441669023</v>
      </c>
      <c r="E16" s="210">
        <v>76.149815233917053</v>
      </c>
    </row>
    <row r="17" spans="2:5">
      <c r="B17" s="71" t="s">
        <v>1152</v>
      </c>
      <c r="C17" s="75">
        <v>115.69820130082499</v>
      </c>
      <c r="D17" s="211">
        <v>74.836410064875537</v>
      </c>
      <c r="E17" s="210">
        <v>115.69820130082499</v>
      </c>
    </row>
    <row r="18" spans="2:5" s="53" customFormat="1">
      <c r="B18" s="207">
        <v>78615</v>
      </c>
      <c r="C18" s="161">
        <v>123.86684102569468</v>
      </c>
      <c r="D18" s="40">
        <v>123.86684102569468</v>
      </c>
      <c r="E18" s="210"/>
    </row>
    <row r="19" spans="2:5">
      <c r="B19" s="71" t="s">
        <v>1153</v>
      </c>
      <c r="C19" s="75">
        <v>248.630956516342</v>
      </c>
      <c r="D19" s="211">
        <v>0</v>
      </c>
      <c r="E19" s="210">
        <v>248.630956516342</v>
      </c>
    </row>
    <row r="20" spans="2:5">
      <c r="B20" s="71" t="s">
        <v>1154</v>
      </c>
      <c r="C20" s="75">
        <v>312.34848589687499</v>
      </c>
      <c r="D20" s="211">
        <v>0</v>
      </c>
      <c r="E20" s="210">
        <v>312.34848589687499</v>
      </c>
    </row>
    <row r="21" spans="2:5">
      <c r="B21" s="207">
        <v>78735</v>
      </c>
      <c r="C21" s="161">
        <v>472.39756259381744</v>
      </c>
      <c r="D21" s="40">
        <v>472.39756259381744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21"/>
  <sheetViews>
    <sheetView workbookViewId="0">
      <selection activeCell="F20" sqref="F20"/>
    </sheetView>
  </sheetViews>
  <sheetFormatPr defaultRowHeight="15"/>
  <sheetData>
    <row r="1" spans="1:5">
      <c r="A1" s="80"/>
      <c r="B1" s="80"/>
      <c r="C1" s="80"/>
      <c r="D1" s="80" t="s">
        <v>1022</v>
      </c>
      <c r="E1" s="80" t="s">
        <v>1021</v>
      </c>
    </row>
    <row r="2" spans="1:5">
      <c r="D2">
        <v>78052</v>
      </c>
      <c r="E2" s="69">
        <v>78051</v>
      </c>
    </row>
    <row r="3" spans="1:5">
      <c r="D3">
        <v>78382</v>
      </c>
      <c r="E3" s="69">
        <v>78381</v>
      </c>
    </row>
    <row r="4" spans="1:5">
      <c r="D4">
        <v>78122</v>
      </c>
      <c r="E4" s="69">
        <v>78121</v>
      </c>
    </row>
    <row r="5" spans="1:5">
      <c r="D5">
        <v>78208</v>
      </c>
      <c r="E5" s="69">
        <v>78848</v>
      </c>
    </row>
    <row r="6" spans="1:5">
      <c r="D6">
        <v>78312</v>
      </c>
      <c r="E6" s="69">
        <v>78059</v>
      </c>
    </row>
    <row r="7" spans="1:5">
      <c r="D7">
        <v>78352</v>
      </c>
      <c r="E7" s="69">
        <v>78351</v>
      </c>
    </row>
    <row r="8" spans="1:5">
      <c r="D8">
        <v>78932</v>
      </c>
      <c r="E8" s="69">
        <v>78894</v>
      </c>
    </row>
    <row r="9" spans="1:5">
      <c r="D9">
        <v>78550</v>
      </c>
      <c r="E9" s="69">
        <v>78071</v>
      </c>
    </row>
    <row r="10" spans="1:5">
      <c r="D10">
        <v>78587</v>
      </c>
      <c r="E10" s="69">
        <v>78586</v>
      </c>
    </row>
    <row r="11" spans="1:5">
      <c r="D11">
        <v>78326</v>
      </c>
      <c r="E11" s="69">
        <v>78076</v>
      </c>
    </row>
    <row r="12" spans="1:5">
      <c r="D12">
        <v>78256</v>
      </c>
      <c r="E12" s="69">
        <v>78083</v>
      </c>
    </row>
    <row r="13" spans="1:5">
      <c r="D13">
        <v>78440</v>
      </c>
      <c r="E13" s="69">
        <v>78439</v>
      </c>
    </row>
    <row r="14" spans="1:5">
      <c r="D14">
        <v>78091</v>
      </c>
      <c r="E14" s="69">
        <v>78090</v>
      </c>
    </row>
    <row r="15" spans="1:5">
      <c r="D15">
        <v>78717</v>
      </c>
      <c r="E15" s="69">
        <v>78716</v>
      </c>
    </row>
    <row r="16" spans="1:5">
      <c r="D16">
        <v>78191</v>
      </c>
      <c r="E16" s="69">
        <v>78192</v>
      </c>
    </row>
    <row r="17" spans="4:5">
      <c r="D17">
        <v>78111</v>
      </c>
      <c r="E17" s="69">
        <v>78110</v>
      </c>
    </row>
    <row r="18" spans="4:5" s="53" customFormat="1">
      <c r="D18" s="53">
        <v>78615</v>
      </c>
      <c r="E18" s="69">
        <v>78617</v>
      </c>
    </row>
    <row r="19" spans="4:5">
      <c r="D19">
        <v>78868</v>
      </c>
      <c r="E19" s="69">
        <v>78867</v>
      </c>
    </row>
    <row r="20" spans="4:5">
      <c r="D20">
        <v>78908</v>
      </c>
      <c r="E20" s="69">
        <v>78907</v>
      </c>
    </row>
    <row r="21" spans="4:5">
      <c r="D21">
        <v>78735</v>
      </c>
      <c r="E21" s="69">
        <v>78737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47"/>
  <sheetViews>
    <sheetView workbookViewId="0">
      <selection activeCell="Q42" sqref="Q42"/>
    </sheetView>
  </sheetViews>
  <sheetFormatPr defaultRowHeight="15"/>
  <cols>
    <col min="2" max="2" width="9.5703125" bestFit="1" customWidth="1"/>
    <col min="3" max="3" width="9.28515625" bestFit="1" customWidth="1"/>
    <col min="4" max="4" width="9.5703125" bestFit="1" customWidth="1"/>
    <col min="6" max="10" width="9.5703125" bestFit="1" customWidth="1"/>
    <col min="11" max="11" width="14.42578125" customWidth="1"/>
  </cols>
  <sheetData>
    <row r="2" spans="1:14" ht="78.75">
      <c r="A2" s="14" t="s">
        <v>791</v>
      </c>
      <c r="B2" s="15" t="s">
        <v>998</v>
      </c>
      <c r="C2" s="15" t="s">
        <v>792</v>
      </c>
      <c r="D2" s="15" t="s">
        <v>793</v>
      </c>
      <c r="E2" s="15"/>
      <c r="F2" s="359" t="s">
        <v>794</v>
      </c>
      <c r="G2" s="359"/>
      <c r="H2" s="359"/>
      <c r="I2" s="359"/>
      <c r="J2" s="360"/>
      <c r="M2" s="62" t="s">
        <v>1008</v>
      </c>
      <c r="N2" s="62" t="s">
        <v>1009</v>
      </c>
    </row>
    <row r="3" spans="1:14" ht="15.75">
      <c r="A3" s="18"/>
      <c r="B3" s="16"/>
      <c r="C3" s="9"/>
      <c r="D3" s="9"/>
      <c r="E3" s="9"/>
      <c r="F3" s="13">
        <v>200</v>
      </c>
      <c r="G3" s="13">
        <v>400</v>
      </c>
      <c r="H3" s="13">
        <v>500</v>
      </c>
      <c r="I3" s="13">
        <v>600</v>
      </c>
      <c r="J3" s="43">
        <v>800</v>
      </c>
      <c r="K3" s="46" t="s">
        <v>927</v>
      </c>
      <c r="L3" s="46" t="s">
        <v>932</v>
      </c>
    </row>
    <row r="4" spans="1:14" ht="15.75">
      <c r="A4" s="18">
        <v>6</v>
      </c>
      <c r="B4" s="17">
        <v>26240</v>
      </c>
      <c r="C4" s="10">
        <v>0.42099999999999999</v>
      </c>
      <c r="D4" s="10">
        <v>139.19999999999999</v>
      </c>
      <c r="E4" s="20">
        <f>D4*0.001</f>
        <v>0.13919999999999999</v>
      </c>
      <c r="F4" s="12">
        <v>26.596062162869462</v>
      </c>
      <c r="G4" s="12">
        <v>53.192124325738924</v>
      </c>
      <c r="H4" s="12">
        <v>66.490155407173646</v>
      </c>
      <c r="I4" s="12">
        <v>79.788186488608375</v>
      </c>
      <c r="J4" s="44">
        <v>106.384248651478</v>
      </c>
      <c r="K4" s="45">
        <v>12.5</v>
      </c>
      <c r="L4" s="45">
        <v>10.06</v>
      </c>
      <c r="M4" s="63">
        <v>0.16200000000000001</v>
      </c>
      <c r="N4" s="64">
        <f>M4*25.4*0.5</f>
        <v>2.0573999999999999</v>
      </c>
    </row>
    <row r="5" spans="1:14" ht="15.75">
      <c r="A5" s="18">
        <v>7</v>
      </c>
      <c r="B5" s="17">
        <v>20820</v>
      </c>
      <c r="C5" s="10">
        <v>0.376</v>
      </c>
      <c r="D5" s="10">
        <v>111</v>
      </c>
      <c r="E5" s="21">
        <f t="shared" ref="E5:E47" si="0">D5*0.001</f>
        <v>0.111</v>
      </c>
      <c r="F5" s="12">
        <v>21.101822832865714</v>
      </c>
      <c r="G5" s="12">
        <v>42.203645665731429</v>
      </c>
      <c r="H5" s="12">
        <v>52.754557082164283</v>
      </c>
      <c r="I5" s="12">
        <v>63.305468498597136</v>
      </c>
      <c r="J5" s="44">
        <v>84.407291331462858</v>
      </c>
      <c r="K5" s="45">
        <v>15.75</v>
      </c>
      <c r="L5" s="45">
        <v>10.15</v>
      </c>
      <c r="M5" s="63">
        <v>0.14430000000000001</v>
      </c>
      <c r="N5" s="64">
        <f t="shared" ref="N5:N47" si="1">M5*25.4*0.5</f>
        <v>1.8326100000000001</v>
      </c>
    </row>
    <row r="6" spans="1:14" ht="15.75">
      <c r="A6" s="19">
        <v>8</v>
      </c>
      <c r="B6" s="17">
        <v>16510</v>
      </c>
      <c r="C6" s="11">
        <v>0.33600000000000002</v>
      </c>
      <c r="D6" s="11">
        <v>88.7</v>
      </c>
      <c r="E6" s="21">
        <f t="shared" si="0"/>
        <v>8.8700000000000001E-2</v>
      </c>
      <c r="F6" s="12">
        <v>16.733761143455315</v>
      </c>
      <c r="G6" s="12">
        <v>33.467522286910629</v>
      </c>
      <c r="H6" s="12">
        <v>41.834402858638285</v>
      </c>
      <c r="I6" s="12">
        <v>50.20128343036594</v>
      </c>
      <c r="J6" s="44">
        <v>66.935044573821258</v>
      </c>
      <c r="K6" s="45">
        <v>19.850000000000001</v>
      </c>
      <c r="L6" s="45">
        <v>10.27</v>
      </c>
      <c r="M6" s="63">
        <v>0.1285</v>
      </c>
      <c r="N6" s="64">
        <f t="shared" si="1"/>
        <v>1.63195</v>
      </c>
    </row>
    <row r="7" spans="1:14" ht="15.75">
      <c r="A7" s="19">
        <v>9</v>
      </c>
      <c r="B7" s="17">
        <v>13090</v>
      </c>
      <c r="C7" s="11">
        <v>0.29899999999999999</v>
      </c>
      <c r="D7" s="11">
        <v>70.2</v>
      </c>
      <c r="E7" s="21">
        <f t="shared" si="0"/>
        <v>7.0199999999999999E-2</v>
      </c>
      <c r="F7" s="12">
        <v>13.262926387282855</v>
      </c>
      <c r="G7" s="12">
        <v>26.52585277456571</v>
      </c>
      <c r="H7" s="12">
        <v>33.157315968207136</v>
      </c>
      <c r="I7" s="12">
        <v>39.788779161848566</v>
      </c>
      <c r="J7" s="44">
        <v>53.05170554913142</v>
      </c>
      <c r="K7" s="45">
        <v>25</v>
      </c>
      <c r="L7" s="45">
        <v>10.31</v>
      </c>
      <c r="M7" s="63">
        <v>0.1144</v>
      </c>
      <c r="N7" s="64">
        <f t="shared" si="1"/>
        <v>1.4528799999999999</v>
      </c>
    </row>
    <row r="8" spans="1:14" ht="15.75">
      <c r="A8" s="19">
        <v>10</v>
      </c>
      <c r="B8" s="17">
        <v>10380</v>
      </c>
      <c r="C8" s="11">
        <v>0.26700000000000002</v>
      </c>
      <c r="D8" s="11">
        <v>56</v>
      </c>
      <c r="E8" s="21">
        <f t="shared" si="0"/>
        <v>5.6000000000000001E-2</v>
      </c>
      <c r="F8" s="12">
        <v>10.522905694063136</v>
      </c>
      <c r="G8" s="12">
        <v>21.045811388126271</v>
      </c>
      <c r="H8" s="12">
        <v>26.307264235157838</v>
      </c>
      <c r="I8" s="12">
        <v>31.568717082189405</v>
      </c>
      <c r="J8" s="44">
        <v>42.091622776252542</v>
      </c>
      <c r="K8" s="45">
        <v>31.5</v>
      </c>
      <c r="L8" s="45">
        <v>7.57</v>
      </c>
      <c r="M8" s="63">
        <v>0.1019</v>
      </c>
      <c r="N8" s="64">
        <f t="shared" si="1"/>
        <v>1.29413</v>
      </c>
    </row>
    <row r="9" spans="1:14" ht="15.75">
      <c r="A9" s="19">
        <v>11</v>
      </c>
      <c r="B9" s="17">
        <v>8226</v>
      </c>
      <c r="C9" s="11">
        <v>0.23799999999999999</v>
      </c>
      <c r="D9" s="11">
        <v>44.5</v>
      </c>
      <c r="E9" s="21">
        <f t="shared" si="0"/>
        <v>4.4499999999999998E-2</v>
      </c>
      <c r="F9" s="12">
        <v>8.3368480194415486</v>
      </c>
      <c r="G9" s="12">
        <v>16.673696038883097</v>
      </c>
      <c r="H9" s="12">
        <v>20.842120048603871</v>
      </c>
      <c r="I9" s="12">
        <v>25.010544058324644</v>
      </c>
      <c r="J9" s="44">
        <v>33.347392077766195</v>
      </c>
      <c r="K9" s="45">
        <v>39</v>
      </c>
      <c r="L9" s="45">
        <v>7.58</v>
      </c>
      <c r="M9" s="63">
        <v>9.0700000000000003E-2</v>
      </c>
      <c r="N9" s="64">
        <f t="shared" si="1"/>
        <v>1.1518900000000001</v>
      </c>
    </row>
    <row r="10" spans="1:14" ht="15.75">
      <c r="A10" s="19">
        <v>12</v>
      </c>
      <c r="B10" s="17">
        <v>6529</v>
      </c>
      <c r="C10" s="11">
        <v>0.21299999999999999</v>
      </c>
      <c r="D10" s="11">
        <v>35.6</v>
      </c>
      <c r="E10" s="21">
        <f t="shared" si="0"/>
        <v>3.56E-2</v>
      </c>
      <c r="F10" s="12">
        <v>6.6162214326701747</v>
      </c>
      <c r="G10" s="12">
        <v>13.232442865340349</v>
      </c>
      <c r="H10" s="12">
        <v>16.540553581675436</v>
      </c>
      <c r="I10" s="12">
        <v>19.848664298010522</v>
      </c>
      <c r="J10" s="44">
        <v>26.464885730680699</v>
      </c>
      <c r="K10" s="45">
        <v>49.9</v>
      </c>
      <c r="L10" s="45">
        <v>7.59</v>
      </c>
      <c r="M10" s="63">
        <v>8.0799999999999997E-2</v>
      </c>
      <c r="N10" s="64">
        <f t="shared" si="1"/>
        <v>1.02616</v>
      </c>
    </row>
    <row r="11" spans="1:14" ht="15.75">
      <c r="A11" s="19">
        <v>13</v>
      </c>
      <c r="B11" s="17">
        <v>5184</v>
      </c>
      <c r="C11" s="11">
        <v>0.19020000000000001</v>
      </c>
      <c r="D11" s="11">
        <v>28.4</v>
      </c>
      <c r="E11" s="21">
        <f t="shared" si="0"/>
        <v>2.8399999999999998E-2</v>
      </c>
      <c r="F11" s="12">
        <v>5.2535431432828554</v>
      </c>
      <c r="G11" s="12">
        <v>10.507086286565711</v>
      </c>
      <c r="H11" s="12">
        <v>13.133857858207138</v>
      </c>
      <c r="I11" s="12">
        <v>15.760629429848565</v>
      </c>
      <c r="J11" s="44">
        <v>21.014172573131422</v>
      </c>
      <c r="K11" s="45">
        <v>62.9</v>
      </c>
      <c r="L11" s="45">
        <v>7.6</v>
      </c>
      <c r="M11" s="63">
        <v>7.1999999999999995E-2</v>
      </c>
      <c r="N11" s="64">
        <f t="shared" si="1"/>
        <v>0.91439999999999988</v>
      </c>
    </row>
    <row r="12" spans="1:14" ht="15.75">
      <c r="A12" s="19">
        <v>14</v>
      </c>
      <c r="B12" s="17">
        <v>4109</v>
      </c>
      <c r="C12" s="11">
        <v>0.17150000000000001</v>
      </c>
      <c r="D12" s="11">
        <v>23.1</v>
      </c>
      <c r="E12" s="21">
        <f t="shared" si="0"/>
        <v>2.3100000000000002E-2</v>
      </c>
      <c r="F12" s="12">
        <v>4.1639295143811799</v>
      </c>
      <c r="G12" s="12">
        <v>8.3278590287623597</v>
      </c>
      <c r="H12" s="12">
        <v>10.40982378595295</v>
      </c>
      <c r="I12" s="12">
        <v>12.49178854314354</v>
      </c>
      <c r="J12" s="44">
        <v>16.655718057524719</v>
      </c>
      <c r="K12" s="45">
        <v>79.180000000000007</v>
      </c>
      <c r="L12" s="45">
        <v>7.94</v>
      </c>
      <c r="M12" s="63">
        <v>6.4100000000000004E-2</v>
      </c>
      <c r="N12" s="64">
        <f t="shared" si="1"/>
        <v>0.81406999999999996</v>
      </c>
    </row>
    <row r="13" spans="1:14" ht="15.75">
      <c r="A13" s="19">
        <v>15</v>
      </c>
      <c r="B13" s="17">
        <v>3260</v>
      </c>
      <c r="C13" s="11">
        <v>0.15290000000000001</v>
      </c>
      <c r="D13" s="11">
        <v>18.399999999999999</v>
      </c>
      <c r="E13" s="20">
        <f t="shared" si="0"/>
        <v>1.84E-2</v>
      </c>
      <c r="F13" s="12">
        <v>3.3041482638485449</v>
      </c>
      <c r="G13" s="12">
        <v>6.6082965276970898</v>
      </c>
      <c r="H13" s="12">
        <v>8.260370659621362</v>
      </c>
      <c r="I13" s="12">
        <v>9.9124447915456351</v>
      </c>
      <c r="J13" s="44">
        <v>13.21659305539418</v>
      </c>
      <c r="K13" s="45">
        <v>99.7</v>
      </c>
      <c r="L13" s="45">
        <v>7.98</v>
      </c>
      <c r="M13" s="63">
        <v>5.7099999999999998E-2</v>
      </c>
      <c r="N13" s="64">
        <f t="shared" si="1"/>
        <v>0.72516999999999998</v>
      </c>
    </row>
    <row r="14" spans="1:14" ht="15.75">
      <c r="A14" s="19">
        <v>16</v>
      </c>
      <c r="B14" s="17">
        <v>2581</v>
      </c>
      <c r="C14" s="11">
        <v>0.13689999999999999</v>
      </c>
      <c r="D14" s="11">
        <v>14.72</v>
      </c>
      <c r="E14" s="20">
        <f t="shared" si="0"/>
        <v>1.472E-2</v>
      </c>
      <c r="F14" s="12">
        <v>2.6152591777163332</v>
      </c>
      <c r="G14" s="12">
        <v>5.2305183554326664</v>
      </c>
      <c r="H14" s="12">
        <v>6.5381479442908335</v>
      </c>
      <c r="I14" s="12">
        <v>7.8457775331489996</v>
      </c>
      <c r="J14" s="44">
        <v>10.461036710865333</v>
      </c>
      <c r="K14" s="45">
        <v>125.6</v>
      </c>
      <c r="L14" s="45">
        <v>8.08</v>
      </c>
      <c r="M14" s="63">
        <v>5.0799999999999998E-2</v>
      </c>
      <c r="N14" s="64">
        <f t="shared" si="1"/>
        <v>0.64515999999999996</v>
      </c>
    </row>
    <row r="15" spans="1:14" ht="15.75">
      <c r="A15" s="19">
        <v>17</v>
      </c>
      <c r="B15" s="17">
        <v>2052</v>
      </c>
      <c r="C15" s="11">
        <v>0.12239999999999999</v>
      </c>
      <c r="D15" s="11">
        <v>11.77</v>
      </c>
      <c r="E15" s="20">
        <f t="shared" si="0"/>
        <v>1.1769999999999999E-2</v>
      </c>
      <c r="F15" s="12">
        <v>2.0796187015623682</v>
      </c>
      <c r="G15" s="12">
        <v>4.1592374031247363</v>
      </c>
      <c r="H15" s="12">
        <v>5.19904675390592</v>
      </c>
      <c r="I15" s="12">
        <v>6.2388561046871036</v>
      </c>
      <c r="J15" s="44">
        <v>8.3184748062494727</v>
      </c>
      <c r="K15" s="45">
        <v>157.69999999999999</v>
      </c>
      <c r="L15" s="45">
        <v>8.19</v>
      </c>
      <c r="M15" s="63">
        <v>4.53E-2</v>
      </c>
      <c r="N15" s="64">
        <f t="shared" si="1"/>
        <v>0.57530999999999999</v>
      </c>
    </row>
    <row r="16" spans="1:14" ht="15.75">
      <c r="A16" s="19">
        <v>18</v>
      </c>
      <c r="B16" s="17">
        <v>1624</v>
      </c>
      <c r="C16" s="11">
        <v>0.1095</v>
      </c>
      <c r="D16" s="11">
        <v>9.42</v>
      </c>
      <c r="E16" s="20">
        <f t="shared" si="0"/>
        <v>9.4199999999999996E-3</v>
      </c>
      <c r="F16" s="12">
        <v>1.6458770994549103</v>
      </c>
      <c r="G16" s="12">
        <v>3.2917541989098207</v>
      </c>
      <c r="H16" s="12">
        <v>4.1146927486372755</v>
      </c>
      <c r="I16" s="12">
        <v>4.9376312983647308</v>
      </c>
      <c r="J16" s="44">
        <v>6.5835083978196414</v>
      </c>
      <c r="K16" s="45">
        <v>199.2</v>
      </c>
      <c r="L16" s="45">
        <v>8.3000000000000007</v>
      </c>
      <c r="M16" s="63">
        <v>4.0300000000000002E-2</v>
      </c>
      <c r="N16" s="64">
        <f t="shared" si="1"/>
        <v>0.51180999999999999</v>
      </c>
    </row>
    <row r="17" spans="1:14" ht="15.75">
      <c r="A17" s="19">
        <v>19</v>
      </c>
      <c r="B17" s="17">
        <v>1289</v>
      </c>
      <c r="C17" s="11">
        <v>9.8000000000000004E-2</v>
      </c>
      <c r="D17" s="11">
        <v>7.54</v>
      </c>
      <c r="E17" s="20">
        <f t="shared" si="0"/>
        <v>7.5399999999999998E-3</v>
      </c>
      <c r="F17" s="12">
        <v>1.3060993322712922</v>
      </c>
      <c r="G17" s="12">
        <v>2.6121986645425843</v>
      </c>
      <c r="H17" s="12">
        <v>3.2652483306782303</v>
      </c>
      <c r="I17" s="12">
        <v>3.9182979968138762</v>
      </c>
      <c r="J17" s="44">
        <v>5.2243973290851686</v>
      </c>
      <c r="K17" s="45">
        <v>250.6</v>
      </c>
      <c r="L17" s="45">
        <v>8.3800000000000008</v>
      </c>
      <c r="M17" s="63">
        <v>3.5900000000000001E-2</v>
      </c>
      <c r="N17" s="64">
        <f t="shared" si="1"/>
        <v>0.45593</v>
      </c>
    </row>
    <row r="18" spans="1:14" ht="15.75">
      <c r="A18" s="19">
        <v>20</v>
      </c>
      <c r="B18" s="17">
        <v>1024</v>
      </c>
      <c r="C18" s="11">
        <v>8.7900000000000006E-2</v>
      </c>
      <c r="D18" s="11">
        <v>6.07</v>
      </c>
      <c r="E18" s="20">
        <f t="shared" si="0"/>
        <v>6.0700000000000007E-3</v>
      </c>
      <c r="F18" s="12">
        <v>1.0377369171916757</v>
      </c>
      <c r="G18" s="12">
        <v>2.0754738343833514</v>
      </c>
      <c r="H18" s="12">
        <v>2.5943422929791891</v>
      </c>
      <c r="I18" s="12">
        <v>3.1132107515750267</v>
      </c>
      <c r="J18" s="44">
        <v>4.1509476687667028</v>
      </c>
      <c r="K18" s="45">
        <v>314.5</v>
      </c>
      <c r="L18" s="45">
        <v>8.27</v>
      </c>
      <c r="M18" s="63">
        <v>3.2000000000000001E-2</v>
      </c>
      <c r="N18" s="64">
        <f t="shared" si="1"/>
        <v>0.40639999999999998</v>
      </c>
    </row>
    <row r="19" spans="1:14" ht="15.75">
      <c r="A19" s="19">
        <v>21</v>
      </c>
      <c r="B19" s="17">
        <v>812.3</v>
      </c>
      <c r="C19" s="11">
        <v>7.85E-2</v>
      </c>
      <c r="D19" s="11">
        <v>4.84</v>
      </c>
      <c r="E19" s="20">
        <f t="shared" si="0"/>
        <v>4.8399999999999997E-3</v>
      </c>
      <c r="F19" s="12">
        <v>0.82314629979388532</v>
      </c>
      <c r="G19" s="12">
        <v>1.6462925995877706</v>
      </c>
      <c r="H19" s="12">
        <v>2.0578657494847135</v>
      </c>
      <c r="I19" s="12">
        <v>2.4694388993816561</v>
      </c>
      <c r="J19" s="44">
        <v>3.2925851991755413</v>
      </c>
      <c r="K19" s="45">
        <v>395.3</v>
      </c>
      <c r="L19" s="45">
        <v>8.3699999999999992</v>
      </c>
      <c r="M19" s="63">
        <v>2.8500000000000001E-2</v>
      </c>
      <c r="N19" s="64">
        <f t="shared" si="1"/>
        <v>0.36194999999999999</v>
      </c>
    </row>
    <row r="20" spans="1:14" ht="15.75">
      <c r="A20" s="19">
        <v>22</v>
      </c>
      <c r="B20" s="17">
        <v>640.1</v>
      </c>
      <c r="C20" s="11">
        <v>7.0099999999999996E-2</v>
      </c>
      <c r="D20" s="11">
        <v>3.86</v>
      </c>
      <c r="E20" s="20">
        <f t="shared" si="0"/>
        <v>3.8600000000000001E-3</v>
      </c>
      <c r="F20" s="12">
        <v>0.64867678059103473</v>
      </c>
      <c r="G20" s="12">
        <v>1.2973535611820695</v>
      </c>
      <c r="H20" s="12">
        <v>1.6216919514775867</v>
      </c>
      <c r="I20" s="12">
        <v>1.9460303417731042</v>
      </c>
      <c r="J20" s="44">
        <v>2.5947071223641389</v>
      </c>
      <c r="K20" s="45">
        <v>502.5</v>
      </c>
      <c r="L20" s="45">
        <v>8.5299999999999994</v>
      </c>
      <c r="M20" s="63">
        <v>2.53E-2</v>
      </c>
      <c r="N20" s="64">
        <f t="shared" si="1"/>
        <v>0.32130999999999998</v>
      </c>
    </row>
    <row r="21" spans="1:14" ht="15.75">
      <c r="A21" s="19">
        <v>23</v>
      </c>
      <c r="B21" s="17">
        <v>510.8</v>
      </c>
      <c r="C21" s="11">
        <v>6.3200000000000006E-2</v>
      </c>
      <c r="D21" s="11">
        <v>3.14</v>
      </c>
      <c r="E21" s="20">
        <f t="shared" si="0"/>
        <v>3.14E-3</v>
      </c>
      <c r="F21" s="12">
        <v>0.51761182404767581</v>
      </c>
      <c r="G21" s="12">
        <v>1.0352236480953516</v>
      </c>
      <c r="H21" s="12">
        <v>1.2940295601191893</v>
      </c>
      <c r="I21" s="12">
        <v>1.5528354721430273</v>
      </c>
      <c r="J21" s="44">
        <v>2.0704472961907032</v>
      </c>
      <c r="K21" s="45">
        <v>625</v>
      </c>
      <c r="L21" s="45">
        <v>8.8000000000000007</v>
      </c>
      <c r="M21" s="63">
        <v>2.2599999999999999E-2</v>
      </c>
      <c r="N21" s="64">
        <f t="shared" si="1"/>
        <v>0.28701999999999994</v>
      </c>
    </row>
    <row r="22" spans="1:14" ht="15.75">
      <c r="A22" s="19">
        <v>24</v>
      </c>
      <c r="B22" s="17">
        <v>404</v>
      </c>
      <c r="C22" s="11">
        <v>5.6599999999999998E-2</v>
      </c>
      <c r="D22" s="11">
        <v>2.52</v>
      </c>
      <c r="E22" s="20">
        <f t="shared" si="0"/>
        <v>2.5200000000000001E-3</v>
      </c>
      <c r="F22" s="12">
        <v>0.40942977726036012</v>
      </c>
      <c r="G22" s="12">
        <v>0.81885955452072023</v>
      </c>
      <c r="H22" s="12">
        <v>1.0235744431509002</v>
      </c>
      <c r="I22" s="12">
        <v>1.2282893317810804</v>
      </c>
      <c r="J22" s="44">
        <v>1.6377191090414405</v>
      </c>
      <c r="K22" s="45">
        <v>790.5</v>
      </c>
      <c r="L22" s="45">
        <v>9.01</v>
      </c>
      <c r="M22" s="63">
        <v>2.01E-2</v>
      </c>
      <c r="N22" s="64">
        <f t="shared" si="1"/>
        <v>0.25527</v>
      </c>
    </row>
    <row r="23" spans="1:14" ht="15.75">
      <c r="A23" s="19">
        <v>25</v>
      </c>
      <c r="B23" s="17">
        <v>320.39999999999998</v>
      </c>
      <c r="C23" s="11">
        <v>5.0500000000000003E-2</v>
      </c>
      <c r="D23" s="11">
        <v>2</v>
      </c>
      <c r="E23" s="20">
        <f t="shared" si="0"/>
        <v>2E-3</v>
      </c>
      <c r="F23" s="12">
        <v>0.32470828675525848</v>
      </c>
      <c r="G23" s="12">
        <v>0.64941657351051696</v>
      </c>
      <c r="H23" s="12">
        <v>0.81177071688814617</v>
      </c>
      <c r="I23" s="12">
        <v>0.97412486026577538</v>
      </c>
      <c r="J23" s="44">
        <v>1.2988331470210339</v>
      </c>
      <c r="K23" s="45">
        <v>992.1</v>
      </c>
      <c r="L23" s="45">
        <v>9.32</v>
      </c>
      <c r="M23" s="63">
        <v>1.7899999999999999E-2</v>
      </c>
      <c r="N23" s="64">
        <f t="shared" si="1"/>
        <v>0.22732999999999998</v>
      </c>
    </row>
    <row r="24" spans="1:14" ht="15.75">
      <c r="A24" s="19">
        <v>26</v>
      </c>
      <c r="B24" s="17">
        <v>252.8</v>
      </c>
      <c r="C24" s="11">
        <v>4.5199999999999997E-2</v>
      </c>
      <c r="D24" s="11">
        <v>1.6</v>
      </c>
      <c r="E24" s="20">
        <f t="shared" si="0"/>
        <v>1.6000000000000001E-3</v>
      </c>
      <c r="F24" s="12">
        <v>0.25620143558127684</v>
      </c>
      <c r="G24" s="12">
        <v>0.51240287116255367</v>
      </c>
      <c r="H24" s="12">
        <v>0.64050358895319215</v>
      </c>
      <c r="I24" s="12">
        <v>0.76860430674383062</v>
      </c>
      <c r="J24" s="44">
        <v>1.0248057423251073</v>
      </c>
      <c r="K24" s="45">
        <v>1254</v>
      </c>
      <c r="L24" s="45">
        <v>9.06</v>
      </c>
      <c r="M24" s="63">
        <v>1.5900000000000001E-2</v>
      </c>
      <c r="N24" s="64">
        <f t="shared" si="1"/>
        <v>0.20193</v>
      </c>
    </row>
    <row r="25" spans="1:14" ht="15.75">
      <c r="A25" s="19">
        <v>27</v>
      </c>
      <c r="B25" s="17">
        <v>201.6</v>
      </c>
      <c r="C25" s="11">
        <v>4.0899999999999999E-2</v>
      </c>
      <c r="D25" s="11">
        <v>1.31</v>
      </c>
      <c r="E25" s="20">
        <f t="shared" si="0"/>
        <v>1.3100000000000002E-3</v>
      </c>
      <c r="F25" s="12">
        <v>0.20434499217043892</v>
      </c>
      <c r="G25" s="12">
        <v>0.40868998434087783</v>
      </c>
      <c r="H25" s="12">
        <v>0.51086248042609728</v>
      </c>
      <c r="I25" s="12">
        <v>0.61303497651131678</v>
      </c>
      <c r="J25" s="44">
        <v>0.81737996868175566</v>
      </c>
      <c r="K25" s="45">
        <v>1571</v>
      </c>
      <c r="L25" s="45">
        <v>9</v>
      </c>
      <c r="M25" s="63">
        <v>1.4200000000000001E-2</v>
      </c>
      <c r="N25" s="64">
        <f t="shared" si="1"/>
        <v>0.18034</v>
      </c>
    </row>
    <row r="26" spans="1:14" ht="15.75">
      <c r="A26" s="19">
        <v>28</v>
      </c>
      <c r="B26" s="17">
        <v>158.80000000000001</v>
      </c>
      <c r="C26" s="11">
        <v>3.6600000000000001E-2</v>
      </c>
      <c r="D26" s="11">
        <v>1.05</v>
      </c>
      <c r="E26" s="20">
        <f t="shared" si="0"/>
        <v>1.0500000000000002E-3</v>
      </c>
      <c r="F26" s="12">
        <v>0.16088975876303743</v>
      </c>
      <c r="G26" s="12">
        <v>0.32177951752607487</v>
      </c>
      <c r="H26" s="12">
        <v>0.40222439690759398</v>
      </c>
      <c r="I26" s="12">
        <v>0.48266927628911233</v>
      </c>
      <c r="J26" s="44">
        <v>0.64355903505214973</v>
      </c>
      <c r="K26" s="45">
        <v>1987</v>
      </c>
      <c r="L26" s="45">
        <v>9</v>
      </c>
      <c r="M26" s="63">
        <v>1.26E-2</v>
      </c>
      <c r="N26" s="64">
        <f t="shared" si="1"/>
        <v>0.16002</v>
      </c>
    </row>
    <row r="27" spans="1:14" ht="15.75">
      <c r="A27" s="19">
        <v>29</v>
      </c>
      <c r="B27" s="17">
        <v>127.7</v>
      </c>
      <c r="C27" s="11">
        <v>3.3000000000000002E-2</v>
      </c>
      <c r="D27" s="11">
        <v>0.85499999999999998</v>
      </c>
      <c r="E27" s="20">
        <f t="shared" si="0"/>
        <v>8.5499999999999997E-4</v>
      </c>
      <c r="F27" s="12">
        <v>0.12940295601191895</v>
      </c>
      <c r="G27" s="12">
        <v>0.2588059120238379</v>
      </c>
      <c r="H27" s="12">
        <v>0.32350739002979734</v>
      </c>
      <c r="I27" s="12">
        <v>0.38820886803575683</v>
      </c>
      <c r="J27" s="44">
        <v>0.51761182404767581</v>
      </c>
      <c r="K27" s="45">
        <v>2463</v>
      </c>
      <c r="L27" s="45">
        <v>9</v>
      </c>
      <c r="M27" s="63">
        <v>1.1299999999999999E-2</v>
      </c>
      <c r="N27" s="64">
        <f t="shared" si="1"/>
        <v>0.14350999999999997</v>
      </c>
    </row>
    <row r="28" spans="1:14" ht="15.75">
      <c r="A28" s="19">
        <v>30</v>
      </c>
      <c r="B28" s="17">
        <v>100</v>
      </c>
      <c r="C28" s="11">
        <v>2.9499999999999998E-2</v>
      </c>
      <c r="D28" s="11">
        <v>0.68300000000000005</v>
      </c>
      <c r="E28" s="20">
        <f t="shared" si="0"/>
        <v>6.8300000000000001E-4</v>
      </c>
      <c r="F28" s="12">
        <v>0.10134149581949956</v>
      </c>
      <c r="G28" s="12">
        <v>0.20268299163899911</v>
      </c>
      <c r="H28" s="12">
        <v>0.2533537395487489</v>
      </c>
      <c r="I28" s="12">
        <v>0.30402448745849869</v>
      </c>
      <c r="J28" s="44">
        <v>0.40536598327799822</v>
      </c>
      <c r="K28" s="45">
        <v>3136</v>
      </c>
      <c r="L28" s="45">
        <v>9</v>
      </c>
      <c r="M28" s="63">
        <v>0.01</v>
      </c>
      <c r="N28" s="64">
        <f t="shared" si="1"/>
        <v>0.127</v>
      </c>
    </row>
    <row r="29" spans="1:14" ht="15.75">
      <c r="A29" s="19">
        <v>31</v>
      </c>
      <c r="B29" s="17">
        <v>79.209999999999994</v>
      </c>
      <c r="C29" s="11">
        <v>2.6700000000000002E-2</v>
      </c>
      <c r="D29" s="11">
        <v>0.56000000000000005</v>
      </c>
      <c r="E29" s="20">
        <f t="shared" si="0"/>
        <v>5.6000000000000006E-4</v>
      </c>
      <c r="F29" s="12">
        <v>8.02725988386256E-2</v>
      </c>
      <c r="G29" s="12">
        <v>0.1605451976772512</v>
      </c>
      <c r="H29" s="12">
        <v>0.20068149709656399</v>
      </c>
      <c r="I29" s="12">
        <v>0.24081779651587679</v>
      </c>
      <c r="J29" s="44">
        <v>0.3210903953545024</v>
      </c>
      <c r="K29" s="45">
        <v>3948</v>
      </c>
      <c r="L29" s="45">
        <v>9</v>
      </c>
      <c r="M29" s="63">
        <v>8.8999999999999999E-3</v>
      </c>
      <c r="N29" s="64">
        <f t="shared" si="1"/>
        <v>0.11302999999999999</v>
      </c>
    </row>
    <row r="30" spans="1:14" ht="15.75">
      <c r="A30" s="19">
        <v>32</v>
      </c>
      <c r="B30" s="17">
        <v>64</v>
      </c>
      <c r="C30" s="11">
        <v>2.41E-2</v>
      </c>
      <c r="D30" s="11">
        <v>0.45600000000000002</v>
      </c>
      <c r="E30" s="20">
        <f t="shared" si="0"/>
        <v>4.5600000000000003E-4</v>
      </c>
      <c r="F30" s="12">
        <v>6.4858557324479732E-2</v>
      </c>
      <c r="G30" s="12">
        <v>0.12971711464895946</v>
      </c>
      <c r="H30" s="12">
        <v>0.16214639331119932</v>
      </c>
      <c r="I30" s="12">
        <v>0.19457567197343917</v>
      </c>
      <c r="J30" s="44">
        <v>0.25943422929791893</v>
      </c>
      <c r="K30" s="45">
        <v>4873</v>
      </c>
      <c r="L30" s="45">
        <v>9</v>
      </c>
      <c r="M30" s="63">
        <v>8.0000000000000002E-3</v>
      </c>
      <c r="N30" s="64">
        <f t="shared" si="1"/>
        <v>0.1016</v>
      </c>
    </row>
    <row r="31" spans="1:14" ht="15.75">
      <c r="A31" s="19">
        <v>33</v>
      </c>
      <c r="B31" s="17">
        <v>50.41</v>
      </c>
      <c r="C31" s="11">
        <v>2.1600000000000001E-2</v>
      </c>
      <c r="D31" s="11">
        <v>0.36599999999999999</v>
      </c>
      <c r="E31" s="20">
        <f t="shared" si="0"/>
        <v>3.6600000000000001E-4</v>
      </c>
      <c r="F31" s="12">
        <v>5.1086248042609729E-2</v>
      </c>
      <c r="G31" s="12">
        <v>0.10217249608521946</v>
      </c>
      <c r="H31" s="12">
        <v>0.12771562010652432</v>
      </c>
      <c r="I31" s="12">
        <v>0.15325874412782919</v>
      </c>
      <c r="J31" s="44">
        <v>0.20434499217043892</v>
      </c>
      <c r="K31" s="45">
        <v>6161</v>
      </c>
      <c r="L31" s="45">
        <v>9</v>
      </c>
      <c r="M31" s="63">
        <v>7.1000000000000004E-3</v>
      </c>
      <c r="N31" s="64">
        <f t="shared" si="1"/>
        <v>9.017E-2</v>
      </c>
    </row>
    <row r="32" spans="1:14" ht="15.75">
      <c r="A32" s="19">
        <v>34</v>
      </c>
      <c r="B32" s="17">
        <v>39.69</v>
      </c>
      <c r="C32" s="11">
        <v>1.9050000000000001E-2</v>
      </c>
      <c r="D32" s="11">
        <v>0.28499999999999998</v>
      </c>
      <c r="E32" s="20">
        <f t="shared" si="0"/>
        <v>2.8499999999999999E-4</v>
      </c>
      <c r="F32" s="12">
        <v>4.0222439690759358E-2</v>
      </c>
      <c r="G32" s="12">
        <v>8.0444879381518716E-2</v>
      </c>
      <c r="H32" s="12">
        <v>0.1005560992268984</v>
      </c>
      <c r="I32" s="12">
        <v>0.12066731907227808</v>
      </c>
      <c r="J32" s="44">
        <v>0.16088975876303743</v>
      </c>
      <c r="K32" s="45">
        <v>7837</v>
      </c>
      <c r="L32" s="45">
        <v>9</v>
      </c>
      <c r="M32" s="63">
        <v>6.3E-3</v>
      </c>
      <c r="N32" s="64">
        <f t="shared" si="1"/>
        <v>8.0009999999999998E-2</v>
      </c>
    </row>
    <row r="33" spans="1:14" ht="15.75">
      <c r="A33" s="19">
        <v>35</v>
      </c>
      <c r="B33" s="17">
        <v>31.36</v>
      </c>
      <c r="C33" s="11">
        <v>1.702E-2</v>
      </c>
      <c r="D33" s="11">
        <v>0.22800000000000001</v>
      </c>
      <c r="E33" s="20">
        <f t="shared" si="0"/>
        <v>2.2800000000000001E-4</v>
      </c>
      <c r="F33" s="12">
        <v>3.178069308899506E-2</v>
      </c>
      <c r="G33" s="12">
        <v>6.356138617799012E-2</v>
      </c>
      <c r="H33" s="12">
        <v>7.945173272248765E-2</v>
      </c>
      <c r="I33" s="12">
        <v>9.534207926698518E-2</v>
      </c>
      <c r="J33" s="44">
        <v>0.12712277235598024</v>
      </c>
      <c r="K33" s="45">
        <v>9891</v>
      </c>
      <c r="L33" s="45">
        <v>9</v>
      </c>
      <c r="M33" s="63">
        <v>5.5999999999999999E-3</v>
      </c>
      <c r="N33" s="64">
        <f t="shared" si="1"/>
        <v>7.1119999999999989E-2</v>
      </c>
    </row>
    <row r="34" spans="1:14" ht="15.75">
      <c r="A34" s="19">
        <v>36</v>
      </c>
      <c r="B34" s="17">
        <v>25</v>
      </c>
      <c r="C34" s="11">
        <v>1.524E-2</v>
      </c>
      <c r="D34" s="11">
        <v>0.182</v>
      </c>
      <c r="E34" s="20">
        <f t="shared" si="0"/>
        <v>1.8200000000000001E-4</v>
      </c>
      <c r="F34" s="12">
        <v>2.5335373954874889E-2</v>
      </c>
      <c r="G34" s="12">
        <v>5.0670747909749778E-2</v>
      </c>
      <c r="H34" s="12">
        <v>6.3338434887187225E-2</v>
      </c>
      <c r="I34" s="12">
        <v>7.6006121864624673E-2</v>
      </c>
      <c r="J34" s="44">
        <v>0.10134149581949956</v>
      </c>
      <c r="K34" s="45">
        <v>12380</v>
      </c>
      <c r="L34" s="45">
        <v>9</v>
      </c>
      <c r="M34" s="63">
        <v>5.0000000000000001E-3</v>
      </c>
      <c r="N34" s="64">
        <f t="shared" si="1"/>
        <v>6.3500000000000001E-2</v>
      </c>
    </row>
    <row r="35" spans="1:14" ht="15.75">
      <c r="A35" s="19">
        <v>37</v>
      </c>
      <c r="B35" s="17">
        <v>20.25</v>
      </c>
      <c r="C35" s="11">
        <v>1.397E-2</v>
      </c>
      <c r="D35" s="11">
        <v>0.153</v>
      </c>
      <c r="E35" s="20">
        <f t="shared" si="0"/>
        <v>1.5300000000000001E-4</v>
      </c>
      <c r="F35" s="12">
        <v>2.0521652903448654E-2</v>
      </c>
      <c r="G35" s="12">
        <v>4.1043305806897308E-2</v>
      </c>
      <c r="H35" s="12">
        <v>5.1304132258621633E-2</v>
      </c>
      <c r="I35" s="12">
        <v>6.1564958710345959E-2</v>
      </c>
      <c r="J35" s="44">
        <v>8.2086611613794616E-2</v>
      </c>
      <c r="K35" s="45">
        <v>15290</v>
      </c>
      <c r="L35" s="45">
        <v>9</v>
      </c>
      <c r="M35" s="63">
        <v>4.4999999999999997E-3</v>
      </c>
      <c r="N35" s="64">
        <f t="shared" si="1"/>
        <v>5.7149999999999992E-2</v>
      </c>
    </row>
    <row r="36" spans="1:14" ht="15.75">
      <c r="A36" s="19">
        <v>38</v>
      </c>
      <c r="B36" s="17">
        <v>16</v>
      </c>
      <c r="C36" s="11">
        <v>1.2449999999999999E-2</v>
      </c>
      <c r="D36" s="11">
        <v>0.122</v>
      </c>
      <c r="E36" s="20">
        <f t="shared" si="0"/>
        <v>1.22E-4</v>
      </c>
      <c r="F36" s="12">
        <v>1.6214639331119933E-2</v>
      </c>
      <c r="G36" s="12">
        <v>3.2429278662239866E-2</v>
      </c>
      <c r="H36" s="12">
        <v>4.0536598327799829E-2</v>
      </c>
      <c r="I36" s="12">
        <v>4.8643917993359792E-2</v>
      </c>
      <c r="J36" s="44">
        <v>6.4858557324479732E-2</v>
      </c>
      <c r="K36" s="45">
        <v>19360</v>
      </c>
      <c r="L36" s="45">
        <v>9</v>
      </c>
      <c r="M36" s="63">
        <v>4.0000000000000001E-3</v>
      </c>
      <c r="N36" s="64">
        <f t="shared" si="1"/>
        <v>5.0799999999999998E-2</v>
      </c>
    </row>
    <row r="37" spans="1:14" ht="15.75">
      <c r="A37" s="19">
        <v>39</v>
      </c>
      <c r="B37" s="17">
        <v>12.25</v>
      </c>
      <c r="C37" s="11">
        <v>1.0919999999999999E-2</v>
      </c>
      <c r="D37" s="11">
        <v>9.4E-2</v>
      </c>
      <c r="E37" s="20">
        <f t="shared" si="0"/>
        <v>9.4000000000000008E-5</v>
      </c>
      <c r="F37" s="12">
        <v>1.2414333237888694E-2</v>
      </c>
      <c r="G37" s="12">
        <v>2.4828666475777389E-2</v>
      </c>
      <c r="H37" s="12">
        <v>3.103583309472174E-2</v>
      </c>
      <c r="I37" s="12">
        <v>3.7242999713666083E-2</v>
      </c>
      <c r="J37" s="44">
        <v>4.9657332951554778E-2</v>
      </c>
      <c r="K37" s="45">
        <v>25270</v>
      </c>
      <c r="L37" s="45">
        <v>9</v>
      </c>
      <c r="M37" s="63">
        <v>3.5000000000000001E-3</v>
      </c>
      <c r="N37" s="64">
        <f t="shared" si="1"/>
        <v>4.4449999999999996E-2</v>
      </c>
    </row>
    <row r="38" spans="1:14" ht="15.75">
      <c r="A38" s="19">
        <v>40</v>
      </c>
      <c r="B38" s="17">
        <v>9.61</v>
      </c>
      <c r="C38" s="11">
        <v>9.6500000000000006E-3</v>
      </c>
      <c r="D38" s="11">
        <v>7.2999999999999995E-2</v>
      </c>
      <c r="E38" s="20">
        <f t="shared" si="0"/>
        <v>7.2999999999999999E-5</v>
      </c>
      <c r="F38" s="12">
        <v>9.7389177482539047E-3</v>
      </c>
      <c r="G38" s="12">
        <v>1.9477835496507809E-2</v>
      </c>
      <c r="H38" s="12">
        <v>2.4347294370634761E-2</v>
      </c>
      <c r="I38" s="12">
        <v>2.9216753244761712E-2</v>
      </c>
      <c r="J38" s="44">
        <v>3.8955670993015619E-2</v>
      </c>
      <c r="K38" s="45">
        <v>31940</v>
      </c>
      <c r="L38" s="45">
        <v>9</v>
      </c>
      <c r="M38" s="63">
        <v>3.0999999999999999E-3</v>
      </c>
      <c r="N38" s="64">
        <f t="shared" si="1"/>
        <v>3.9369999999999995E-2</v>
      </c>
    </row>
    <row r="39" spans="1:14" ht="15.75">
      <c r="A39" s="19">
        <v>41</v>
      </c>
      <c r="B39" s="17">
        <v>7.84</v>
      </c>
      <c r="C39" s="11">
        <v>8.6400000000000001E-3</v>
      </c>
      <c r="D39" s="11">
        <v>5.8999999999999997E-2</v>
      </c>
      <c r="E39" s="20">
        <f t="shared" si="0"/>
        <v>5.8999999999999998E-5</v>
      </c>
      <c r="F39" s="12">
        <v>7.945173272248765E-3</v>
      </c>
      <c r="G39" s="12">
        <v>1.589034654449753E-2</v>
      </c>
      <c r="H39" s="12">
        <v>1.9862933180621913E-2</v>
      </c>
      <c r="I39" s="12">
        <v>2.3835519816746295E-2</v>
      </c>
      <c r="J39" s="44">
        <v>3.178069308899506E-2</v>
      </c>
      <c r="K39" s="45">
        <v>39340</v>
      </c>
      <c r="L39" s="45">
        <v>9</v>
      </c>
      <c r="M39" s="63">
        <v>2.8E-3</v>
      </c>
      <c r="N39" s="64">
        <f t="shared" si="1"/>
        <v>3.5559999999999994E-2</v>
      </c>
    </row>
    <row r="40" spans="1:14" ht="15.75">
      <c r="A40" s="19">
        <v>42</v>
      </c>
      <c r="B40" s="17">
        <v>6.25</v>
      </c>
      <c r="C40" s="11">
        <v>7.62E-3</v>
      </c>
      <c r="D40" s="11">
        <v>4.5999999999999999E-2</v>
      </c>
      <c r="E40" s="20">
        <f t="shared" si="0"/>
        <v>4.6E-5</v>
      </c>
      <c r="F40" s="12">
        <v>6.3338434887187222E-3</v>
      </c>
      <c r="G40" s="12">
        <v>1.2667686977437444E-2</v>
      </c>
      <c r="H40" s="12">
        <v>1.5834608721796806E-2</v>
      </c>
      <c r="I40" s="12">
        <v>1.9001530466156168E-2</v>
      </c>
      <c r="J40" s="44">
        <v>2.5335373954874889E-2</v>
      </c>
      <c r="K40" s="45">
        <v>49600</v>
      </c>
      <c r="L40" s="45">
        <v>9</v>
      </c>
      <c r="M40" s="63">
        <v>2.5000000000000001E-3</v>
      </c>
      <c r="N40" s="64">
        <f t="shared" si="1"/>
        <v>3.175E-2</v>
      </c>
    </row>
    <row r="41" spans="1:14" ht="15.75">
      <c r="A41" s="19">
        <v>43</v>
      </c>
      <c r="B41" s="17">
        <v>4.84</v>
      </c>
      <c r="C41" s="11">
        <v>6.8599999999999998E-3</v>
      </c>
      <c r="D41" s="11">
        <v>3.6999999999999998E-2</v>
      </c>
      <c r="E41" s="20">
        <f t="shared" si="0"/>
        <v>3.6999999999999998E-5</v>
      </c>
      <c r="F41" s="12">
        <v>4.904928397663778E-3</v>
      </c>
      <c r="G41" s="12">
        <v>9.809856795327556E-3</v>
      </c>
      <c r="H41" s="12">
        <v>1.2262320994159446E-2</v>
      </c>
      <c r="I41" s="12">
        <v>1.4714785192991334E-2</v>
      </c>
      <c r="J41" s="44">
        <v>1.9619713590655112E-2</v>
      </c>
      <c r="K41" s="45">
        <v>63170</v>
      </c>
      <c r="L41" s="45">
        <v>9</v>
      </c>
      <c r="M41" s="63">
        <v>2.2000000000000001E-3</v>
      </c>
      <c r="N41" s="64">
        <f t="shared" si="1"/>
        <v>2.794E-2</v>
      </c>
    </row>
    <row r="42" spans="1:14" ht="15.75">
      <c r="A42" s="19">
        <v>44</v>
      </c>
      <c r="B42" s="17">
        <v>4</v>
      </c>
      <c r="C42" s="11">
        <v>6.3499999999999997E-3</v>
      </c>
      <c r="D42" s="11">
        <v>3.2000000000000001E-2</v>
      </c>
      <c r="E42" s="20">
        <f t="shared" si="0"/>
        <v>3.1999999999999999E-5</v>
      </c>
      <c r="F42" s="12">
        <v>4.0536598327799832E-3</v>
      </c>
      <c r="G42" s="12">
        <v>8.1073196655599665E-3</v>
      </c>
      <c r="H42" s="12">
        <v>1.0134149581949957E-2</v>
      </c>
      <c r="I42" s="12">
        <v>1.2160979498339948E-2</v>
      </c>
      <c r="J42" s="44">
        <v>1.6214639331119933E-2</v>
      </c>
      <c r="K42" s="45">
        <v>76160</v>
      </c>
      <c r="L42" s="45">
        <v>9</v>
      </c>
      <c r="M42" s="63">
        <v>2E-3</v>
      </c>
      <c r="N42" s="64">
        <f t="shared" si="1"/>
        <v>2.5399999999999999E-2</v>
      </c>
    </row>
    <row r="43" spans="1:14" ht="15.75">
      <c r="A43" s="19">
        <v>45</v>
      </c>
      <c r="B43" s="17">
        <v>3.1</v>
      </c>
      <c r="C43" s="11">
        <v>5.4599999999999996E-3</v>
      </c>
      <c r="D43" s="11">
        <v>2.3E-2</v>
      </c>
      <c r="E43" s="20">
        <f t="shared" si="0"/>
        <v>2.3E-5</v>
      </c>
      <c r="F43" s="12">
        <v>3.1391541745048185E-3</v>
      </c>
      <c r="G43" s="12">
        <v>6.278308349009637E-3</v>
      </c>
      <c r="H43" s="12">
        <v>7.8478854362620462E-3</v>
      </c>
      <c r="I43" s="12">
        <v>9.4174625235144555E-3</v>
      </c>
      <c r="J43" s="44">
        <v>1.2556616698019274E-2</v>
      </c>
      <c r="K43" s="45">
        <v>99110</v>
      </c>
      <c r="L43" s="45">
        <v>9</v>
      </c>
      <c r="M43" s="63">
        <v>1.7600000000000001E-3</v>
      </c>
      <c r="N43" s="64">
        <f t="shared" si="1"/>
        <v>2.2352E-2</v>
      </c>
    </row>
    <row r="44" spans="1:14" ht="15.75">
      <c r="A44" s="19">
        <v>46</v>
      </c>
      <c r="B44" s="17">
        <v>2.4700000000000002</v>
      </c>
      <c r="C44" s="11">
        <v>4.9800000000000001E-3</v>
      </c>
      <c r="D44" s="11">
        <v>1.9E-2</v>
      </c>
      <c r="E44" s="20">
        <f t="shared" si="0"/>
        <v>1.9000000000000001E-5</v>
      </c>
      <c r="F44" s="12">
        <v>2.497966530454844E-3</v>
      </c>
      <c r="G44" s="12">
        <v>4.995933060909688E-3</v>
      </c>
      <c r="H44" s="12">
        <v>6.24491632613711E-3</v>
      </c>
      <c r="I44" s="12">
        <v>7.493899591364532E-3</v>
      </c>
      <c r="J44" s="44">
        <v>9.9918661218193761E-3</v>
      </c>
      <c r="K44" s="45">
        <v>123800</v>
      </c>
      <c r="L44" s="45">
        <v>9</v>
      </c>
      <c r="M44" s="63">
        <v>1.57E-3</v>
      </c>
      <c r="N44" s="64">
        <f t="shared" si="1"/>
        <v>1.9938999999999998E-2</v>
      </c>
    </row>
    <row r="45" spans="1:14" ht="15.75">
      <c r="A45" s="19">
        <v>47</v>
      </c>
      <c r="B45" s="17">
        <v>1.96</v>
      </c>
      <c r="C45" s="11">
        <v>4.5199999999999997E-3</v>
      </c>
      <c r="D45" s="11">
        <v>1.6E-2</v>
      </c>
      <c r="E45" s="20">
        <f t="shared" si="0"/>
        <v>1.5999999999999999E-5</v>
      </c>
      <c r="F45" s="12">
        <v>1.9862933180621913E-3</v>
      </c>
      <c r="G45" s="12">
        <v>3.9725866361243825E-3</v>
      </c>
      <c r="H45" s="12">
        <v>4.9657332951554781E-3</v>
      </c>
      <c r="I45" s="12">
        <v>5.9588799541865738E-3</v>
      </c>
      <c r="J45" s="44">
        <v>7.945173272248765E-3</v>
      </c>
      <c r="K45" s="45">
        <v>154600</v>
      </c>
      <c r="L45" s="45">
        <v>9</v>
      </c>
      <c r="M45" s="63">
        <v>1.4E-3</v>
      </c>
      <c r="N45" s="64">
        <f t="shared" si="1"/>
        <v>1.7779999999999997E-2</v>
      </c>
    </row>
    <row r="46" spans="1:14" ht="15.75">
      <c r="A46" s="19">
        <v>48</v>
      </c>
      <c r="B46" s="17">
        <v>1.54</v>
      </c>
      <c r="C46" s="11">
        <v>3.9399999999999999E-3</v>
      </c>
      <c r="D46" s="11">
        <v>1.2E-2</v>
      </c>
      <c r="E46" s="20">
        <f t="shared" si="0"/>
        <v>1.2E-5</v>
      </c>
      <c r="F46" s="12">
        <v>1.5582268397206253E-3</v>
      </c>
      <c r="G46" s="12">
        <v>3.1164536794412506E-3</v>
      </c>
      <c r="H46" s="12">
        <v>3.895567099301563E-3</v>
      </c>
      <c r="I46" s="12">
        <v>4.6746805191618754E-3</v>
      </c>
      <c r="J46" s="44">
        <v>6.2329073588825012E-3</v>
      </c>
      <c r="K46" s="45">
        <v>196600</v>
      </c>
      <c r="L46" s="45">
        <v>9</v>
      </c>
      <c r="M46" s="63">
        <v>1.24E-3</v>
      </c>
      <c r="N46" s="64">
        <f t="shared" si="1"/>
        <v>1.5747999999999998E-2</v>
      </c>
    </row>
    <row r="47" spans="1:14" ht="15.75">
      <c r="A47" s="19">
        <v>49</v>
      </c>
      <c r="B47" s="17">
        <v>1.23</v>
      </c>
      <c r="C47" s="11">
        <v>3.5300000000000002E-3</v>
      </c>
      <c r="D47" s="11">
        <v>0.01</v>
      </c>
      <c r="E47" s="20">
        <f t="shared" si="0"/>
        <v>1.0000000000000001E-5</v>
      </c>
      <c r="F47" s="12">
        <v>1.24862856999205E-3</v>
      </c>
      <c r="G47" s="12">
        <v>2.4972571399841078E-3</v>
      </c>
      <c r="H47" s="12">
        <v>3.1215714249801349E-3</v>
      </c>
      <c r="I47" s="12">
        <v>3.7458857099761616E-3</v>
      </c>
      <c r="J47" s="44">
        <v>4.9945142799682155E-3</v>
      </c>
      <c r="K47" s="45">
        <v>247500</v>
      </c>
      <c r="L47" s="45">
        <v>9</v>
      </c>
      <c r="M47" s="63">
        <v>1.1100000000000001E-3</v>
      </c>
      <c r="N47" s="64">
        <f t="shared" si="1"/>
        <v>1.4097E-2</v>
      </c>
    </row>
  </sheetData>
  <mergeCells count="1">
    <mergeCell ref="F2:J2"/>
  </mergeCells>
  <pageMargins left="0.7" right="0.7" top="0.75" bottom="0.75" header="0.3" footer="0.3"/>
  <pageSetup orientation="portrait" r:id="rId1"/>
  <ignoredErrors>
    <ignoredError sqref="E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7"/>
  <sheetViews>
    <sheetView workbookViewId="0">
      <selection activeCell="D16" sqref="D16"/>
    </sheetView>
  </sheetViews>
  <sheetFormatPr defaultRowHeight="15"/>
  <sheetData>
    <row r="1" spans="1:12">
      <c r="A1" s="25" t="s">
        <v>845</v>
      </c>
      <c r="B1" s="26">
        <v>0</v>
      </c>
      <c r="C1" s="27">
        <v>4.0000000000000001E-3</v>
      </c>
      <c r="D1" s="25" t="s">
        <v>846</v>
      </c>
      <c r="E1" s="25" t="s">
        <v>847</v>
      </c>
      <c r="F1" s="25" t="s">
        <v>807</v>
      </c>
      <c r="G1" s="25" t="s">
        <v>808</v>
      </c>
      <c r="H1" s="25" t="s">
        <v>809</v>
      </c>
    </row>
    <row r="2" spans="1:12">
      <c r="A2" s="60">
        <v>140</v>
      </c>
      <c r="B2" s="24">
        <v>48.4</v>
      </c>
      <c r="C2" s="24">
        <v>65.2</v>
      </c>
      <c r="D2" s="24">
        <f>SLOPE(B2:C2,$B$1:$C$1)</f>
        <v>4200.0000000000018</v>
      </c>
      <c r="E2" s="24">
        <f>INTERCEPT(B2:C2,$B$1:$C$1)</f>
        <v>48.399999999999991</v>
      </c>
      <c r="F2" s="22">
        <f>D2*(0.01*'Toroid Design'!$Q$18)+'Surface Area'!E2</f>
        <v>80.513846153846146</v>
      </c>
      <c r="G2" s="22">
        <f>D2*(0.01*'Toroid Design'!$V$18)+'Surface Area'!E2</f>
        <v>358.15704697986592</v>
      </c>
      <c r="H2" s="22">
        <f>D2*(0.01*'Toroid Design'!$AA$18)+'Surface Area'!E2</f>
        <v>48.399999999999991</v>
      </c>
    </row>
    <row r="3" spans="1:12">
      <c r="A3" s="60">
        <v>150</v>
      </c>
      <c r="B3" s="24">
        <v>76.099999999999994</v>
      </c>
      <c r="C3" s="24">
        <v>120</v>
      </c>
      <c r="D3" s="24">
        <f t="shared" ref="D3:D37" si="0">SLOPE(B3:C3,$B$1:$C$1)</f>
        <v>10975.000000000002</v>
      </c>
      <c r="E3" s="24">
        <f t="shared" ref="E3:E37" si="1">INTERCEPT(B3:C3,$B$1:$C$1)</f>
        <v>76.099999999999994</v>
      </c>
      <c r="F3" s="22">
        <f>D3*(0.01*'Toroid Design'!$Q$18)+'Surface Area'!E3</f>
        <v>160.01653846153846</v>
      </c>
      <c r="G3" s="22">
        <f>D3*(0.01*'Toroid Design'!$V$18)+'Surface Area'!E3</f>
        <v>885.52466442953039</v>
      </c>
      <c r="H3" s="22">
        <f>D3*(0.01*'Toroid Design'!$AA$18)+'Surface Area'!E3</f>
        <v>76.099999999999994</v>
      </c>
    </row>
    <row r="4" spans="1:12">
      <c r="A4" s="60">
        <v>180</v>
      </c>
      <c r="B4" s="24">
        <v>111</v>
      </c>
      <c r="C4" s="24">
        <v>150</v>
      </c>
      <c r="D4" s="24">
        <f t="shared" si="0"/>
        <v>9750</v>
      </c>
      <c r="E4" s="24">
        <f t="shared" si="1"/>
        <v>111</v>
      </c>
      <c r="F4" s="22">
        <f>D4*(0.01*'Toroid Design'!$Q$18)+'Surface Area'!E4</f>
        <v>185.54999999999998</v>
      </c>
      <c r="G4" s="22">
        <f>D4*(0.01*'Toroid Design'!$V$18)+'Surface Area'!E4</f>
        <v>830.07885906040269</v>
      </c>
      <c r="H4" s="22">
        <f>D4*(0.01*'Toroid Design'!$AA$18)+'Surface Area'!E4</f>
        <v>111</v>
      </c>
    </row>
    <row r="5" spans="1:12">
      <c r="A5" s="61">
        <v>20</v>
      </c>
      <c r="B5" s="24">
        <v>168</v>
      </c>
      <c r="C5" s="24">
        <v>220</v>
      </c>
      <c r="D5" s="24">
        <f t="shared" si="0"/>
        <v>13000.000000000002</v>
      </c>
      <c r="E5" s="24">
        <f t="shared" si="1"/>
        <v>168</v>
      </c>
      <c r="F5" s="22">
        <f>D5*(0.01*'Toroid Design'!$Q$18)+'Surface Area'!E5</f>
        <v>267.39999999999998</v>
      </c>
      <c r="G5" s="22">
        <f>D5*(0.01*'Toroid Design'!$V$18)+'Surface Area'!E5</f>
        <v>1126.7718120805371</v>
      </c>
      <c r="H5" s="22">
        <f>D5*(0.01*'Toroid Design'!$AA$18)+'Surface Area'!E5</f>
        <v>168</v>
      </c>
      <c r="L5" t="s">
        <v>852</v>
      </c>
    </row>
    <row r="6" spans="1:12">
      <c r="A6" s="60">
        <v>240</v>
      </c>
      <c r="B6" s="24">
        <v>170</v>
      </c>
      <c r="C6" s="24">
        <v>230</v>
      </c>
      <c r="D6" s="24">
        <f t="shared" si="0"/>
        <v>15000</v>
      </c>
      <c r="E6" s="24">
        <f t="shared" si="1"/>
        <v>170</v>
      </c>
      <c r="F6" s="22">
        <f>D6*(0.01*'Toroid Design'!$Q$18)+'Surface Area'!E6</f>
        <v>284.69230769230768</v>
      </c>
      <c r="G6" s="22">
        <f>D6*(0.01*'Toroid Design'!$V$18)+'Surface Area'!E6</f>
        <v>1276.275167785235</v>
      </c>
      <c r="H6" s="22">
        <f>D6*(0.01*'Toroid Design'!$AA$18)+'Surface Area'!E6</f>
        <v>170</v>
      </c>
    </row>
    <row r="7" spans="1:12">
      <c r="A7" s="60">
        <v>270</v>
      </c>
      <c r="B7" s="24">
        <v>242</v>
      </c>
      <c r="C7" s="24">
        <v>290</v>
      </c>
      <c r="D7" s="24">
        <f t="shared" si="0"/>
        <v>12000</v>
      </c>
      <c r="E7" s="24">
        <f t="shared" si="1"/>
        <v>242</v>
      </c>
      <c r="F7" s="22">
        <f>D7*(0.01*'Toroid Design'!$Q$18)+'Surface Area'!E7</f>
        <v>333.75384615384615</v>
      </c>
      <c r="G7" s="22">
        <f>D7*(0.01*'Toroid Design'!$V$18)+'Surface Area'!E7</f>
        <v>1127.020134228188</v>
      </c>
      <c r="H7" s="22">
        <f>D7*(0.01*'Toroid Design'!$AA$18)+'Surface Area'!E7</f>
        <v>242</v>
      </c>
    </row>
    <row r="8" spans="1:12">
      <c r="A8" s="60">
        <v>410</v>
      </c>
      <c r="B8" s="24">
        <v>270</v>
      </c>
      <c r="C8" s="24">
        <v>320</v>
      </c>
      <c r="D8" s="24">
        <f t="shared" si="0"/>
        <v>12500.000000000002</v>
      </c>
      <c r="E8" s="24">
        <f t="shared" si="1"/>
        <v>270</v>
      </c>
      <c r="F8" s="22">
        <f>D8*(0.01*'Toroid Design'!$Q$18)+'Surface Area'!E8</f>
        <v>365.57692307692309</v>
      </c>
      <c r="G8" s="22">
        <f>D8*(0.01*'Toroid Design'!$V$18)+'Surface Area'!E8</f>
        <v>1191.8959731543628</v>
      </c>
      <c r="H8" s="22">
        <f>D8*(0.01*'Toroid Design'!$AA$18)+'Surface Area'!E8</f>
        <v>270</v>
      </c>
    </row>
    <row r="9" spans="1:12">
      <c r="A9" s="61">
        <v>30</v>
      </c>
      <c r="B9" s="24">
        <v>238</v>
      </c>
      <c r="C9" s="24">
        <v>320</v>
      </c>
      <c r="D9" s="24">
        <f t="shared" si="0"/>
        <v>20500</v>
      </c>
      <c r="E9" s="24">
        <f t="shared" si="1"/>
        <v>238</v>
      </c>
      <c r="F9" s="22">
        <f>D9*(0.01*'Toroid Design'!$Q$18)+'Surface Area'!E9</f>
        <v>394.74615384615379</v>
      </c>
      <c r="G9" s="22">
        <f>D9*(0.01*'Toroid Design'!$V$18)+'Surface Area'!E9</f>
        <v>1749.9093959731545</v>
      </c>
      <c r="H9" s="22">
        <f>D9*(0.01*'Toroid Design'!$AA$18)+'Surface Area'!E9</f>
        <v>238</v>
      </c>
    </row>
    <row r="10" spans="1:12">
      <c r="A10" s="60">
        <v>280</v>
      </c>
      <c r="B10" s="24">
        <v>312</v>
      </c>
      <c r="C10" s="24">
        <v>440</v>
      </c>
      <c r="D10" s="24">
        <f t="shared" si="0"/>
        <v>32000.000000000004</v>
      </c>
      <c r="E10" s="24">
        <f t="shared" si="1"/>
        <v>312</v>
      </c>
      <c r="F10" s="22">
        <f>D10*(0.01*'Toroid Design'!$Q$18)+'Surface Area'!E10</f>
        <v>556.676923076923</v>
      </c>
      <c r="G10" s="22">
        <f>D10*(0.01*'Toroid Design'!$V$18)+'Surface Area'!E10</f>
        <v>2672.0536912751681</v>
      </c>
      <c r="H10" s="22">
        <f>D10*(0.01*'Toroid Design'!$AA$18)+'Surface Area'!E10</f>
        <v>312</v>
      </c>
    </row>
    <row r="11" spans="1:12">
      <c r="A11" s="60">
        <v>290</v>
      </c>
      <c r="B11" s="24">
        <v>346</v>
      </c>
      <c r="C11" s="24">
        <v>470</v>
      </c>
      <c r="D11" s="24">
        <f t="shared" si="0"/>
        <v>31000</v>
      </c>
      <c r="E11" s="24">
        <f t="shared" si="1"/>
        <v>346</v>
      </c>
      <c r="F11" s="22">
        <f>D11*(0.01*'Toroid Design'!$Q$18)+'Surface Area'!E11</f>
        <v>583.03076923076924</v>
      </c>
      <c r="G11" s="22">
        <f>D11*(0.01*'Toroid Design'!$V$18)+'Surface Area'!E11</f>
        <v>2632.3020134228191</v>
      </c>
      <c r="H11" s="22">
        <f>D11*(0.01*'Toroid Design'!$AA$18)+'Surface Area'!E11</f>
        <v>346</v>
      </c>
    </row>
    <row r="12" spans="1:12">
      <c r="A12" s="61">
        <v>40</v>
      </c>
      <c r="B12" s="24">
        <v>370</v>
      </c>
      <c r="C12" s="24">
        <v>510</v>
      </c>
      <c r="D12" s="24">
        <f t="shared" si="0"/>
        <v>35000.000000000007</v>
      </c>
      <c r="E12" s="24">
        <f t="shared" si="1"/>
        <v>370</v>
      </c>
      <c r="F12" s="22">
        <f>D12*(0.01*'Toroid Design'!$Q$18)+'Surface Area'!E12</f>
        <v>637.61538461538464</v>
      </c>
      <c r="G12" s="22">
        <f>D12*(0.01*'Toroid Design'!$V$18)+'Surface Area'!E12</f>
        <v>2951.3087248322154</v>
      </c>
      <c r="H12" s="22">
        <f>D12*(0.01*'Toroid Design'!$AA$18)+'Surface Area'!E12</f>
        <v>370</v>
      </c>
    </row>
    <row r="13" spans="1:12">
      <c r="A13" s="60">
        <v>130</v>
      </c>
      <c r="B13" s="24">
        <v>431</v>
      </c>
      <c r="C13" s="24">
        <v>604</v>
      </c>
      <c r="D13" s="24">
        <f t="shared" si="0"/>
        <v>43250.000000000007</v>
      </c>
      <c r="E13" s="24">
        <f t="shared" si="1"/>
        <v>431</v>
      </c>
      <c r="F13" s="22">
        <f>D13*(0.01*'Toroid Design'!$Q$18)+'Surface Area'!E13</f>
        <v>761.69615384615383</v>
      </c>
      <c r="G13" s="22">
        <f>D13*(0.01*'Toroid Design'!$V$18)+'Surface Area'!E13</f>
        <v>3620.7600671140949</v>
      </c>
      <c r="H13" s="22">
        <f>D13*(0.01*'Toroid Design'!$AA$18)+'Surface Area'!E13</f>
        <v>431</v>
      </c>
    </row>
    <row r="14" spans="1:12">
      <c r="A14" s="61">
        <v>50</v>
      </c>
      <c r="B14" s="24">
        <v>561</v>
      </c>
      <c r="C14" s="24">
        <v>813</v>
      </c>
      <c r="D14" s="24">
        <f t="shared" si="0"/>
        <v>63000</v>
      </c>
      <c r="E14" s="24">
        <f t="shared" si="1"/>
        <v>561</v>
      </c>
      <c r="F14" s="22">
        <f>D14*(0.01*'Toroid Design'!$Q$18)+'Surface Area'!E14</f>
        <v>1042.7076923076922</v>
      </c>
      <c r="G14" s="22">
        <f>D14*(0.01*'Toroid Design'!$V$18)+'Surface Area'!E14</f>
        <v>5207.3557046979868</v>
      </c>
      <c r="H14" s="22">
        <f>D14*(0.01*'Toroid Design'!$AA$18)+'Surface Area'!E14</f>
        <v>561</v>
      </c>
    </row>
    <row r="15" spans="1:12">
      <c r="A15" s="60">
        <v>120</v>
      </c>
      <c r="B15" s="24">
        <v>922</v>
      </c>
      <c r="C15" s="24">
        <v>1360</v>
      </c>
      <c r="D15" s="24">
        <f t="shared" si="0"/>
        <v>109500</v>
      </c>
      <c r="E15" s="24">
        <f t="shared" si="1"/>
        <v>922</v>
      </c>
      <c r="F15" s="22">
        <f>D15*(0.01*'Toroid Design'!$Q$18)+'Surface Area'!E15</f>
        <v>1759.2538461538461</v>
      </c>
      <c r="G15" s="22">
        <f>D15*(0.01*'Toroid Design'!$V$18)+'Surface Area'!E15</f>
        <v>8997.8087248322154</v>
      </c>
      <c r="H15" s="22">
        <f>D15*(0.01*'Toroid Design'!$AA$18)+'Surface Area'!E15</f>
        <v>922</v>
      </c>
    </row>
    <row r="16" spans="1:12">
      <c r="A16" s="60">
        <v>380</v>
      </c>
      <c r="B16" s="24">
        <v>987</v>
      </c>
      <c r="C16" s="24">
        <v>1470</v>
      </c>
      <c r="D16" s="24">
        <f t="shared" si="0"/>
        <v>120750</v>
      </c>
      <c r="E16" s="24">
        <f t="shared" si="1"/>
        <v>987</v>
      </c>
      <c r="F16" s="22">
        <f>D16*(0.01*'Toroid Design'!$Q$18)+'Surface Area'!E16</f>
        <v>1910.2730769230768</v>
      </c>
      <c r="G16" s="22">
        <f>D16*(0.01*'Toroid Design'!$V$18)+'Surface Area'!E16</f>
        <v>9892.5151006711421</v>
      </c>
      <c r="H16" s="22">
        <f>D16*(0.01*'Toroid Design'!$AA$18)+'Surface Area'!E16</f>
        <v>987</v>
      </c>
    </row>
    <row r="17" spans="1:8">
      <c r="A17" s="60">
        <v>206</v>
      </c>
      <c r="B17" s="24">
        <v>1210</v>
      </c>
      <c r="C17" s="24">
        <v>1890</v>
      </c>
      <c r="D17" s="24">
        <f t="shared" si="0"/>
        <v>170000.00000000003</v>
      </c>
      <c r="E17" s="24">
        <f t="shared" si="1"/>
        <v>1210</v>
      </c>
      <c r="F17" s="22">
        <f>D17*(0.01*'Toroid Design'!$Q$18)+'Surface Area'!E17</f>
        <v>2509.8461538461538</v>
      </c>
      <c r="G17" s="22">
        <f>D17*(0.01*'Toroid Design'!$V$18)+'Surface Area'!E17</f>
        <v>13747.785234899331</v>
      </c>
      <c r="H17" s="22">
        <f>D17*(0.01*'Toroid Design'!$AA$18)+'Surface Area'!E17</f>
        <v>1210</v>
      </c>
    </row>
    <row r="18" spans="1:8">
      <c r="A18" s="60">
        <v>310</v>
      </c>
      <c r="B18" s="24">
        <v>1570</v>
      </c>
      <c r="C18" s="24">
        <v>2380</v>
      </c>
      <c r="D18" s="24">
        <f t="shared" si="0"/>
        <v>202500.00000000003</v>
      </c>
      <c r="E18" s="24">
        <f t="shared" si="1"/>
        <v>1570</v>
      </c>
      <c r="F18" s="22">
        <f>D18*(0.01*'Toroid Design'!$Q$18)+'Surface Area'!E18</f>
        <v>3118.3461538461538</v>
      </c>
      <c r="G18" s="22">
        <f>D18*(0.01*'Toroid Design'!$V$18)+'Surface Area'!E18</f>
        <v>16504.714765100674</v>
      </c>
      <c r="H18" s="22">
        <f>D18*(0.01*'Toroid Design'!$AA$18)+'Surface Area'!E18</f>
        <v>1570</v>
      </c>
    </row>
    <row r="19" spans="1:8">
      <c r="A19" s="60">
        <v>350</v>
      </c>
      <c r="B19" s="24">
        <v>1790</v>
      </c>
      <c r="C19" s="24">
        <v>2630</v>
      </c>
      <c r="D19" s="24">
        <f t="shared" si="0"/>
        <v>210000</v>
      </c>
      <c r="E19" s="24">
        <f t="shared" si="1"/>
        <v>1790</v>
      </c>
      <c r="F19" s="22">
        <f>D19*(0.01*'Toroid Design'!$Q$18)+'Surface Area'!E19</f>
        <v>3395.6923076923076</v>
      </c>
      <c r="G19" s="22">
        <f>D19*(0.01*'Toroid Design'!$V$18)+'Surface Area'!E19</f>
        <v>17277.852348993292</v>
      </c>
      <c r="H19" s="22">
        <f>D19*(0.01*'Toroid Design'!$AA$18)+'Surface Area'!E19</f>
        <v>1790</v>
      </c>
    </row>
    <row r="20" spans="1:8">
      <c r="A20" s="60">
        <v>930</v>
      </c>
      <c r="B20" s="24">
        <v>2470</v>
      </c>
      <c r="C20" s="24">
        <v>3380</v>
      </c>
      <c r="D20" s="24">
        <f t="shared" si="0"/>
        <v>227500.00000000003</v>
      </c>
      <c r="E20" s="24">
        <f t="shared" si="1"/>
        <v>2470</v>
      </c>
      <c r="F20" s="22">
        <f>D20*(0.01*'Toroid Design'!$Q$18)+'Surface Area'!E20</f>
        <v>4209.5</v>
      </c>
      <c r="G20" s="22">
        <f>D20*(0.01*'Toroid Design'!$V$18)+'Surface Area'!E20</f>
        <v>19248.506711409398</v>
      </c>
      <c r="H20" s="22">
        <f>D20*(0.01*'Toroid Design'!$AA$18)+'Surface Area'!E20</f>
        <v>2470</v>
      </c>
    </row>
    <row r="21" spans="1:8">
      <c r="A21" s="60">
        <v>548</v>
      </c>
      <c r="B21" s="24">
        <v>3150</v>
      </c>
      <c r="C21" s="24">
        <v>4800</v>
      </c>
      <c r="D21" s="24">
        <f t="shared" si="0"/>
        <v>412500.00000000006</v>
      </c>
      <c r="E21" s="24">
        <f t="shared" si="1"/>
        <v>3150</v>
      </c>
      <c r="F21" s="22">
        <f>D21*(0.01*'Toroid Design'!$Q$18)+'Surface Area'!E21</f>
        <v>6304.038461538461</v>
      </c>
      <c r="G21" s="22">
        <f>D21*(0.01*'Toroid Design'!$V$18)+'Surface Area'!E21</f>
        <v>33572.567114093967</v>
      </c>
      <c r="H21" s="22">
        <f>D21*(0.01*'Toroid Design'!$AA$18)+'Surface Area'!E21</f>
        <v>3150</v>
      </c>
    </row>
    <row r="22" spans="1:8">
      <c r="A22" s="60">
        <v>585</v>
      </c>
      <c r="B22" s="24">
        <v>2930</v>
      </c>
      <c r="C22" s="24">
        <v>5130</v>
      </c>
      <c r="D22" s="24">
        <f t="shared" si="0"/>
        <v>550000.00000000012</v>
      </c>
      <c r="E22" s="24">
        <f t="shared" si="1"/>
        <v>2930</v>
      </c>
      <c r="F22" s="22">
        <f>D22*(0.01*'Toroid Design'!$Q$18)+'Surface Area'!E22</f>
        <v>7135.3846153846152</v>
      </c>
      <c r="G22" s="22">
        <f>D22*(0.01*'Toroid Design'!$V$18)+'Surface Area'!E22</f>
        <v>43493.422818791958</v>
      </c>
      <c r="H22" s="22">
        <f>D22*(0.01*'Toroid Design'!$AA$18)+'Surface Area'!E22</f>
        <v>2930</v>
      </c>
    </row>
    <row r="23" spans="1:8">
      <c r="A23" s="60">
        <v>324</v>
      </c>
      <c r="B23" s="24">
        <v>3450</v>
      </c>
      <c r="C23" s="24">
        <v>5510</v>
      </c>
      <c r="D23" s="24">
        <f t="shared" si="0"/>
        <v>515000.00000000006</v>
      </c>
      <c r="E23" s="24">
        <f t="shared" si="1"/>
        <v>3450</v>
      </c>
      <c r="F23" s="22">
        <f>D23*(0.01*'Toroid Design'!$Q$18)+'Surface Area'!E23</f>
        <v>7387.7692307692305</v>
      </c>
      <c r="G23" s="22">
        <f>D23*(0.01*'Toroid Design'!$V$18)+'Surface Area'!E23</f>
        <v>41432.114093959739</v>
      </c>
      <c r="H23" s="22">
        <f>D23*(0.01*'Toroid Design'!$AA$18)+'Surface Area'!E23</f>
        <v>3450</v>
      </c>
    </row>
    <row r="24" spans="1:8">
      <c r="A24" s="60">
        <v>254</v>
      </c>
      <c r="B24" s="24">
        <v>4840</v>
      </c>
      <c r="C24" s="24">
        <v>7160</v>
      </c>
      <c r="D24" s="24">
        <f t="shared" si="0"/>
        <v>580000</v>
      </c>
      <c r="E24" s="24">
        <f t="shared" si="1"/>
        <v>4840</v>
      </c>
      <c r="F24" s="22">
        <f>D24*(0.01*'Toroid Design'!$Q$18)+'Surface Area'!E24</f>
        <v>9274.7692307692305</v>
      </c>
      <c r="G24" s="22">
        <f>D24*(0.01*'Toroid Design'!$V$18)+'Surface Area'!E24</f>
        <v>47615.973154362422</v>
      </c>
      <c r="H24" s="22">
        <f>D24*(0.01*'Toroid Design'!$AA$18)+'Surface Area'!E24</f>
        <v>4840</v>
      </c>
    </row>
    <row r="25" spans="1:8">
      <c r="A25" s="60">
        <v>438</v>
      </c>
      <c r="B25" s="24">
        <v>6900</v>
      </c>
      <c r="C25" s="24">
        <v>9420</v>
      </c>
      <c r="D25" s="24">
        <f t="shared" si="0"/>
        <v>630000</v>
      </c>
      <c r="E25" s="24">
        <f t="shared" si="1"/>
        <v>6900</v>
      </c>
      <c r="F25" s="22">
        <f>D25*(0.01*'Toroid Design'!$Q$18)+'Surface Area'!E25</f>
        <v>11717.076923076922</v>
      </c>
      <c r="G25" s="22">
        <f>D25*(0.01*'Toroid Design'!$V$18)+'Surface Area'!E25</f>
        <v>53363.557046979869</v>
      </c>
      <c r="H25" s="22">
        <f>D25*(0.01*'Toroid Design'!$AA$18)+'Surface Area'!E25</f>
        <v>6900</v>
      </c>
    </row>
    <row r="26" spans="1:8">
      <c r="A26" s="61">
        <v>89</v>
      </c>
      <c r="B26" s="24">
        <v>6170</v>
      </c>
      <c r="C26" s="24">
        <v>9510</v>
      </c>
      <c r="D26" s="24">
        <f t="shared" si="0"/>
        <v>835000</v>
      </c>
      <c r="E26" s="24">
        <f t="shared" si="1"/>
        <v>6170</v>
      </c>
      <c r="F26" s="22">
        <f>D26*(0.01*'Toroid Design'!$Q$18)+'Surface Area'!E26</f>
        <v>12554.538461538461</v>
      </c>
      <c r="G26" s="22">
        <f>D26*(0.01*'Toroid Design'!$V$18)+'Surface Area'!E26</f>
        <v>67752.651006711414</v>
      </c>
      <c r="H26" s="22">
        <f>D26*(0.01*'Toroid Design'!$AA$18)+'Surface Area'!E26</f>
        <v>6170</v>
      </c>
    </row>
    <row r="27" spans="1:8">
      <c r="A27" s="60">
        <v>715</v>
      </c>
      <c r="B27" s="24">
        <v>6420</v>
      </c>
      <c r="C27" s="24">
        <v>10600</v>
      </c>
      <c r="D27" s="24">
        <f t="shared" si="0"/>
        <v>1045000</v>
      </c>
      <c r="E27" s="24">
        <f t="shared" si="1"/>
        <v>6420</v>
      </c>
      <c r="F27" s="22">
        <f>D27*(0.01*'Toroid Design'!$Q$18)+'Surface Area'!E27</f>
        <v>14410.230769230768</v>
      </c>
      <c r="G27" s="22">
        <f>D27*(0.01*'Toroid Design'!$V$18)+'Surface Area'!E27</f>
        <v>83490.503355704699</v>
      </c>
      <c r="H27" s="22">
        <f>D27*(0.01*'Toroid Design'!$AA$18)+'Surface Area'!E27</f>
        <v>6420</v>
      </c>
    </row>
    <row r="28" spans="1:8">
      <c r="A28" s="60">
        <v>195</v>
      </c>
      <c r="B28" s="24">
        <v>9100</v>
      </c>
      <c r="C28" s="24">
        <v>11500</v>
      </c>
      <c r="D28" s="24">
        <f t="shared" si="0"/>
        <v>600000</v>
      </c>
      <c r="E28" s="24">
        <f t="shared" si="1"/>
        <v>9100</v>
      </c>
      <c r="F28" s="22">
        <f>D28*(0.01*'Toroid Design'!$Q$18)+'Surface Area'!E28</f>
        <v>13687.692307692307</v>
      </c>
      <c r="G28" s="22">
        <f>D28*(0.01*'Toroid Design'!$V$18)+'Surface Area'!E28</f>
        <v>53351.006711409398</v>
      </c>
      <c r="H28" s="22">
        <f>D28*(0.01*'Toroid Design'!$AA$18)+'Surface Area'!E28</f>
        <v>9100</v>
      </c>
    </row>
    <row r="29" spans="1:8">
      <c r="A29" s="60">
        <v>109</v>
      </c>
      <c r="B29" s="24">
        <v>7680</v>
      </c>
      <c r="C29" s="24">
        <v>13100</v>
      </c>
      <c r="D29" s="24">
        <f t="shared" si="0"/>
        <v>1355000</v>
      </c>
      <c r="E29" s="24">
        <f t="shared" si="1"/>
        <v>7680</v>
      </c>
      <c r="F29" s="22">
        <f>D29*(0.01*'Toroid Design'!$Q$18)+'Surface Area'!E29</f>
        <v>18040.538461538461</v>
      </c>
      <c r="G29" s="22">
        <f>D29*(0.01*'Toroid Design'!$V$18)+'Surface Area'!E29</f>
        <v>107613.52348993289</v>
      </c>
      <c r="H29" s="22">
        <f>D29*(0.01*'Toroid Design'!$AA$18)+'Surface Area'!E29</f>
        <v>7680</v>
      </c>
    </row>
    <row r="30" spans="1:8">
      <c r="A30" s="60">
        <v>620</v>
      </c>
      <c r="B30" s="24">
        <v>12300</v>
      </c>
      <c r="C30" s="24">
        <v>16800</v>
      </c>
      <c r="D30" s="24">
        <f t="shared" si="0"/>
        <v>1125000</v>
      </c>
      <c r="E30" s="24">
        <f t="shared" si="1"/>
        <v>12300</v>
      </c>
      <c r="F30" s="22">
        <f>D30*(0.01*'Toroid Design'!$Q$18)+'Surface Area'!E30</f>
        <v>20901.923076923078</v>
      </c>
      <c r="G30" s="22">
        <f>D30*(0.01*'Toroid Design'!$V$18)+'Surface Area'!E30</f>
        <v>95270.637583892618</v>
      </c>
      <c r="H30" s="22">
        <f>D30*(0.01*'Toroid Design'!$AA$18)+'Surface Area'!E30</f>
        <v>12300</v>
      </c>
    </row>
    <row r="31" spans="1:8">
      <c r="A31" s="60">
        <v>740</v>
      </c>
      <c r="B31" s="24">
        <v>18800</v>
      </c>
      <c r="C31" s="24">
        <v>27100</v>
      </c>
      <c r="D31" s="24">
        <f t="shared" si="0"/>
        <v>2075000.0000000002</v>
      </c>
      <c r="E31" s="24">
        <f t="shared" si="1"/>
        <v>18800</v>
      </c>
      <c r="F31" s="22">
        <f>D31*(0.01*'Toroid Design'!$Q$18)+'Surface Area'!E31</f>
        <v>34665.769230769234</v>
      </c>
      <c r="G31" s="22">
        <f>D31*(0.01*'Toroid Design'!$V$18)+'Surface Area'!E31</f>
        <v>171834.73154362419</v>
      </c>
      <c r="H31" s="22">
        <f>D31*(0.01*'Toroid Design'!$AA$18)+'Surface Area'!E31</f>
        <v>18800</v>
      </c>
    </row>
    <row r="32" spans="1:8">
      <c r="A32" s="60">
        <v>866</v>
      </c>
      <c r="B32" s="24">
        <v>11700</v>
      </c>
      <c r="C32" s="24">
        <v>20300</v>
      </c>
      <c r="D32" s="24">
        <f t="shared" si="0"/>
        <v>2150000</v>
      </c>
      <c r="E32" s="24">
        <f t="shared" si="1"/>
        <v>11700</v>
      </c>
      <c r="F32" s="22">
        <f>D32*(0.01*'Toroid Design'!$Q$18)+'Surface Area'!E32</f>
        <v>28139.230769230766</v>
      </c>
      <c r="G32" s="22">
        <f>D32*(0.01*'Toroid Design'!$V$18)+'Surface Area'!E32</f>
        <v>170266.10738255034</v>
      </c>
      <c r="H32" s="22">
        <f>D32*(0.01*'Toroid Design'!$AA$18)+'Surface Area'!E32</f>
        <v>11700</v>
      </c>
    </row>
    <row r="33" spans="1:8">
      <c r="A33" s="60">
        <v>906</v>
      </c>
      <c r="B33" s="24">
        <v>13000</v>
      </c>
      <c r="C33" s="24">
        <v>22500</v>
      </c>
      <c r="D33" s="24">
        <f t="shared" si="0"/>
        <v>2375000</v>
      </c>
      <c r="E33" s="24">
        <f t="shared" si="1"/>
        <v>13000</v>
      </c>
      <c r="F33" s="22">
        <f>D33*(0.01*'Toroid Design'!$Q$18)+'Surface Area'!E33</f>
        <v>31159.615384615383</v>
      </c>
      <c r="G33" s="22">
        <f>D33*(0.01*'Toroid Design'!$V$18)+'Surface Area'!E33</f>
        <v>188160.23489932888</v>
      </c>
      <c r="H33" s="22">
        <f>D33*(0.01*'Toroid Design'!$AA$18)+'Surface Area'!E33</f>
        <v>13000</v>
      </c>
    </row>
    <row r="34" spans="1:8">
      <c r="A34" s="60">
        <v>102</v>
      </c>
      <c r="B34" s="24">
        <v>20700</v>
      </c>
      <c r="C34" s="24">
        <v>34600</v>
      </c>
      <c r="D34" s="24">
        <f t="shared" si="0"/>
        <v>3475000.0000000005</v>
      </c>
      <c r="E34" s="24">
        <f t="shared" si="1"/>
        <v>20700</v>
      </c>
      <c r="F34" s="22">
        <f>D34*(0.01*'Toroid Design'!$Q$18)+'Surface Area'!E34</f>
        <v>47270.38461538461</v>
      </c>
      <c r="G34" s="22">
        <f>D34*(0.01*'Toroid Design'!$V$18)+'Surface Area'!E34</f>
        <v>276987.08053691278</v>
      </c>
      <c r="H34" s="22">
        <f>D34*(0.01*'Toroid Design'!$AA$18)+'Surface Area'!E34</f>
        <v>20700</v>
      </c>
    </row>
    <row r="35" spans="1:8">
      <c r="A35" s="60">
        <v>337</v>
      </c>
      <c r="B35" s="24">
        <v>36600</v>
      </c>
      <c r="C35" s="24">
        <v>62000</v>
      </c>
      <c r="D35" s="24">
        <f t="shared" si="0"/>
        <v>6350000.0000000009</v>
      </c>
      <c r="E35" s="24">
        <f t="shared" si="1"/>
        <v>36600</v>
      </c>
      <c r="F35" s="22">
        <f>D35*(0.01*'Toroid Design'!$Q$18)+'Surface Area'!E35</f>
        <v>85153.076923076922</v>
      </c>
      <c r="G35" s="22">
        <f>D35*(0.01*'Toroid Design'!$V$18)+'Surface Area'!E35</f>
        <v>504923.15436241619</v>
      </c>
      <c r="H35" s="22">
        <f>D35*(0.01*'Toroid Design'!$AA$18)+'Surface Area'!E35</f>
        <v>36600</v>
      </c>
    </row>
    <row r="36" spans="1:8">
      <c r="A36" s="60">
        <v>165</v>
      </c>
      <c r="B36" s="24">
        <v>55400</v>
      </c>
      <c r="C36" s="24">
        <v>101000</v>
      </c>
      <c r="D36" s="24">
        <f t="shared" si="0"/>
        <v>11400000</v>
      </c>
      <c r="E36" s="24">
        <f t="shared" si="1"/>
        <v>55400</v>
      </c>
      <c r="F36" s="22">
        <f>D36*(0.01*'Toroid Design'!$Q$18)+'Surface Area'!E36</f>
        <v>142566.15384615381</v>
      </c>
      <c r="G36" s="22">
        <f>D36*(0.01*'Toroid Design'!$V$18)+'Surface Area'!E36</f>
        <v>896169.12751677854</v>
      </c>
      <c r="H36" s="22">
        <f>D36*(0.01*'Toroid Design'!$AA$18)+'Surface Area'!E36</f>
        <v>55400</v>
      </c>
    </row>
    <row r="37" spans="1:8">
      <c r="A37" s="61">
        <v>70</v>
      </c>
      <c r="B37" s="48">
        <v>12672</v>
      </c>
      <c r="C37" s="48">
        <v>23000</v>
      </c>
      <c r="D37" s="47">
        <f t="shared" si="0"/>
        <v>2582000</v>
      </c>
      <c r="E37" s="47">
        <f t="shared" si="1"/>
        <v>12672</v>
      </c>
      <c r="F37" s="22">
        <f>D37*(0.01*'Toroid Design'!$Q$18)+'Surface Area'!E37</f>
        <v>32414.369230769229</v>
      </c>
      <c r="G37" s="22">
        <f>D37*(0.01*'Toroid Design'!$V$18)+'Surface Area'!E37</f>
        <v>203098.83221476511</v>
      </c>
      <c r="H37" s="22">
        <f>D37*(0.01*'Toroid Design'!$AA$18)+'Surface Area'!E37</f>
        <v>12672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7"/>
  <sheetViews>
    <sheetView workbookViewId="0">
      <selection activeCell="K40" sqref="K40"/>
    </sheetView>
  </sheetViews>
  <sheetFormatPr defaultRowHeight="15"/>
  <cols>
    <col min="1" max="2" width="9.140625" style="53"/>
    <col min="4" max="4" width="14.85546875" customWidth="1"/>
    <col min="10" max="10" width="14" customWidth="1"/>
    <col min="11" max="11" width="16" customWidth="1"/>
  </cols>
  <sheetData>
    <row r="1" spans="2:10">
      <c r="B1" s="53" t="s">
        <v>1013</v>
      </c>
      <c r="C1" s="161" t="s">
        <v>1136</v>
      </c>
      <c r="D1" s="189" t="s">
        <v>1133</v>
      </c>
      <c r="E1" s="53" t="s">
        <v>1021</v>
      </c>
      <c r="F1" s="53" t="s">
        <v>1135</v>
      </c>
      <c r="G1" s="53" t="s">
        <v>1022</v>
      </c>
      <c r="H1" s="53" t="s">
        <v>1320</v>
      </c>
      <c r="I1" s="53" t="s">
        <v>1028</v>
      </c>
      <c r="J1" s="53" t="s">
        <v>1321</v>
      </c>
    </row>
    <row r="2" spans="2:10">
      <c r="B2" s="161" t="s">
        <v>1306</v>
      </c>
      <c r="C2" s="161">
        <v>0.36343583582508049</v>
      </c>
      <c r="D2" s="53">
        <v>0.36343583582508049</v>
      </c>
      <c r="E2" s="53">
        <v>0.28455779783195789</v>
      </c>
      <c r="F2" s="53">
        <v>0.21943347237259264</v>
      </c>
      <c r="G2" s="53">
        <v>0.16933077555825912</v>
      </c>
      <c r="H2" s="53">
        <v>90</v>
      </c>
      <c r="I2" s="161">
        <v>0.78181493321105566</v>
      </c>
      <c r="J2" s="161" t="s">
        <v>1322</v>
      </c>
    </row>
    <row r="3" spans="2:10">
      <c r="B3" s="161" t="s">
        <v>1307</v>
      </c>
      <c r="C3" s="161">
        <v>1.0891302217611176</v>
      </c>
      <c r="D3" s="53">
        <v>1.0891302217611176</v>
      </c>
      <c r="E3" s="53">
        <v>0.88735676092014482</v>
      </c>
      <c r="F3" s="53">
        <v>0.71013934197528361</v>
      </c>
      <c r="G3" s="53">
        <v>0.55913076007869078</v>
      </c>
      <c r="H3" s="53">
        <v>90</v>
      </c>
      <c r="I3" s="161">
        <v>0.72697081101360439</v>
      </c>
      <c r="J3" s="161" t="s">
        <v>1323</v>
      </c>
    </row>
    <row r="4" spans="2:10">
      <c r="B4" s="161" t="s">
        <v>1308</v>
      </c>
      <c r="C4" s="161">
        <v>2.4542112943918721</v>
      </c>
      <c r="D4" s="53">
        <v>2.4542112943918721</v>
      </c>
      <c r="E4" s="53">
        <v>2.2918301075185536</v>
      </c>
      <c r="F4" s="53">
        <v>1.635659066733379</v>
      </c>
      <c r="G4" s="53">
        <v>1.2470459574290669</v>
      </c>
      <c r="H4" s="53">
        <v>90</v>
      </c>
      <c r="I4" s="161">
        <v>0.66743908752103254</v>
      </c>
      <c r="J4" s="161" t="s">
        <v>1324</v>
      </c>
    </row>
    <row r="5" spans="2:10">
      <c r="B5" s="161" t="s">
        <v>1309</v>
      </c>
      <c r="C5" s="161">
        <v>6.1630987222195035</v>
      </c>
      <c r="D5" s="53">
        <v>6.1630987222195035</v>
      </c>
      <c r="E5" s="53">
        <v>5.5721416254383156</v>
      </c>
      <c r="F5" s="53">
        <v>4.6993848824752851</v>
      </c>
      <c r="G5" s="53">
        <v>3.810468909671509</v>
      </c>
      <c r="H5" s="53">
        <v>90</v>
      </c>
      <c r="I5" s="161">
        <v>0.57394053505654063</v>
      </c>
      <c r="J5" s="161" t="s">
        <v>1325</v>
      </c>
    </row>
    <row r="6" spans="2:10">
      <c r="B6" s="161" t="s">
        <v>1310</v>
      </c>
      <c r="C6" s="161">
        <v>12.294420519549927</v>
      </c>
      <c r="D6" s="53">
        <v>12.294420519549927</v>
      </c>
      <c r="E6" s="53">
        <v>11.077790576805731</v>
      </c>
      <c r="F6" s="53">
        <v>9.27352531753791</v>
      </c>
      <c r="G6" s="53">
        <v>7.4460326417917324</v>
      </c>
      <c r="H6" s="53">
        <v>90</v>
      </c>
      <c r="I6" s="161">
        <v>0.57455106317182192</v>
      </c>
      <c r="J6" s="161" t="s">
        <v>1326</v>
      </c>
    </row>
    <row r="7" spans="2:10">
      <c r="B7" s="161" t="s">
        <v>1311</v>
      </c>
      <c r="C7" s="161">
        <v>24.314947152387852</v>
      </c>
      <c r="D7" s="53">
        <v>22.436913977296069</v>
      </c>
      <c r="E7" s="53">
        <v>24.314947152387852</v>
      </c>
      <c r="F7" s="53">
        <v>21.307599225610396</v>
      </c>
      <c r="G7" s="53">
        <v>17.684145530431628</v>
      </c>
      <c r="H7" s="53">
        <v>60</v>
      </c>
      <c r="I7" s="161">
        <v>0.65677845328696949</v>
      </c>
      <c r="J7" s="161" t="s">
        <v>1327</v>
      </c>
    </row>
    <row r="8" spans="2:10">
      <c r="B8" s="161" t="s">
        <v>1312</v>
      </c>
      <c r="C8" s="161">
        <v>25.001807265529607</v>
      </c>
      <c r="D8" s="53">
        <v>15.612783458855791</v>
      </c>
      <c r="E8" s="53">
        <v>25.001807265529607</v>
      </c>
      <c r="F8" s="53">
        <v>24.25382040483785</v>
      </c>
      <c r="G8" s="53">
        <v>21.103252045433869</v>
      </c>
      <c r="H8" s="53">
        <v>60</v>
      </c>
      <c r="I8" s="161">
        <v>0.53489683556190359</v>
      </c>
      <c r="J8" s="161" t="s">
        <v>1328</v>
      </c>
    </row>
    <row r="9" spans="2:10">
      <c r="B9" s="161" t="s">
        <v>1313</v>
      </c>
      <c r="C9" s="161">
        <v>29.05425266184422</v>
      </c>
      <c r="D9" s="53">
        <v>29.05425266184422</v>
      </c>
      <c r="E9" s="53">
        <v>28.616421349451734</v>
      </c>
      <c r="F9" s="53">
        <v>24.710461231006338</v>
      </c>
      <c r="G9" s="53">
        <v>20.383272005929978</v>
      </c>
      <c r="H9" s="53">
        <v>90</v>
      </c>
      <c r="I9" s="161" t="s">
        <v>1081</v>
      </c>
      <c r="J9" s="161" t="s">
        <v>1329</v>
      </c>
    </row>
    <row r="10" spans="2:10">
      <c r="B10" s="161" t="s">
        <v>1314</v>
      </c>
      <c r="C10" s="161">
        <v>68.51411433959511</v>
      </c>
      <c r="D10" s="53">
        <v>0</v>
      </c>
      <c r="E10" s="53">
        <v>68.51411433959511</v>
      </c>
      <c r="F10" s="53">
        <v>62.631932685709032</v>
      </c>
      <c r="G10" s="53">
        <v>53.15485178378281</v>
      </c>
      <c r="H10" s="53">
        <v>60</v>
      </c>
      <c r="I10" s="161">
        <v>0.59552440508651583</v>
      </c>
      <c r="J10" s="161" t="s">
        <v>1330</v>
      </c>
    </row>
    <row r="11" spans="2:10">
      <c r="B11" s="161" t="s">
        <v>1315</v>
      </c>
      <c r="C11" s="161">
        <v>77.047645649589512</v>
      </c>
      <c r="D11" s="53">
        <v>0</v>
      </c>
      <c r="E11" s="53">
        <v>77.047645649589512</v>
      </c>
      <c r="F11" s="53">
        <v>69.402557855637468</v>
      </c>
      <c r="G11" s="53">
        <v>58.383350498900626</v>
      </c>
      <c r="H11" s="53">
        <v>60</v>
      </c>
      <c r="I11" s="161">
        <v>0.61362168120245619</v>
      </c>
      <c r="J11" s="161" t="s">
        <v>1331</v>
      </c>
    </row>
    <row r="12" spans="2:10">
      <c r="B12" s="161" t="s">
        <v>1316</v>
      </c>
      <c r="C12" s="161">
        <v>116.00321364217815</v>
      </c>
      <c r="D12" s="53">
        <v>0</v>
      </c>
      <c r="E12" s="53">
        <v>115.69104727483615</v>
      </c>
      <c r="F12" s="53">
        <v>116.00321364217815</v>
      </c>
      <c r="G12" s="53">
        <v>104.15974373862895</v>
      </c>
      <c r="H12" s="53">
        <v>40</v>
      </c>
      <c r="I12" s="161">
        <v>0.69932830736782237</v>
      </c>
      <c r="J12" s="161" t="s">
        <v>1332</v>
      </c>
    </row>
    <row r="13" spans="2:10">
      <c r="B13" s="161" t="s">
        <v>1317</v>
      </c>
      <c r="C13" s="161">
        <v>187.5071198482128</v>
      </c>
      <c r="D13" s="53">
        <v>0</v>
      </c>
      <c r="E13" s="53">
        <v>173.32241801409378</v>
      </c>
      <c r="F13" s="53">
        <v>187.5071198482128</v>
      </c>
      <c r="G13" s="53">
        <v>159.18576223933019</v>
      </c>
      <c r="H13" s="53">
        <v>40</v>
      </c>
      <c r="I13" s="161">
        <v>0.68668211775413301</v>
      </c>
      <c r="J13" s="161" t="s">
        <v>1333</v>
      </c>
    </row>
    <row r="14" spans="2:10">
      <c r="B14" s="161" t="s">
        <v>1318</v>
      </c>
      <c r="C14" s="161">
        <v>296.69976233703119</v>
      </c>
      <c r="D14" s="53">
        <v>0</v>
      </c>
      <c r="E14" s="53">
        <v>173.85847775481645</v>
      </c>
      <c r="F14" s="53">
        <v>296.69976233703119</v>
      </c>
      <c r="G14" s="53">
        <v>282.4323432535424</v>
      </c>
      <c r="H14" s="53">
        <v>40</v>
      </c>
      <c r="I14" s="161">
        <v>0.54683540985322687</v>
      </c>
      <c r="J14" s="161" t="s">
        <v>1334</v>
      </c>
    </row>
    <row r="15" spans="2:10">
      <c r="B15" s="161" t="s">
        <v>1319</v>
      </c>
      <c r="C15" s="161">
        <v>574.00734708230038</v>
      </c>
      <c r="D15" s="53">
        <v>0</v>
      </c>
      <c r="E15" s="53">
        <v>0</v>
      </c>
      <c r="F15" s="53">
        <v>0</v>
      </c>
      <c r="G15" s="53">
        <v>574.00734708230038</v>
      </c>
      <c r="H15" s="53">
        <v>26</v>
      </c>
      <c r="I15" s="161">
        <v>0.55872422803823385</v>
      </c>
      <c r="J15" s="161" t="s">
        <v>1335</v>
      </c>
    </row>
    <row r="16" spans="2:10">
      <c r="B16" s="161" t="s">
        <v>660</v>
      </c>
      <c r="C16" s="161">
        <v>2042.0117661750298</v>
      </c>
      <c r="D16" s="53">
        <v>0</v>
      </c>
      <c r="E16" s="53">
        <v>0</v>
      </c>
      <c r="F16" s="53">
        <v>0</v>
      </c>
      <c r="G16" s="53">
        <v>2042.0117661750298</v>
      </c>
      <c r="H16" s="53">
        <v>26</v>
      </c>
      <c r="I16" s="161" t="s">
        <v>1081</v>
      </c>
      <c r="J16" s="161" t="s">
        <v>1336</v>
      </c>
    </row>
    <row r="17" spans="2:10">
      <c r="B17" s="161" t="s">
        <v>662</v>
      </c>
      <c r="C17" s="161">
        <v>2248.71332349156</v>
      </c>
      <c r="D17" s="53">
        <v>0</v>
      </c>
      <c r="E17" s="53">
        <v>0</v>
      </c>
      <c r="F17" s="53">
        <v>0</v>
      </c>
      <c r="G17" s="53">
        <v>2248.71332349156</v>
      </c>
      <c r="H17" s="53">
        <v>26</v>
      </c>
      <c r="I17" s="161" t="s">
        <v>1081</v>
      </c>
      <c r="J17" s="161" t="s">
        <v>1337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C1:G17"/>
  <sheetViews>
    <sheetView workbookViewId="0">
      <selection activeCell="H14" sqref="H14"/>
    </sheetView>
  </sheetViews>
  <sheetFormatPr defaultRowHeight="15"/>
  <cols>
    <col min="4" max="7" width="12.140625" bestFit="1" customWidth="1"/>
  </cols>
  <sheetData>
    <row r="1" spans="3:7">
      <c r="D1" s="189" t="s">
        <v>1133</v>
      </c>
      <c r="E1" s="53" t="s">
        <v>1021</v>
      </c>
      <c r="F1" s="53" t="s">
        <v>1135</v>
      </c>
      <c r="G1" s="53" t="s">
        <v>1022</v>
      </c>
    </row>
    <row r="2" spans="3:7">
      <c r="C2" s="161" t="s">
        <v>1306</v>
      </c>
      <c r="D2" s="53" t="s">
        <v>361</v>
      </c>
      <c r="E2" s="53" t="s">
        <v>362</v>
      </c>
      <c r="F2" s="53" t="s">
        <v>363</v>
      </c>
      <c r="G2" s="53" t="s">
        <v>364</v>
      </c>
    </row>
    <row r="3" spans="3:7">
      <c r="C3" s="161" t="s">
        <v>1307</v>
      </c>
      <c r="D3" s="53" t="s">
        <v>357</v>
      </c>
      <c r="E3" s="53" t="s">
        <v>358</v>
      </c>
      <c r="F3" s="53" t="s">
        <v>359</v>
      </c>
      <c r="G3" s="53" t="s">
        <v>360</v>
      </c>
    </row>
    <row r="4" spans="3:7">
      <c r="C4" s="161" t="s">
        <v>1308</v>
      </c>
      <c r="D4" s="53" t="s">
        <v>353</v>
      </c>
      <c r="E4" s="53" t="s">
        <v>354</v>
      </c>
      <c r="F4" s="53" t="s">
        <v>355</v>
      </c>
      <c r="G4" s="53" t="s">
        <v>356</v>
      </c>
    </row>
    <row r="5" spans="3:7">
      <c r="C5" s="161" t="s">
        <v>1309</v>
      </c>
      <c r="D5" s="53" t="s">
        <v>348</v>
      </c>
      <c r="E5" s="53" t="s">
        <v>349</v>
      </c>
      <c r="F5" s="53" t="s">
        <v>350</v>
      </c>
      <c r="G5" s="53" t="s">
        <v>351</v>
      </c>
    </row>
    <row r="6" spans="3:7">
      <c r="C6" s="161" t="s">
        <v>1310</v>
      </c>
      <c r="D6" s="53" t="s">
        <v>327</v>
      </c>
      <c r="E6" s="53" t="s">
        <v>328</v>
      </c>
      <c r="F6" s="53" t="s">
        <v>329</v>
      </c>
      <c r="G6" s="53" t="s">
        <v>330</v>
      </c>
    </row>
    <row r="7" spans="3:7">
      <c r="C7" s="161" t="s">
        <v>1311</v>
      </c>
      <c r="D7" s="53" t="s">
        <v>340</v>
      </c>
      <c r="E7" s="53" t="s">
        <v>341</v>
      </c>
      <c r="F7" s="53" t="s">
        <v>342</v>
      </c>
      <c r="G7" s="53" t="s">
        <v>343</v>
      </c>
    </row>
    <row r="8" spans="3:7">
      <c r="C8" s="161" t="s">
        <v>1312</v>
      </c>
      <c r="D8" s="53" t="s">
        <v>344</v>
      </c>
      <c r="E8" s="53" t="s">
        <v>345</v>
      </c>
      <c r="F8" s="53" t="s">
        <v>346</v>
      </c>
      <c r="G8" s="53" t="s">
        <v>347</v>
      </c>
    </row>
    <row r="9" spans="3:7">
      <c r="C9" s="161" t="s">
        <v>1313</v>
      </c>
      <c r="D9" s="53" t="s">
        <v>336</v>
      </c>
      <c r="E9" s="53" t="s">
        <v>337</v>
      </c>
      <c r="F9" s="53" t="s">
        <v>338</v>
      </c>
      <c r="G9" s="53" t="s">
        <v>339</v>
      </c>
    </row>
    <row r="10" spans="3:7">
      <c r="C10" s="161" t="s">
        <v>1314</v>
      </c>
      <c r="D10" s="53">
        <v>0</v>
      </c>
      <c r="E10" s="53" t="s">
        <v>323</v>
      </c>
      <c r="F10" s="53" t="s">
        <v>324</v>
      </c>
      <c r="G10" s="53" t="s">
        <v>325</v>
      </c>
    </row>
    <row r="11" spans="3:7">
      <c r="C11" s="161" t="s">
        <v>1315</v>
      </c>
      <c r="D11" s="53">
        <v>0</v>
      </c>
      <c r="E11" s="53" t="s">
        <v>318</v>
      </c>
      <c r="F11" s="53" t="s">
        <v>319</v>
      </c>
      <c r="G11" s="53" t="s">
        <v>320</v>
      </c>
    </row>
    <row r="12" spans="3:7">
      <c r="C12" s="161" t="s">
        <v>1316</v>
      </c>
      <c r="D12" s="53">
        <v>0</v>
      </c>
      <c r="E12" s="53" t="s">
        <v>308</v>
      </c>
      <c r="F12" s="53" t="s">
        <v>309</v>
      </c>
      <c r="G12" s="53" t="s">
        <v>310</v>
      </c>
    </row>
    <row r="13" spans="3:7">
      <c r="C13" s="161" t="s">
        <v>1317</v>
      </c>
      <c r="D13" s="53">
        <v>0</v>
      </c>
      <c r="E13" s="53" t="s">
        <v>314</v>
      </c>
      <c r="F13" s="53" t="s">
        <v>315</v>
      </c>
      <c r="G13" s="53" t="s">
        <v>316</v>
      </c>
    </row>
    <row r="14" spans="3:7">
      <c r="C14" s="161" t="s">
        <v>1318</v>
      </c>
      <c r="D14" s="53">
        <v>0</v>
      </c>
      <c r="E14" s="53" t="s">
        <v>304</v>
      </c>
      <c r="F14" s="53" t="s">
        <v>305</v>
      </c>
      <c r="G14" s="53" t="s">
        <v>306</v>
      </c>
    </row>
    <row r="15" spans="3:7">
      <c r="C15" s="161" t="s">
        <v>1319</v>
      </c>
      <c r="D15" s="53">
        <v>0</v>
      </c>
      <c r="E15" s="53">
        <v>0</v>
      </c>
      <c r="F15" s="53">
        <v>0</v>
      </c>
      <c r="G15" s="53" t="s">
        <v>299</v>
      </c>
    </row>
    <row r="16" spans="3:7">
      <c r="C16" s="161" t="s">
        <v>660</v>
      </c>
      <c r="D16" s="53">
        <v>0</v>
      </c>
      <c r="E16" s="53">
        <v>0</v>
      </c>
      <c r="F16" s="53">
        <v>0</v>
      </c>
      <c r="G16" s="53" t="s">
        <v>367</v>
      </c>
    </row>
    <row r="17" spans="3:7">
      <c r="C17" s="161" t="s">
        <v>662</v>
      </c>
      <c r="D17" s="53">
        <v>0</v>
      </c>
      <c r="E17" s="53">
        <v>0</v>
      </c>
      <c r="F17" s="53">
        <v>0</v>
      </c>
      <c r="G17" s="53" t="s">
        <v>365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93"/>
  <sheetViews>
    <sheetView topLeftCell="A16" workbookViewId="0">
      <selection activeCell="L44" sqref="L44"/>
    </sheetView>
  </sheetViews>
  <sheetFormatPr defaultRowHeight="15"/>
  <cols>
    <col min="1" max="1" width="12.140625" style="23" customWidth="1"/>
    <col min="2" max="3" width="10.42578125" style="23" customWidth="1"/>
    <col min="4" max="4" width="11.85546875" style="23" customWidth="1"/>
    <col min="5" max="5" width="10.140625" style="23" customWidth="1"/>
    <col min="6" max="6" width="11" style="23" customWidth="1"/>
    <col min="7" max="16384" width="9.140625" style="23"/>
  </cols>
  <sheetData>
    <row r="1" spans="1:7">
      <c r="A1" s="56" t="s">
        <v>298</v>
      </c>
    </row>
    <row r="2" spans="1:7">
      <c r="A2" s="50" t="s">
        <v>947</v>
      </c>
      <c r="B2" s="50" t="s">
        <v>948</v>
      </c>
      <c r="C2" s="50" t="s">
        <v>949</v>
      </c>
      <c r="D2" s="50" t="s">
        <v>950</v>
      </c>
      <c r="E2" s="50" t="s">
        <v>951</v>
      </c>
      <c r="F2" s="50" t="s">
        <v>952</v>
      </c>
    </row>
    <row r="3" spans="1:7">
      <c r="A3" s="23">
        <v>14</v>
      </c>
    </row>
    <row r="4" spans="1:7">
      <c r="A4" s="23">
        <v>26</v>
      </c>
      <c r="B4" s="51">
        <v>1</v>
      </c>
      <c r="C4" s="52">
        <v>-1.248E-3</v>
      </c>
      <c r="D4" s="52">
        <v>-2.02E-5</v>
      </c>
      <c r="E4" s="52">
        <v>8.3540000000000006E-8</v>
      </c>
      <c r="F4" s="52">
        <v>-9.5029999999999994E-11</v>
      </c>
    </row>
    <row r="5" spans="1:7">
      <c r="A5" s="23">
        <v>40</v>
      </c>
      <c r="B5" s="51">
        <v>1</v>
      </c>
      <c r="C5" s="52">
        <v>-2.7989999999999998E-3</v>
      </c>
      <c r="D5" s="52">
        <v>-3.3120000000000001E-5</v>
      </c>
      <c r="E5" s="52">
        <v>2.1260000000000001E-7</v>
      </c>
      <c r="F5" s="52">
        <v>-3.4660000000000002E-10</v>
      </c>
    </row>
    <row r="6" spans="1:7">
      <c r="A6" s="23">
        <v>60</v>
      </c>
      <c r="B6" s="51">
        <v>1</v>
      </c>
      <c r="C6" s="52">
        <v>-4.4450000000000002E-3</v>
      </c>
      <c r="D6" s="52">
        <v>-8.763E-5</v>
      </c>
      <c r="E6" s="52">
        <v>9.4460000000000003E-7</v>
      </c>
      <c r="F6" s="52">
        <v>-2.6160000000000001E-9</v>
      </c>
    </row>
    <row r="7" spans="1:7">
      <c r="A7" s="23">
        <v>75</v>
      </c>
      <c r="B7" s="51">
        <v>1</v>
      </c>
      <c r="C7" s="52">
        <v>-6.1199999999999996E-3</v>
      </c>
      <c r="D7" s="52">
        <v>-1.3799999999999999E-4</v>
      </c>
      <c r="E7" s="52">
        <v>1.9429999999999999E-6</v>
      </c>
      <c r="F7" s="52">
        <v>-6.9560000000000004E-9</v>
      </c>
    </row>
    <row r="8" spans="1:7">
      <c r="A8" s="23">
        <v>90</v>
      </c>
      <c r="B8" s="51">
        <v>1</v>
      </c>
      <c r="C8" s="52">
        <v>-9.0310000000000008E-3</v>
      </c>
      <c r="D8" s="52">
        <v>-1.2180000000000001E-4</v>
      </c>
      <c r="E8" s="52">
        <v>2.2539999999999999E-6</v>
      </c>
      <c r="F8" s="52">
        <v>-9.2870000000000007E-9</v>
      </c>
    </row>
    <row r="9" spans="1:7">
      <c r="A9" s="23">
        <v>125</v>
      </c>
      <c r="B9" s="51">
        <v>1</v>
      </c>
      <c r="C9" s="52">
        <v>-9.9179999999999997E-3</v>
      </c>
      <c r="D9" s="52">
        <v>-5.0440000000000001E-4</v>
      </c>
      <c r="E9" s="52">
        <v>1.2670000000000001E-5</v>
      </c>
      <c r="F9" s="52">
        <v>-8.2840000000000006E-8</v>
      </c>
    </row>
    <row r="10" spans="1:7">
      <c r="A10" s="50" t="s">
        <v>953</v>
      </c>
      <c r="B10" s="50" t="s">
        <v>948</v>
      </c>
      <c r="C10" s="50" t="s">
        <v>949</v>
      </c>
      <c r="D10" s="50" t="s">
        <v>950</v>
      </c>
      <c r="E10" s="50" t="s">
        <v>951</v>
      </c>
      <c r="F10" s="50" t="s">
        <v>952</v>
      </c>
      <c r="G10" s="50" t="s">
        <v>954</v>
      </c>
    </row>
    <row r="11" spans="1:7">
      <c r="A11" s="23">
        <v>14</v>
      </c>
    </row>
    <row r="12" spans="1:7">
      <c r="A12" s="23">
        <v>26</v>
      </c>
      <c r="B12" s="52">
        <v>5.8680000000000001E-5</v>
      </c>
      <c r="C12" s="52">
        <v>9.3620000000000002E-5</v>
      </c>
      <c r="D12" s="52">
        <v>9.0110000000000006E-6</v>
      </c>
      <c r="E12" s="52">
        <v>-3.6820000000000001E-4</v>
      </c>
      <c r="F12" s="52">
        <v>8.7469999999999994E-6</v>
      </c>
      <c r="G12" s="51">
        <v>0.5</v>
      </c>
    </row>
    <row r="13" spans="1:7">
      <c r="A13" s="23">
        <v>40</v>
      </c>
      <c r="B13" s="52">
        <v>8.8700000000000001E-5</v>
      </c>
      <c r="C13" s="52">
        <v>5.592E-5</v>
      </c>
      <c r="D13" s="52">
        <v>2.6999999999999999E-5</v>
      </c>
      <c r="E13" s="52">
        <v>2.9280000000000002E-4</v>
      </c>
      <c r="F13" s="52">
        <v>2.5740000000000001E-5</v>
      </c>
      <c r="G13" s="51">
        <v>0.5</v>
      </c>
    </row>
    <row r="14" spans="1:7">
      <c r="A14" s="23">
        <v>60</v>
      </c>
      <c r="B14" s="52">
        <v>1.6579999999999999E-4</v>
      </c>
      <c r="C14" s="52">
        <v>2.3010000000000002E-5</v>
      </c>
      <c r="D14" s="52">
        <v>7.2970000000000001E-5</v>
      </c>
      <c r="E14" s="52">
        <v>5.9059999999999998E-3</v>
      </c>
      <c r="F14" s="52">
        <v>6.0529999999999998E-5</v>
      </c>
      <c r="G14" s="51">
        <v>0.5</v>
      </c>
    </row>
    <row r="15" spans="1:7">
      <c r="A15" s="23">
        <v>75</v>
      </c>
      <c r="B15" s="52">
        <v>1.433E-5</v>
      </c>
      <c r="C15" s="52">
        <v>9.7239999999999997E-5</v>
      </c>
      <c r="D15" s="52">
        <v>1.3229999999999999E-4</v>
      </c>
      <c r="E15" s="52">
        <v>7.2550000000000002E-3</v>
      </c>
      <c r="F15" s="52">
        <v>1.131E-4</v>
      </c>
      <c r="G15" s="51">
        <v>0.5</v>
      </c>
    </row>
    <row r="16" spans="1:7">
      <c r="A16" s="23">
        <v>90</v>
      </c>
      <c r="B16" s="52">
        <v>5.6599999999999999E-4</v>
      </c>
      <c r="C16" s="52">
        <v>-1.216E-4</v>
      </c>
      <c r="D16" s="52">
        <v>1.974E-4</v>
      </c>
      <c r="E16" s="52">
        <v>7.2779999999999997E-3</v>
      </c>
      <c r="F16" s="52">
        <v>1.6980000000000001E-4</v>
      </c>
      <c r="G16" s="51">
        <v>0.5</v>
      </c>
    </row>
    <row r="17" spans="1:7">
      <c r="A17" s="23">
        <v>125</v>
      </c>
      <c r="B17" s="52">
        <v>7.8079999999999998E-5</v>
      </c>
      <c r="C17" s="55">
        <v>5.0880000000000001E-4</v>
      </c>
      <c r="D17" s="55">
        <v>2.5950000000000002E-4</v>
      </c>
      <c r="E17" s="55">
        <v>3.9220000000000001E-3</v>
      </c>
      <c r="F17" s="55">
        <v>2.285E-4</v>
      </c>
      <c r="G17" s="51">
        <v>0.5</v>
      </c>
    </row>
    <row r="18" spans="1:7">
      <c r="A18" s="50" t="s">
        <v>806</v>
      </c>
      <c r="B18" s="50" t="s">
        <v>948</v>
      </c>
      <c r="C18" s="50" t="s">
        <v>949</v>
      </c>
      <c r="D18" s="50" t="s">
        <v>950</v>
      </c>
    </row>
    <row r="19" spans="1:7">
      <c r="A19" s="23">
        <v>14</v>
      </c>
    </row>
    <row r="20" spans="1:7">
      <c r="A20" s="23">
        <v>26</v>
      </c>
      <c r="B20" s="23">
        <v>120</v>
      </c>
      <c r="C20" s="23">
        <v>2.09</v>
      </c>
      <c r="D20" s="23">
        <v>1.46</v>
      </c>
    </row>
    <row r="21" spans="1:7">
      <c r="A21" s="23">
        <v>40</v>
      </c>
      <c r="B21" s="23">
        <v>120</v>
      </c>
      <c r="C21" s="23">
        <v>2.09</v>
      </c>
      <c r="D21" s="23">
        <v>1.46</v>
      </c>
    </row>
    <row r="22" spans="1:7">
      <c r="A22" s="23">
        <v>60</v>
      </c>
      <c r="B22" s="23">
        <v>193</v>
      </c>
      <c r="C22" s="23">
        <v>2.0099999999999998</v>
      </c>
      <c r="D22" s="23">
        <v>1.29</v>
      </c>
    </row>
    <row r="23" spans="1:7">
      <c r="A23" s="23">
        <v>75</v>
      </c>
      <c r="B23" s="23">
        <v>193</v>
      </c>
      <c r="C23" s="23">
        <v>2.0099999999999998</v>
      </c>
      <c r="D23" s="23">
        <v>1.29</v>
      </c>
    </row>
    <row r="24" spans="1:7">
      <c r="A24" s="23">
        <v>90</v>
      </c>
      <c r="B24" s="23">
        <v>193</v>
      </c>
      <c r="C24" s="23">
        <v>2.0099999999999998</v>
      </c>
      <c r="D24" s="23">
        <v>1.29</v>
      </c>
    </row>
    <row r="25" spans="1:7">
      <c r="A25" s="23">
        <v>125</v>
      </c>
      <c r="B25" s="23">
        <v>91.58</v>
      </c>
      <c r="C25" s="23">
        <v>2.2000000000000002</v>
      </c>
      <c r="D25" s="23">
        <v>1.63</v>
      </c>
    </row>
    <row r="26" spans="1:7">
      <c r="A26" s="56" t="s">
        <v>21</v>
      </c>
    </row>
    <row r="27" spans="1:7">
      <c r="A27" s="50" t="s">
        <v>947</v>
      </c>
      <c r="B27" s="50" t="s">
        <v>948</v>
      </c>
      <c r="C27" s="50" t="s">
        <v>949</v>
      </c>
      <c r="D27" s="50" t="s">
        <v>950</v>
      </c>
      <c r="E27" s="50" t="s">
        <v>951</v>
      </c>
      <c r="F27" s="50" t="s">
        <v>952</v>
      </c>
    </row>
    <row r="28" spans="1:7">
      <c r="A28" s="23">
        <v>14</v>
      </c>
      <c r="B28" s="51">
        <v>0.99850000000000005</v>
      </c>
      <c r="C28" s="52">
        <v>4.2569999999999999E-4</v>
      </c>
      <c r="D28" s="52">
        <v>-9.611E-6</v>
      </c>
      <c r="E28" s="52">
        <v>1.4909999999999999E-8</v>
      </c>
      <c r="F28" s="52">
        <v>-6.2500000000000002E-12</v>
      </c>
    </row>
    <row r="29" spans="1:7">
      <c r="A29" s="23">
        <v>26</v>
      </c>
      <c r="B29" s="51">
        <v>0.99850000000000005</v>
      </c>
      <c r="C29" s="52">
        <v>1.142E-3</v>
      </c>
      <c r="D29" s="52">
        <v>-3.7620000000000002E-5</v>
      </c>
      <c r="E29" s="52">
        <v>1.222E-7</v>
      </c>
      <c r="F29" s="52">
        <v>-1.2180000000000001E-10</v>
      </c>
    </row>
    <row r="30" spans="1:7">
      <c r="A30" s="23">
        <v>60</v>
      </c>
      <c r="B30" s="51">
        <v>0.99709999999999999</v>
      </c>
      <c r="C30" s="52">
        <v>2.2759999999999998E-3</v>
      </c>
      <c r="D30" s="52">
        <v>-1.6229999999999999E-4</v>
      </c>
      <c r="E30" s="52">
        <v>1.048E-6</v>
      </c>
      <c r="F30" s="52">
        <v>-2.013E-9</v>
      </c>
    </row>
    <row r="31" spans="1:7">
      <c r="A31" s="23">
        <v>125</v>
      </c>
      <c r="B31" s="51">
        <v>0.99660000000000004</v>
      </c>
      <c r="C31" s="52">
        <v>3.5969999999999999E-3</v>
      </c>
      <c r="D31" s="52">
        <v>-6.5300000000000004E-4</v>
      </c>
      <c r="E31" s="52">
        <v>8.8554E-6</v>
      </c>
      <c r="F31" s="52">
        <v>-3.5689999999999997E-8</v>
      </c>
    </row>
    <row r="32" spans="1:7">
      <c r="A32" s="23">
        <v>147</v>
      </c>
      <c r="B32" s="51">
        <v>0.99680000000000002</v>
      </c>
      <c r="C32" s="52">
        <v>4.0359999999999997E-3</v>
      </c>
      <c r="D32" s="52">
        <v>-9.4620000000000001E-4</v>
      </c>
      <c r="E32" s="52">
        <v>1.56E-5</v>
      </c>
      <c r="F32" s="52">
        <v>-7.6599999999999998E-8</v>
      </c>
    </row>
    <row r="33" spans="1:7">
      <c r="A33" s="23">
        <v>160</v>
      </c>
      <c r="B33" s="51">
        <v>0.99729999999999996</v>
      </c>
      <c r="C33" s="52">
        <v>3.4420000000000002E-3</v>
      </c>
      <c r="D33" s="52">
        <v>-1.06E-3</v>
      </c>
      <c r="E33" s="52">
        <v>1.897E-5</v>
      </c>
      <c r="F33" s="52">
        <v>-1.004E-7</v>
      </c>
    </row>
    <row r="34" spans="1:7">
      <c r="A34" s="23">
        <v>173</v>
      </c>
      <c r="B34" s="51">
        <v>0.99870000000000003</v>
      </c>
      <c r="C34" s="52">
        <v>2.5000000000000001E-3</v>
      </c>
      <c r="D34" s="52">
        <v>-1.152E-3</v>
      </c>
      <c r="E34" s="52">
        <v>2.2200000000000001E-5</v>
      </c>
      <c r="F34" s="52">
        <v>-1.3050000000000001E-7</v>
      </c>
    </row>
    <row r="35" spans="1:7">
      <c r="A35" s="23">
        <v>200</v>
      </c>
      <c r="B35" s="51">
        <v>0.99580000000000002</v>
      </c>
      <c r="C35" s="52">
        <v>5.1279999999999997E-3</v>
      </c>
      <c r="D35" s="52">
        <v>-1.4989999999999999E-3</v>
      </c>
      <c r="E35" s="52">
        <v>3.0549999999999997E-5</v>
      </c>
      <c r="F35" s="52">
        <v>-1.85E-7</v>
      </c>
    </row>
    <row r="36" spans="1:7">
      <c r="A36" s="23">
        <v>300</v>
      </c>
      <c r="B36" s="51">
        <v>0.99419999999999997</v>
      </c>
      <c r="C36" s="52">
        <v>9.4029999999999999E-3</v>
      </c>
      <c r="D36" s="52">
        <v>-4.1399999999999996E-3</v>
      </c>
      <c r="E36" s="52">
        <v>1.407E-4</v>
      </c>
      <c r="F36" s="52">
        <v>-1.4249999999999999E-6</v>
      </c>
    </row>
    <row r="37" spans="1:7">
      <c r="A37" s="23">
        <v>550</v>
      </c>
      <c r="B37" s="51">
        <v>1.0249999999999999</v>
      </c>
      <c r="C37" s="52">
        <v>-0.1462</v>
      </c>
      <c r="D37" s="52">
        <v>5.6849999999999999E-3</v>
      </c>
      <c r="E37" s="52">
        <v>1.7530000000000001E-4</v>
      </c>
      <c r="F37" s="52">
        <v>-1.0380000000000001E-5</v>
      </c>
    </row>
    <row r="38" spans="1:7">
      <c r="A38" s="50" t="s">
        <v>953</v>
      </c>
      <c r="B38" s="50" t="s">
        <v>948</v>
      </c>
      <c r="C38" s="50" t="s">
        <v>949</v>
      </c>
      <c r="D38" s="50" t="s">
        <v>950</v>
      </c>
      <c r="E38" s="50" t="s">
        <v>951</v>
      </c>
      <c r="F38" s="50" t="s">
        <v>952</v>
      </c>
      <c r="G38" s="50" t="s">
        <v>954</v>
      </c>
    </row>
    <row r="39" spans="1:7">
      <c r="A39" s="23">
        <v>14</v>
      </c>
      <c r="B39" s="52">
        <v>-7.5069999999999997</v>
      </c>
      <c r="C39" s="52">
        <v>6.5730000000000004</v>
      </c>
      <c r="D39" s="52">
        <v>0.46189999999999998</v>
      </c>
      <c r="E39" s="52">
        <v>77.77</v>
      </c>
      <c r="F39" s="52">
        <v>0.49869999999999998</v>
      </c>
      <c r="G39" s="51">
        <v>2</v>
      </c>
    </row>
    <row r="40" spans="1:7">
      <c r="A40" s="23">
        <v>26</v>
      </c>
      <c r="B40" s="52">
        <v>6.6790000000000002E-2</v>
      </c>
      <c r="C40" s="52">
        <v>1.1050000000000001E-2</v>
      </c>
      <c r="D40" s="52">
        <v>-1.136E-5</v>
      </c>
      <c r="E40" s="52">
        <v>1.112E-2</v>
      </c>
      <c r="F40" s="52">
        <v>-1.2330000000000001E-5</v>
      </c>
      <c r="G40" s="51">
        <v>2</v>
      </c>
    </row>
    <row r="41" spans="1:7">
      <c r="A41" s="23">
        <v>60</v>
      </c>
      <c r="B41" s="52">
        <v>8.1460000000000005E-2</v>
      </c>
      <c r="C41" s="52">
        <v>2.3449999999999999E-2</v>
      </c>
      <c r="D41" s="52">
        <v>6.0319999999999998E-5</v>
      </c>
      <c r="E41" s="52">
        <v>2.4760000000000001E-2</v>
      </c>
      <c r="F41" s="52">
        <v>7.1849999999999998E-5</v>
      </c>
      <c r="G41" s="51">
        <v>2</v>
      </c>
    </row>
    <row r="42" spans="1:7">
      <c r="A42" s="23">
        <v>125</v>
      </c>
      <c r="B42" s="52">
        <v>6.4199999999999999E-4</v>
      </c>
      <c r="C42" s="52">
        <v>-6.2710000000000001E-4</v>
      </c>
      <c r="D42" s="52">
        <v>3.2529999999999999E-4</v>
      </c>
      <c r="E42" s="52">
        <v>9.9010000000000001E-3</v>
      </c>
      <c r="F42" s="52">
        <v>5.3660000000000003E-4</v>
      </c>
      <c r="G42" s="51">
        <v>0.5</v>
      </c>
    </row>
    <row r="43" spans="1:7">
      <c r="A43" s="23">
        <v>147</v>
      </c>
      <c r="B43" s="52">
        <v>6.5300000000000004E-4</v>
      </c>
      <c r="C43" s="52">
        <v>-7.3010000000000002E-4</v>
      </c>
      <c r="D43" s="52">
        <v>4.5160000000000003E-4</v>
      </c>
      <c r="E43" s="52">
        <v>1.583E-2</v>
      </c>
      <c r="F43" s="52">
        <v>7.1849999999999995E-4</v>
      </c>
      <c r="G43" s="51">
        <v>0.5</v>
      </c>
    </row>
    <row r="44" spans="1:7">
      <c r="A44" s="23">
        <v>160</v>
      </c>
      <c r="B44" s="52">
        <v>4.4700000000000002E-4</v>
      </c>
      <c r="C44" s="52">
        <v>-5.5789999999999995E-4</v>
      </c>
      <c r="D44" s="52">
        <v>5.2110000000000004E-4</v>
      </c>
      <c r="E44" s="52">
        <v>1.0019999999999999E-2</v>
      </c>
      <c r="F44" s="52">
        <v>8.164E-4</v>
      </c>
      <c r="G44" s="51">
        <v>0.5</v>
      </c>
    </row>
    <row r="45" spans="1:7">
      <c r="A45" s="23">
        <v>173</v>
      </c>
      <c r="B45" s="52">
        <v>5.4500000000000002E-4</v>
      </c>
      <c r="C45" s="52">
        <v>-7.716E-4</v>
      </c>
      <c r="D45" s="52">
        <v>6.5059999999999998E-4</v>
      </c>
      <c r="E45" s="52">
        <v>6.875E-3</v>
      </c>
      <c r="F45" s="52">
        <v>1.0189999999999999E-3</v>
      </c>
      <c r="G45" s="51">
        <v>0.5</v>
      </c>
    </row>
    <row r="46" spans="1:7">
      <c r="A46" s="23">
        <v>200</v>
      </c>
      <c r="B46" s="52">
        <v>1.0009999999999999E-3</v>
      </c>
      <c r="C46" s="52">
        <v>-1.4499999999999999E-3</v>
      </c>
      <c r="D46" s="52">
        <v>9.1270000000000001E-4</v>
      </c>
      <c r="E46" s="52">
        <v>6.0569999999999999E-3</v>
      </c>
      <c r="F46" s="52">
        <v>1.428E-3</v>
      </c>
      <c r="G46" s="51">
        <v>0.5</v>
      </c>
    </row>
    <row r="47" spans="1:7">
      <c r="A47" s="23">
        <v>300</v>
      </c>
      <c r="B47" s="52">
        <v>9.3999999999999997E-4</v>
      </c>
      <c r="C47" s="52">
        <v>-1.5430000000000001E-3</v>
      </c>
      <c r="D47" s="52">
        <v>1.99E-3</v>
      </c>
      <c r="E47" s="52">
        <v>2.4E-2</v>
      </c>
      <c r="F47" s="52">
        <v>3.0730000000000002E-3</v>
      </c>
      <c r="G47" s="51">
        <v>0.5</v>
      </c>
    </row>
    <row r="48" spans="1:7">
      <c r="A48" s="23">
        <v>550</v>
      </c>
      <c r="B48" s="52">
        <v>7.2999999999999996E-4</v>
      </c>
      <c r="C48" s="52">
        <v>-1.5089999999999999E-3</v>
      </c>
      <c r="D48" s="52">
        <v>6.4819999999999999E-3</v>
      </c>
      <c r="E48" s="52">
        <v>6.3710000000000003E-2</v>
      </c>
      <c r="F48" s="52">
        <v>9.9330000000000009E-3</v>
      </c>
      <c r="G48" s="51">
        <v>0.5</v>
      </c>
    </row>
    <row r="49" spans="1:6">
      <c r="A49" s="50" t="s">
        <v>806</v>
      </c>
      <c r="B49" s="50" t="s">
        <v>948</v>
      </c>
      <c r="C49" s="50" t="s">
        <v>949</v>
      </c>
      <c r="D49" s="50" t="s">
        <v>950</v>
      </c>
    </row>
    <row r="50" spans="1:6">
      <c r="A50" s="23">
        <v>14</v>
      </c>
      <c r="B50" s="23">
        <v>115.9</v>
      </c>
      <c r="C50" s="23">
        <v>2.5</v>
      </c>
      <c r="D50" s="23">
        <v>1.87</v>
      </c>
    </row>
    <row r="51" spans="1:6">
      <c r="A51" s="23">
        <v>26</v>
      </c>
      <c r="B51" s="23">
        <v>70.83</v>
      </c>
      <c r="C51" s="23">
        <v>2.34</v>
      </c>
      <c r="D51" s="23">
        <v>1.65</v>
      </c>
    </row>
    <row r="52" spans="1:6">
      <c r="A52" s="23">
        <v>60</v>
      </c>
      <c r="B52" s="23">
        <v>357.1</v>
      </c>
      <c r="C52" s="23">
        <v>2.0499999999999998</v>
      </c>
      <c r="D52" s="23">
        <v>1.1200000000000001</v>
      </c>
    </row>
    <row r="53" spans="1:6">
      <c r="A53" s="23">
        <v>125</v>
      </c>
      <c r="B53" s="23">
        <v>53.05</v>
      </c>
      <c r="C53" s="23">
        <v>2.06</v>
      </c>
      <c r="D53" s="23">
        <v>1.56</v>
      </c>
    </row>
    <row r="54" spans="1:6">
      <c r="A54" s="23">
        <v>147</v>
      </c>
      <c r="B54" s="23">
        <v>52.16</v>
      </c>
      <c r="C54" s="23">
        <v>2</v>
      </c>
      <c r="D54" s="23">
        <v>1.57</v>
      </c>
    </row>
    <row r="55" spans="1:6">
      <c r="A55" s="23">
        <v>160</v>
      </c>
      <c r="B55" s="23">
        <v>52.16</v>
      </c>
      <c r="C55" s="23">
        <v>2</v>
      </c>
      <c r="D55" s="23">
        <v>1.57</v>
      </c>
    </row>
    <row r="56" spans="1:6">
      <c r="A56" s="23">
        <v>173</v>
      </c>
      <c r="B56" s="23">
        <v>52.16</v>
      </c>
      <c r="C56" s="23">
        <v>2</v>
      </c>
      <c r="D56" s="23">
        <v>1.57</v>
      </c>
    </row>
    <row r="57" spans="1:6">
      <c r="A57" s="23">
        <v>200</v>
      </c>
      <c r="B57" s="23">
        <v>37.97</v>
      </c>
      <c r="C57" s="23">
        <v>2.09</v>
      </c>
      <c r="D57" s="23">
        <v>1.68</v>
      </c>
    </row>
    <row r="58" spans="1:6">
      <c r="A58" s="23">
        <v>300</v>
      </c>
      <c r="B58" s="23">
        <v>37.97</v>
      </c>
      <c r="C58" s="23">
        <v>2.09</v>
      </c>
      <c r="D58" s="23">
        <v>1.68</v>
      </c>
    </row>
    <row r="59" spans="1:6">
      <c r="A59" s="23">
        <v>550</v>
      </c>
      <c r="B59" s="23">
        <v>181</v>
      </c>
      <c r="C59" s="23">
        <v>2.13</v>
      </c>
      <c r="D59" s="23">
        <v>1.47</v>
      </c>
    </row>
    <row r="60" spans="1:6">
      <c r="A60" s="56" t="s">
        <v>503</v>
      </c>
    </row>
    <row r="61" spans="1:6">
      <c r="A61" s="50" t="s">
        <v>947</v>
      </c>
      <c r="B61" s="50" t="s">
        <v>948</v>
      </c>
      <c r="C61" s="50" t="s">
        <v>949</v>
      </c>
      <c r="D61" s="50" t="s">
        <v>950</v>
      </c>
      <c r="E61" s="50" t="s">
        <v>951</v>
      </c>
      <c r="F61" s="50" t="s">
        <v>952</v>
      </c>
    </row>
    <row r="62" spans="1:6">
      <c r="A62" s="23">
        <v>14</v>
      </c>
      <c r="B62" s="51">
        <v>1</v>
      </c>
      <c r="C62" s="52">
        <v>-3.9540000000000002E-4</v>
      </c>
      <c r="D62" s="52">
        <v>4.27E-7</v>
      </c>
      <c r="E62" s="52">
        <v>-6.5149999999999999E-9</v>
      </c>
      <c r="F62" s="52">
        <v>6.9379999999999997E-12</v>
      </c>
    </row>
    <row r="63" spans="1:6">
      <c r="A63" s="23">
        <v>26</v>
      </c>
      <c r="B63" s="51">
        <v>1</v>
      </c>
      <c r="C63" s="52">
        <v>-8.0779999999999996E-5</v>
      </c>
      <c r="D63" s="52">
        <v>-1.111E-5</v>
      </c>
      <c r="E63" s="52">
        <v>2.344E-8</v>
      </c>
      <c r="F63" s="52">
        <v>-1.392E-11</v>
      </c>
    </row>
    <row r="64" spans="1:6">
      <c r="A64" s="23">
        <v>60</v>
      </c>
      <c r="B64" s="51">
        <v>1</v>
      </c>
      <c r="C64" s="52">
        <v>9.701E-4</v>
      </c>
      <c r="D64" s="52">
        <v>-7.5699999999999997E-5</v>
      </c>
      <c r="E64" s="52">
        <v>3.8490000000000001E-7</v>
      </c>
      <c r="F64" s="52">
        <v>-5.9770000000000001E-10</v>
      </c>
    </row>
    <row r="65" spans="1:19">
      <c r="A65" s="23">
        <v>125</v>
      </c>
      <c r="B65" s="51">
        <v>1</v>
      </c>
      <c r="C65" s="52">
        <v>1.236E-4</v>
      </c>
      <c r="D65" s="52">
        <v>-2.2379999999999999E-4</v>
      </c>
      <c r="E65" s="52">
        <v>2.0650000000000001E-6</v>
      </c>
      <c r="F65" s="52">
        <v>-5.6130000000000004E-9</v>
      </c>
    </row>
    <row r="66" spans="1:19">
      <c r="A66" s="23">
        <v>147</v>
      </c>
      <c r="B66" s="51">
        <v>1</v>
      </c>
      <c r="C66" s="52">
        <v>3.9760000000000002E-4</v>
      </c>
      <c r="D66" s="52">
        <v>-3.5799999999999997E-4</v>
      </c>
      <c r="E66" s="52">
        <v>4.1160000000000001E-6</v>
      </c>
      <c r="F66" s="52">
        <v>-1.3820000000000001E-8</v>
      </c>
    </row>
    <row r="67" spans="1:19">
      <c r="A67" s="23">
        <v>160</v>
      </c>
      <c r="B67" s="51">
        <v>1</v>
      </c>
      <c r="C67" s="52">
        <v>3.016E-3</v>
      </c>
      <c r="D67" s="52">
        <v>-5.8969999999999997E-4</v>
      </c>
      <c r="E67" s="52">
        <v>8.2279999999999998E-6</v>
      </c>
      <c r="F67" s="52">
        <v>-3.5019999999999999E-8</v>
      </c>
    </row>
    <row r="68" spans="1:19">
      <c r="A68" s="50" t="s">
        <v>953</v>
      </c>
      <c r="B68" s="50" t="s">
        <v>948</v>
      </c>
      <c r="C68" s="50" t="s">
        <v>949</v>
      </c>
      <c r="D68" s="50" t="s">
        <v>950</v>
      </c>
      <c r="E68" s="50" t="s">
        <v>951</v>
      </c>
      <c r="F68" s="50" t="s">
        <v>952</v>
      </c>
      <c r="G68" s="50" t="s">
        <v>954</v>
      </c>
    </row>
    <row r="69" spans="1:19">
      <c r="A69" s="23">
        <v>14</v>
      </c>
      <c r="B69" s="52">
        <v>-5.9450000000000003E-2</v>
      </c>
      <c r="C69" s="52">
        <v>8.7030000000000007E-3</v>
      </c>
      <c r="D69" s="52">
        <v>3.6230000000000002E-4</v>
      </c>
      <c r="E69" s="52">
        <v>5.2900000000000003E-2</v>
      </c>
      <c r="F69" s="52">
        <v>3.4739999999999999E-4</v>
      </c>
      <c r="G69" s="51">
        <v>2</v>
      </c>
    </row>
    <row r="70" spans="1:19">
      <c r="A70" s="23">
        <v>26</v>
      </c>
      <c r="B70" s="52">
        <v>-4.0669999999999998E-2</v>
      </c>
      <c r="C70" s="52">
        <v>1.6369999999999999E-2</v>
      </c>
      <c r="D70" s="52">
        <v>3.7419999999999999E-4</v>
      </c>
      <c r="E70" s="52">
        <v>5.3159999999999999E-2</v>
      </c>
      <c r="F70" s="52">
        <v>3.413E-4</v>
      </c>
      <c r="G70" s="51">
        <v>2</v>
      </c>
    </row>
    <row r="71" spans="1:19">
      <c r="A71" s="23">
        <v>60</v>
      </c>
      <c r="B71" s="52">
        <v>-0.16950000000000001</v>
      </c>
      <c r="C71" s="52">
        <v>0.1215</v>
      </c>
      <c r="D71" s="52">
        <v>1.213E-2</v>
      </c>
      <c r="E71" s="52">
        <v>0.69379999999999997</v>
      </c>
      <c r="F71" s="52">
        <v>1.0160000000000001E-2</v>
      </c>
      <c r="G71" s="51">
        <v>2</v>
      </c>
      <c r="L71" s="54"/>
      <c r="M71" s="51"/>
      <c r="N71" s="52"/>
      <c r="O71" s="52"/>
      <c r="P71" s="52"/>
      <c r="Q71" s="52"/>
      <c r="R71" s="52"/>
      <c r="S71" s="51"/>
    </row>
    <row r="72" spans="1:19">
      <c r="A72" s="23">
        <v>125</v>
      </c>
      <c r="B72" s="52">
        <v>5.3200000000000003E-4</v>
      </c>
      <c r="C72" s="52">
        <v>-6.8110000000000002E-4</v>
      </c>
      <c r="D72" s="52">
        <v>3.5060000000000001E-4</v>
      </c>
      <c r="E72" s="52">
        <v>1.052E-2</v>
      </c>
      <c r="F72" s="52">
        <v>1.694E-4</v>
      </c>
      <c r="G72" s="51">
        <v>0.5</v>
      </c>
      <c r="L72" s="54"/>
      <c r="M72" s="51"/>
      <c r="N72" s="52"/>
      <c r="O72" s="52"/>
      <c r="P72" s="52"/>
      <c r="Q72" s="52"/>
      <c r="R72" s="52"/>
      <c r="S72" s="51"/>
    </row>
    <row r="73" spans="1:19">
      <c r="A73" s="23">
        <v>147</v>
      </c>
      <c r="B73" s="52">
        <v>2.6699999999999998E-4</v>
      </c>
      <c r="C73" s="52">
        <v>-7.829E-4</v>
      </c>
      <c r="D73" s="52">
        <v>5.2899999999999996E-4</v>
      </c>
      <c r="E73" s="52">
        <v>2.215E-3</v>
      </c>
      <c r="F73" s="52">
        <v>2.6059999999999999E-4</v>
      </c>
      <c r="G73" s="51">
        <v>0.5</v>
      </c>
      <c r="L73" s="54"/>
      <c r="M73" s="51"/>
      <c r="N73" s="52"/>
      <c r="O73" s="52"/>
      <c r="P73" s="52"/>
      <c r="Q73" s="52"/>
      <c r="R73" s="52"/>
      <c r="S73" s="51"/>
    </row>
    <row r="74" spans="1:19">
      <c r="A74" s="23">
        <v>160</v>
      </c>
      <c r="B74" s="52">
        <v>2.6699999999999998E-4</v>
      </c>
      <c r="C74" s="52">
        <v>-7.829E-4</v>
      </c>
      <c r="D74" s="52">
        <v>5.2899999999999996E-4</v>
      </c>
      <c r="E74" s="52">
        <v>2.215E-3</v>
      </c>
      <c r="F74" s="52">
        <v>2.6059999999999999E-4</v>
      </c>
      <c r="G74" s="51">
        <v>0.5</v>
      </c>
      <c r="L74" s="54"/>
      <c r="M74" s="51"/>
      <c r="N74" s="52"/>
      <c r="O74" s="52"/>
      <c r="P74" s="52"/>
      <c r="Q74" s="52"/>
      <c r="R74" s="52"/>
      <c r="S74" s="51"/>
    </row>
    <row r="75" spans="1:19">
      <c r="A75" s="50" t="s">
        <v>806</v>
      </c>
      <c r="B75" s="50" t="s">
        <v>948</v>
      </c>
      <c r="C75" s="50" t="s">
        <v>949</v>
      </c>
      <c r="D75" s="50" t="s">
        <v>950</v>
      </c>
      <c r="L75" s="54"/>
      <c r="M75" s="51"/>
      <c r="N75" s="52"/>
      <c r="O75" s="52"/>
      <c r="P75" s="52"/>
      <c r="Q75" s="52"/>
      <c r="R75" s="52"/>
      <c r="S75" s="51"/>
    </row>
    <row r="76" spans="1:19">
      <c r="A76" s="23">
        <v>14</v>
      </c>
      <c r="B76" s="23">
        <v>388.8</v>
      </c>
      <c r="C76" s="23">
        <v>2.31</v>
      </c>
      <c r="D76" s="23">
        <v>1.54</v>
      </c>
      <c r="L76" s="54"/>
      <c r="M76" s="51"/>
      <c r="N76" s="52"/>
      <c r="O76" s="52"/>
      <c r="P76" s="52"/>
      <c r="Q76" s="52"/>
      <c r="R76" s="52"/>
      <c r="S76" s="51"/>
    </row>
    <row r="77" spans="1:19">
      <c r="A77" s="23">
        <v>26</v>
      </c>
      <c r="B77" s="23">
        <v>374.9</v>
      </c>
      <c r="C77" s="23">
        <v>2.21</v>
      </c>
      <c r="D77" s="23">
        <v>1.49</v>
      </c>
      <c r="L77" s="54"/>
      <c r="M77" s="51"/>
      <c r="N77" s="52"/>
      <c r="O77" s="52"/>
      <c r="P77" s="52"/>
      <c r="Q77" s="52"/>
      <c r="R77" s="52"/>
      <c r="S77" s="51"/>
    </row>
    <row r="78" spans="1:19">
      <c r="A78" s="23">
        <v>60</v>
      </c>
      <c r="B78" s="23">
        <v>492</v>
      </c>
      <c r="C78" s="23">
        <v>2.2200000000000002</v>
      </c>
      <c r="D78" s="23">
        <v>1.32</v>
      </c>
      <c r="L78" s="54"/>
      <c r="M78" s="51"/>
      <c r="N78" s="52"/>
      <c r="O78" s="52"/>
      <c r="P78" s="52"/>
      <c r="Q78" s="52"/>
      <c r="R78" s="52"/>
      <c r="S78" s="51"/>
    </row>
    <row r="79" spans="1:19">
      <c r="A79" s="23">
        <v>125</v>
      </c>
      <c r="B79" s="23">
        <v>246</v>
      </c>
      <c r="C79" s="23">
        <v>2.23</v>
      </c>
      <c r="D79" s="23">
        <v>1.47</v>
      </c>
      <c r="L79" s="54"/>
      <c r="M79" s="51"/>
      <c r="N79" s="52"/>
      <c r="O79" s="52"/>
      <c r="P79" s="52"/>
      <c r="Q79" s="52"/>
      <c r="R79" s="52"/>
      <c r="S79" s="51"/>
    </row>
    <row r="80" spans="1:19">
      <c r="A80" s="23">
        <v>147</v>
      </c>
      <c r="B80" s="23">
        <v>447.6</v>
      </c>
      <c r="C80" s="23">
        <v>2.2999999999999998</v>
      </c>
      <c r="D80" s="23">
        <v>1.41</v>
      </c>
      <c r="L80" s="54"/>
      <c r="M80" s="51"/>
      <c r="N80" s="52"/>
      <c r="O80" s="52"/>
      <c r="P80" s="52"/>
      <c r="Q80" s="52"/>
      <c r="R80" s="52"/>
      <c r="S80" s="51"/>
    </row>
    <row r="81" spans="1:19">
      <c r="A81" s="23">
        <v>160</v>
      </c>
      <c r="B81" s="23">
        <v>447.6</v>
      </c>
      <c r="C81" s="23">
        <v>2.2999999999999998</v>
      </c>
      <c r="D81" s="23">
        <v>1.41</v>
      </c>
      <c r="L81" s="54"/>
      <c r="M81" s="51"/>
      <c r="N81" s="52"/>
      <c r="O81" s="52"/>
      <c r="P81" s="52"/>
      <c r="Q81" s="52"/>
      <c r="R81" s="52"/>
      <c r="S81" s="51"/>
    </row>
    <row r="82" spans="1:19">
      <c r="A82" s="56" t="s">
        <v>858</v>
      </c>
      <c r="L82" s="54"/>
      <c r="M82" s="51"/>
      <c r="N82" s="52"/>
      <c r="O82" s="52"/>
      <c r="P82" s="52"/>
      <c r="Q82" s="52"/>
      <c r="R82" s="52"/>
      <c r="S82" s="51"/>
    </row>
    <row r="83" spans="1:19">
      <c r="A83" s="50" t="s">
        <v>947</v>
      </c>
      <c r="B83" s="50" t="s">
        <v>948</v>
      </c>
      <c r="C83" s="50" t="s">
        <v>949</v>
      </c>
      <c r="D83" s="50" t="s">
        <v>950</v>
      </c>
      <c r="E83" s="50" t="s">
        <v>951</v>
      </c>
      <c r="F83" s="50" t="s">
        <v>952</v>
      </c>
      <c r="L83" s="54"/>
      <c r="M83" s="51"/>
      <c r="N83" s="52"/>
      <c r="O83" s="52"/>
      <c r="P83" s="52"/>
      <c r="Q83" s="52"/>
      <c r="R83" s="52"/>
      <c r="S83" s="51"/>
    </row>
    <row r="84" spans="1:19">
      <c r="A84" s="23">
        <v>26</v>
      </c>
      <c r="B84" s="59">
        <v>1</v>
      </c>
      <c r="C84" s="59">
        <v>7.5000000000000002E-4</v>
      </c>
      <c r="D84" s="59">
        <v>-2.5299999999999998E-5</v>
      </c>
      <c r="E84" s="59">
        <v>8.42E-8</v>
      </c>
      <c r="F84" s="59">
        <v>-9.0999999999999996E-11</v>
      </c>
      <c r="L84" s="54"/>
      <c r="M84" s="51"/>
      <c r="N84" s="52"/>
      <c r="O84" s="52"/>
      <c r="P84" s="52"/>
      <c r="Q84" s="52"/>
      <c r="R84" s="52"/>
      <c r="S84" s="51"/>
    </row>
    <row r="85" spans="1:19">
      <c r="A85" s="23">
        <v>60</v>
      </c>
      <c r="B85" s="51">
        <v>1</v>
      </c>
      <c r="C85" s="52">
        <v>-1.1999999999999999E-3</v>
      </c>
      <c r="D85" s="52">
        <v>-3.0000000000000001E-5</v>
      </c>
      <c r="E85" s="52">
        <v>9.9999999999999995E-8</v>
      </c>
      <c r="F85" s="52">
        <v>-1E-10</v>
      </c>
      <c r="L85" s="54"/>
      <c r="M85" s="51"/>
      <c r="N85" s="52"/>
      <c r="O85" s="52"/>
      <c r="P85" s="52"/>
      <c r="Q85" s="52"/>
      <c r="R85" s="52"/>
      <c r="S85" s="51"/>
    </row>
    <row r="86" spans="1:19">
      <c r="A86" s="50" t="s">
        <v>953</v>
      </c>
      <c r="B86" s="50" t="s">
        <v>948</v>
      </c>
      <c r="C86" s="50" t="s">
        <v>949</v>
      </c>
      <c r="D86" s="50" t="s">
        <v>950</v>
      </c>
      <c r="E86" s="50" t="s">
        <v>951</v>
      </c>
      <c r="F86" s="50" t="s">
        <v>952</v>
      </c>
      <c r="G86" s="50" t="s">
        <v>954</v>
      </c>
      <c r="L86" s="54"/>
      <c r="M86" s="51"/>
      <c r="N86" s="52"/>
      <c r="O86" s="52"/>
      <c r="P86" s="52"/>
      <c r="Q86" s="52"/>
      <c r="R86" s="52"/>
      <c r="S86" s="51"/>
    </row>
    <row r="87" spans="1:19">
      <c r="A87" s="23">
        <v>26</v>
      </c>
      <c r="L87" s="54"/>
      <c r="M87" s="51"/>
      <c r="N87" s="52"/>
      <c r="O87" s="52"/>
      <c r="P87" s="52"/>
      <c r="Q87" s="52"/>
      <c r="R87" s="52"/>
      <c r="S87" s="51"/>
    </row>
    <row r="88" spans="1:19">
      <c r="A88" s="23">
        <v>60</v>
      </c>
      <c r="B88" s="52">
        <v>-0.16950000000000001</v>
      </c>
      <c r="C88" s="55">
        <v>0.13150000000000001</v>
      </c>
      <c r="D88" s="55">
        <v>1.2200000000000001E-2</v>
      </c>
      <c r="E88" s="55">
        <v>0.74339999999999995</v>
      </c>
      <c r="F88" s="55">
        <v>8.8909999999999996E-3</v>
      </c>
      <c r="G88" s="51">
        <v>2</v>
      </c>
      <c r="L88" s="54"/>
      <c r="M88" s="51"/>
      <c r="N88" s="52"/>
      <c r="O88" s="52"/>
      <c r="P88" s="52"/>
      <c r="Q88" s="52"/>
      <c r="R88" s="52"/>
      <c r="S88" s="51"/>
    </row>
    <row r="89" spans="1:19">
      <c r="A89" s="50" t="s">
        <v>806</v>
      </c>
      <c r="B89" s="50" t="s">
        <v>948</v>
      </c>
      <c r="C89" s="50" t="s">
        <v>949</v>
      </c>
      <c r="D89" s="50" t="s">
        <v>950</v>
      </c>
      <c r="L89" s="54"/>
      <c r="M89" s="51"/>
      <c r="N89" s="52"/>
      <c r="O89" s="52"/>
      <c r="P89" s="52"/>
      <c r="Q89" s="52"/>
      <c r="R89" s="52"/>
      <c r="S89" s="51"/>
    </row>
    <row r="90" spans="1:19">
      <c r="A90" s="23">
        <v>26</v>
      </c>
      <c r="B90" s="23">
        <v>665</v>
      </c>
      <c r="C90" s="23">
        <v>2.0499999999999998</v>
      </c>
      <c r="D90" s="23">
        <v>1.2</v>
      </c>
      <c r="L90" s="54"/>
      <c r="M90" s="51"/>
      <c r="N90" s="52"/>
      <c r="O90" s="52"/>
      <c r="P90" s="52"/>
      <c r="Q90" s="52"/>
      <c r="R90" s="52"/>
      <c r="S90" s="51"/>
    </row>
    <row r="91" spans="1:19">
      <c r="A91" s="23">
        <v>60</v>
      </c>
      <c r="B91" s="23">
        <v>665</v>
      </c>
      <c r="C91" s="23">
        <v>2.0499999999999998</v>
      </c>
      <c r="D91" s="23">
        <v>1.2</v>
      </c>
      <c r="L91" s="54"/>
      <c r="M91" s="51"/>
      <c r="N91" s="52"/>
      <c r="O91" s="52"/>
      <c r="P91" s="52"/>
      <c r="Q91" s="52"/>
      <c r="R91" s="52"/>
      <c r="S91" s="51"/>
    </row>
    <row r="92" spans="1:19">
      <c r="L92" s="54"/>
      <c r="M92" s="51"/>
      <c r="N92" s="52"/>
      <c r="O92" s="55"/>
      <c r="P92" s="55"/>
      <c r="Q92" s="55"/>
      <c r="R92" s="55"/>
      <c r="S92" s="51"/>
    </row>
    <row r="93" spans="1:19">
      <c r="L93" s="54"/>
      <c r="M93" s="51"/>
      <c r="N93" s="52"/>
      <c r="O93" s="55"/>
      <c r="P93" s="55"/>
      <c r="Q93" s="55"/>
      <c r="R93" s="55"/>
      <c r="S93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47"/>
  <sheetViews>
    <sheetView workbookViewId="0">
      <selection activeCell="H4" sqref="H4"/>
    </sheetView>
  </sheetViews>
  <sheetFormatPr defaultRowHeight="15"/>
  <sheetData>
    <row r="1" spans="1:16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78.75">
      <c r="A2" s="14" t="s">
        <v>791</v>
      </c>
      <c r="B2" s="65" t="s">
        <v>998</v>
      </c>
      <c r="C2" s="65" t="s">
        <v>792</v>
      </c>
      <c r="D2" s="65" t="s">
        <v>793</v>
      </c>
      <c r="E2" s="65"/>
      <c r="F2" s="359" t="s">
        <v>794</v>
      </c>
      <c r="G2" s="359"/>
      <c r="H2" s="359"/>
      <c r="I2" s="359"/>
      <c r="J2" s="360"/>
      <c r="K2" s="66" t="s">
        <v>1010</v>
      </c>
      <c r="L2" s="66" t="s">
        <v>1010</v>
      </c>
      <c r="M2" s="62" t="s">
        <v>1008</v>
      </c>
      <c r="N2" s="62" t="s">
        <v>1009</v>
      </c>
      <c r="O2" s="66" t="s">
        <v>1011</v>
      </c>
      <c r="P2" s="66" t="s">
        <v>1011</v>
      </c>
    </row>
    <row r="3" spans="1:16" ht="15.75">
      <c r="A3" s="18"/>
      <c r="B3" s="16"/>
      <c r="C3" s="9"/>
      <c r="D3" s="9"/>
      <c r="E3" s="9"/>
      <c r="F3" s="13">
        <v>200</v>
      </c>
      <c r="G3" s="13">
        <v>400</v>
      </c>
      <c r="H3" s="13">
        <v>500</v>
      </c>
      <c r="I3" s="13">
        <v>600</v>
      </c>
      <c r="J3" s="43">
        <v>800</v>
      </c>
      <c r="K3" s="46" t="s">
        <v>927</v>
      </c>
      <c r="L3" s="46" t="s">
        <v>932</v>
      </c>
      <c r="M3" s="53"/>
      <c r="N3" s="53"/>
      <c r="O3" s="46" t="s">
        <v>927</v>
      </c>
      <c r="P3" s="46" t="s">
        <v>932</v>
      </c>
    </row>
    <row r="4" spans="1:16" ht="15.75">
      <c r="A4" s="18">
        <v>6</v>
      </c>
      <c r="B4" s="17">
        <v>26240</v>
      </c>
      <c r="C4" s="10">
        <v>0.42099999999999999</v>
      </c>
      <c r="D4" s="10">
        <v>139.19999999999999</v>
      </c>
      <c r="E4" s="20">
        <f>D4*0.001</f>
        <v>0.13919999999999999</v>
      </c>
      <c r="F4" s="12">
        <v>26.596062162869462</v>
      </c>
      <c r="G4" s="12">
        <v>53.192124325738924</v>
      </c>
      <c r="H4" s="12">
        <v>66.490155407173646</v>
      </c>
      <c r="I4" s="12">
        <v>79.788186488608375</v>
      </c>
      <c r="J4" s="44">
        <v>106.384248651478</v>
      </c>
      <c r="K4" s="45">
        <v>12.5</v>
      </c>
      <c r="L4" s="45">
        <v>10.06</v>
      </c>
      <c r="M4" s="63">
        <v>0.16200000000000001</v>
      </c>
      <c r="N4" s="64">
        <f>M4*25.4*0.5</f>
        <v>2.0573999999999999</v>
      </c>
      <c r="O4" s="45"/>
      <c r="P4" s="45"/>
    </row>
    <row r="5" spans="1:16" ht="15.75">
      <c r="A5" s="18">
        <v>7</v>
      </c>
      <c r="B5" s="17">
        <v>20820</v>
      </c>
      <c r="C5" s="10">
        <v>0.376</v>
      </c>
      <c r="D5" s="10">
        <v>111</v>
      </c>
      <c r="E5" s="21">
        <f t="shared" ref="E5:E47" si="0">D5*0.001</f>
        <v>0.111</v>
      </c>
      <c r="F5" s="12">
        <v>21.101822832865714</v>
      </c>
      <c r="G5" s="12">
        <v>42.203645665731429</v>
      </c>
      <c r="H5" s="12">
        <v>52.754557082164283</v>
      </c>
      <c r="I5" s="12">
        <v>63.305468498597136</v>
      </c>
      <c r="J5" s="44">
        <v>84.407291331462858</v>
      </c>
      <c r="K5" s="45">
        <v>15.75</v>
      </c>
      <c r="L5" s="45">
        <v>10.15</v>
      </c>
      <c r="M5" s="63">
        <v>0.14430000000000001</v>
      </c>
      <c r="N5" s="64">
        <f t="shared" ref="N5:N47" si="1">M5*25.4*0.5</f>
        <v>1.8326100000000001</v>
      </c>
      <c r="O5" s="45"/>
      <c r="P5" s="45"/>
    </row>
    <row r="6" spans="1:16" ht="15.75">
      <c r="A6" s="19">
        <v>8</v>
      </c>
      <c r="B6" s="17">
        <v>16510</v>
      </c>
      <c r="C6" s="11">
        <v>0.33600000000000002</v>
      </c>
      <c r="D6" s="11">
        <v>88.7</v>
      </c>
      <c r="E6" s="21">
        <f t="shared" si="0"/>
        <v>8.8700000000000001E-2</v>
      </c>
      <c r="F6" s="12">
        <v>16.733761143455315</v>
      </c>
      <c r="G6" s="12">
        <v>33.467522286910629</v>
      </c>
      <c r="H6" s="12">
        <v>41.834402858638285</v>
      </c>
      <c r="I6" s="12">
        <v>50.20128343036594</v>
      </c>
      <c r="J6" s="44">
        <v>66.935044573821258</v>
      </c>
      <c r="K6" s="45">
        <v>19.850000000000001</v>
      </c>
      <c r="L6" s="45">
        <v>10.27</v>
      </c>
      <c r="M6" s="63">
        <v>0.1285</v>
      </c>
      <c r="N6" s="64">
        <f>M6*25.4*0.5</f>
        <v>1.63195</v>
      </c>
      <c r="O6" s="45">
        <v>65.8</v>
      </c>
      <c r="P6" s="45"/>
    </row>
    <row r="7" spans="1:16" ht="15.75">
      <c r="A7" s="19">
        <v>9</v>
      </c>
      <c r="B7" s="17">
        <v>13090</v>
      </c>
      <c r="C7" s="11">
        <v>0.29899999999999999</v>
      </c>
      <c r="D7" s="11">
        <v>70.2</v>
      </c>
      <c r="E7" s="21">
        <f t="shared" si="0"/>
        <v>7.0199999999999999E-2</v>
      </c>
      <c r="F7" s="12">
        <v>13.262926387282855</v>
      </c>
      <c r="G7" s="12">
        <v>26.52585277456571</v>
      </c>
      <c r="H7" s="12">
        <v>33.157315968207136</v>
      </c>
      <c r="I7" s="12">
        <v>39.788779161848566</v>
      </c>
      <c r="J7" s="44">
        <v>53.05170554913142</v>
      </c>
      <c r="K7" s="45">
        <v>25</v>
      </c>
      <c r="L7" s="45">
        <v>10.31</v>
      </c>
      <c r="M7" s="63">
        <v>0.1144</v>
      </c>
      <c r="N7" s="64">
        <f t="shared" si="1"/>
        <v>1.4528799999999999</v>
      </c>
      <c r="O7" s="45">
        <v>83</v>
      </c>
      <c r="P7" s="45"/>
    </row>
    <row r="8" spans="1:16" ht="15.75">
      <c r="A8" s="19">
        <v>10</v>
      </c>
      <c r="B8" s="17">
        <v>10380</v>
      </c>
      <c r="C8" s="11">
        <v>0.26700000000000002</v>
      </c>
      <c r="D8" s="11">
        <v>56</v>
      </c>
      <c r="E8" s="21">
        <f t="shared" si="0"/>
        <v>5.6000000000000001E-2</v>
      </c>
      <c r="F8" s="12">
        <v>10.522905694063136</v>
      </c>
      <c r="G8" s="12">
        <v>21.045811388126271</v>
      </c>
      <c r="H8" s="12">
        <v>26.307264235157838</v>
      </c>
      <c r="I8" s="12">
        <v>31.568717082189405</v>
      </c>
      <c r="J8" s="44">
        <v>42.091622776252542</v>
      </c>
      <c r="K8" s="45">
        <v>31.5</v>
      </c>
      <c r="L8" s="45">
        <v>7.57</v>
      </c>
      <c r="M8" s="63">
        <v>0.1019</v>
      </c>
      <c r="N8" s="64">
        <f t="shared" si="1"/>
        <v>1.29413</v>
      </c>
      <c r="O8" s="45">
        <v>104</v>
      </c>
      <c r="P8" s="45"/>
    </row>
    <row r="9" spans="1:16" ht="15.75">
      <c r="A9" s="19">
        <v>11</v>
      </c>
      <c r="B9" s="17">
        <v>8226</v>
      </c>
      <c r="C9" s="11">
        <v>0.23799999999999999</v>
      </c>
      <c r="D9" s="11">
        <v>44.5</v>
      </c>
      <c r="E9" s="21">
        <f t="shared" si="0"/>
        <v>4.4499999999999998E-2</v>
      </c>
      <c r="F9" s="12">
        <v>8.3368480194415486</v>
      </c>
      <c r="G9" s="12">
        <v>16.673696038883097</v>
      </c>
      <c r="H9" s="12">
        <v>20.842120048603871</v>
      </c>
      <c r="I9" s="12">
        <v>25.010544058324644</v>
      </c>
      <c r="J9" s="44">
        <v>33.347392077766195</v>
      </c>
      <c r="K9" s="45">
        <v>39</v>
      </c>
      <c r="L9" s="45">
        <v>7.58</v>
      </c>
      <c r="M9" s="63">
        <v>9.0700000000000003E-2</v>
      </c>
      <c r="N9" s="64">
        <f t="shared" si="1"/>
        <v>1.1518900000000001</v>
      </c>
      <c r="O9" s="45">
        <v>132</v>
      </c>
      <c r="P9" s="45"/>
    </row>
    <row r="10" spans="1:16" ht="15.75">
      <c r="A10" s="19">
        <v>12</v>
      </c>
      <c r="B10" s="17">
        <v>6529</v>
      </c>
      <c r="C10" s="11">
        <v>0.21299999999999999</v>
      </c>
      <c r="D10" s="11">
        <v>35.6</v>
      </c>
      <c r="E10" s="21">
        <f t="shared" si="0"/>
        <v>3.56E-2</v>
      </c>
      <c r="F10" s="12">
        <v>6.6162214326701747</v>
      </c>
      <c r="G10" s="12">
        <v>13.232442865340349</v>
      </c>
      <c r="H10" s="12">
        <v>16.540553581675436</v>
      </c>
      <c r="I10" s="12">
        <v>19.848664298010522</v>
      </c>
      <c r="J10" s="44">
        <v>26.464885730680699</v>
      </c>
      <c r="K10" s="45">
        <v>49.9</v>
      </c>
      <c r="L10" s="45">
        <v>7.59</v>
      </c>
      <c r="M10" s="63">
        <v>8.0799999999999997E-2</v>
      </c>
      <c r="N10" s="64">
        <f t="shared" si="1"/>
        <v>1.02616</v>
      </c>
      <c r="O10" s="45">
        <v>166</v>
      </c>
      <c r="P10" s="45"/>
    </row>
    <row r="11" spans="1:16" ht="15.75">
      <c r="A11" s="19">
        <v>13</v>
      </c>
      <c r="B11" s="17">
        <v>5184</v>
      </c>
      <c r="C11" s="11">
        <v>0.19020000000000001</v>
      </c>
      <c r="D11" s="11">
        <v>28.4</v>
      </c>
      <c r="E11" s="21">
        <f t="shared" si="0"/>
        <v>2.8399999999999998E-2</v>
      </c>
      <c r="F11" s="12">
        <v>5.2535431432828554</v>
      </c>
      <c r="G11" s="12">
        <v>10.507086286565711</v>
      </c>
      <c r="H11" s="12">
        <v>13.133857858207138</v>
      </c>
      <c r="I11" s="12">
        <v>15.760629429848565</v>
      </c>
      <c r="J11" s="44">
        <v>21.014172573131422</v>
      </c>
      <c r="K11" s="45">
        <v>62.9</v>
      </c>
      <c r="L11" s="45">
        <v>7.6</v>
      </c>
      <c r="M11" s="63">
        <v>7.1999999999999995E-2</v>
      </c>
      <c r="N11" s="64">
        <f>M11*25.4*0.5</f>
        <v>0.91439999999999988</v>
      </c>
      <c r="O11" s="45">
        <v>210</v>
      </c>
      <c r="P11" s="45"/>
    </row>
    <row r="12" spans="1:16" ht="15.75">
      <c r="A12" s="19">
        <v>14</v>
      </c>
      <c r="B12" s="17">
        <v>4109</v>
      </c>
      <c r="C12" s="11">
        <v>0.17150000000000001</v>
      </c>
      <c r="D12" s="11">
        <v>23.1</v>
      </c>
      <c r="E12" s="21">
        <f t="shared" si="0"/>
        <v>2.3100000000000002E-2</v>
      </c>
      <c r="F12" s="12">
        <v>4.1639295143811799</v>
      </c>
      <c r="G12" s="12">
        <v>8.3278590287623597</v>
      </c>
      <c r="H12" s="12">
        <v>10.40982378595295</v>
      </c>
      <c r="I12" s="12">
        <v>12.49178854314354</v>
      </c>
      <c r="J12" s="44">
        <v>16.655718057524719</v>
      </c>
      <c r="K12" s="45">
        <v>79.180000000000007</v>
      </c>
      <c r="L12" s="45">
        <v>7.94</v>
      </c>
      <c r="M12" s="63">
        <v>6.4100000000000004E-2</v>
      </c>
      <c r="N12" s="64">
        <f t="shared" si="1"/>
        <v>0.81406999999999996</v>
      </c>
      <c r="O12" s="45">
        <v>264</v>
      </c>
      <c r="P12" s="45"/>
    </row>
    <row r="13" spans="1:16" ht="15.75">
      <c r="A13" s="19">
        <v>15</v>
      </c>
      <c r="B13" s="17">
        <v>3260</v>
      </c>
      <c r="C13" s="11">
        <v>0.15290000000000001</v>
      </c>
      <c r="D13" s="11">
        <v>18.399999999999999</v>
      </c>
      <c r="E13" s="20">
        <f t="shared" si="0"/>
        <v>1.84E-2</v>
      </c>
      <c r="F13" s="12">
        <v>3.3041482638485449</v>
      </c>
      <c r="G13" s="12">
        <v>6.6082965276970898</v>
      </c>
      <c r="H13" s="12">
        <v>8.260370659621362</v>
      </c>
      <c r="I13" s="12">
        <v>9.9124447915456351</v>
      </c>
      <c r="J13" s="44">
        <v>13.21659305539418</v>
      </c>
      <c r="K13" s="45">
        <v>99.7</v>
      </c>
      <c r="L13" s="45">
        <v>7.98</v>
      </c>
      <c r="M13" s="63">
        <v>5.7099999999999998E-2</v>
      </c>
      <c r="N13" s="64">
        <f t="shared" si="1"/>
        <v>0.72516999999999998</v>
      </c>
      <c r="O13" s="45">
        <v>333</v>
      </c>
      <c r="P13" s="45"/>
    </row>
    <row r="14" spans="1:16" ht="15.75">
      <c r="A14" s="19">
        <v>16</v>
      </c>
      <c r="B14" s="17">
        <v>2581</v>
      </c>
      <c r="C14" s="11">
        <v>0.13689999999999999</v>
      </c>
      <c r="D14" s="11">
        <v>14.72</v>
      </c>
      <c r="E14" s="20">
        <f t="shared" si="0"/>
        <v>1.472E-2</v>
      </c>
      <c r="F14" s="12">
        <v>2.6152591777163332</v>
      </c>
      <c r="G14" s="12">
        <v>5.2305183554326664</v>
      </c>
      <c r="H14" s="12">
        <v>6.5381479442908335</v>
      </c>
      <c r="I14" s="12">
        <v>7.8457775331489996</v>
      </c>
      <c r="J14" s="44">
        <v>10.461036710865333</v>
      </c>
      <c r="K14" s="45">
        <v>125.6</v>
      </c>
      <c r="L14" s="45">
        <v>8.08</v>
      </c>
      <c r="M14" s="63">
        <v>5.0799999999999998E-2</v>
      </c>
      <c r="N14" s="64">
        <f t="shared" si="1"/>
        <v>0.64515999999999996</v>
      </c>
      <c r="O14" s="45">
        <v>421</v>
      </c>
      <c r="P14" s="45"/>
    </row>
    <row r="15" spans="1:16" ht="15.75">
      <c r="A15" s="19">
        <v>17</v>
      </c>
      <c r="B15" s="17">
        <v>2052</v>
      </c>
      <c r="C15" s="11">
        <v>0.12239999999999999</v>
      </c>
      <c r="D15" s="11">
        <v>11.77</v>
      </c>
      <c r="E15" s="20">
        <f t="shared" si="0"/>
        <v>1.1769999999999999E-2</v>
      </c>
      <c r="F15" s="12">
        <v>2.0796187015623682</v>
      </c>
      <c r="G15" s="12">
        <v>4.1592374031247363</v>
      </c>
      <c r="H15" s="12">
        <v>5.19904675390592</v>
      </c>
      <c r="I15" s="12">
        <v>6.2388561046871036</v>
      </c>
      <c r="J15" s="44">
        <v>8.3184748062494727</v>
      </c>
      <c r="K15" s="45">
        <v>157.69999999999999</v>
      </c>
      <c r="L15" s="45">
        <v>8.19</v>
      </c>
      <c r="M15" s="63">
        <v>4.53E-2</v>
      </c>
      <c r="N15" s="64">
        <f t="shared" si="1"/>
        <v>0.57530999999999999</v>
      </c>
      <c r="O15" s="45">
        <v>529</v>
      </c>
      <c r="P15" s="45"/>
    </row>
    <row r="16" spans="1:16" ht="15.75">
      <c r="A16" s="19">
        <v>18</v>
      </c>
      <c r="B16" s="17">
        <v>1624</v>
      </c>
      <c r="C16" s="11">
        <v>0.1095</v>
      </c>
      <c r="D16" s="11">
        <v>9.42</v>
      </c>
      <c r="E16" s="20">
        <f t="shared" si="0"/>
        <v>9.4199999999999996E-3</v>
      </c>
      <c r="F16" s="12">
        <v>1.6458770994549103</v>
      </c>
      <c r="G16" s="12">
        <v>3.2917541989098207</v>
      </c>
      <c r="H16" s="12">
        <v>4.1146927486372755</v>
      </c>
      <c r="I16" s="12">
        <v>4.9376312983647308</v>
      </c>
      <c r="J16" s="44">
        <v>6.5835083978196414</v>
      </c>
      <c r="K16" s="45">
        <v>199.2</v>
      </c>
      <c r="L16" s="45">
        <v>8.3000000000000007</v>
      </c>
      <c r="M16" s="63">
        <v>4.0300000000000002E-2</v>
      </c>
      <c r="N16" s="64">
        <f t="shared" si="1"/>
        <v>0.51180999999999999</v>
      </c>
      <c r="O16" s="45">
        <v>669</v>
      </c>
      <c r="P16" s="45"/>
    </row>
    <row r="17" spans="1:16" ht="15.75">
      <c r="A17" s="19">
        <v>19</v>
      </c>
      <c r="B17" s="17">
        <v>1289</v>
      </c>
      <c r="C17" s="11">
        <v>9.8000000000000004E-2</v>
      </c>
      <c r="D17" s="11">
        <v>7.54</v>
      </c>
      <c r="E17" s="20">
        <f t="shared" si="0"/>
        <v>7.5399999999999998E-3</v>
      </c>
      <c r="F17" s="12">
        <v>1.3060993322712922</v>
      </c>
      <c r="G17" s="12">
        <v>2.6121986645425843</v>
      </c>
      <c r="H17" s="12">
        <v>3.2652483306782303</v>
      </c>
      <c r="I17" s="12">
        <v>3.9182979968138762</v>
      </c>
      <c r="J17" s="44">
        <v>5.2243973290851686</v>
      </c>
      <c r="K17" s="45">
        <v>250.6</v>
      </c>
      <c r="L17" s="45">
        <v>8.3800000000000008</v>
      </c>
      <c r="M17" s="63">
        <v>3.5900000000000001E-2</v>
      </c>
      <c r="N17" s="64">
        <f t="shared" si="1"/>
        <v>0.45593</v>
      </c>
      <c r="O17" s="45">
        <v>843</v>
      </c>
      <c r="P17" s="45"/>
    </row>
    <row r="18" spans="1:16" ht="15.75">
      <c r="A18" s="19">
        <v>20</v>
      </c>
      <c r="B18" s="17">
        <v>1024</v>
      </c>
      <c r="C18" s="11">
        <v>8.7900000000000006E-2</v>
      </c>
      <c r="D18" s="11">
        <v>6.07</v>
      </c>
      <c r="E18" s="20">
        <f t="shared" si="0"/>
        <v>6.0700000000000007E-3</v>
      </c>
      <c r="F18" s="12">
        <v>1.0377369171916757</v>
      </c>
      <c r="G18" s="12">
        <v>2.0754738343833514</v>
      </c>
      <c r="H18" s="12">
        <v>2.5943422929791891</v>
      </c>
      <c r="I18" s="12">
        <v>3.1132107515750267</v>
      </c>
      <c r="J18" s="44">
        <v>4.1509476687667028</v>
      </c>
      <c r="K18" s="45">
        <v>314.5</v>
      </c>
      <c r="L18" s="45">
        <v>8.27</v>
      </c>
      <c r="M18" s="63">
        <v>3.2000000000000001E-2</v>
      </c>
      <c r="N18" s="64">
        <f t="shared" si="1"/>
        <v>0.40639999999999998</v>
      </c>
      <c r="O18" s="45">
        <v>1060</v>
      </c>
      <c r="P18" s="45"/>
    </row>
    <row r="19" spans="1:16" ht="15.75">
      <c r="A19" s="19">
        <v>21</v>
      </c>
      <c r="B19" s="17">
        <v>812.3</v>
      </c>
      <c r="C19" s="11">
        <v>7.85E-2</v>
      </c>
      <c r="D19" s="11">
        <v>4.84</v>
      </c>
      <c r="E19" s="20">
        <f t="shared" si="0"/>
        <v>4.8399999999999997E-3</v>
      </c>
      <c r="F19" s="12">
        <v>0.82314629979388532</v>
      </c>
      <c r="G19" s="12">
        <v>1.6462925995877706</v>
      </c>
      <c r="H19" s="12">
        <v>2.0578657494847135</v>
      </c>
      <c r="I19" s="12">
        <v>2.4694388993816561</v>
      </c>
      <c r="J19" s="44">
        <v>3.2925851991755413</v>
      </c>
      <c r="K19" s="45">
        <v>395.3</v>
      </c>
      <c r="L19" s="45">
        <v>8.3699999999999992</v>
      </c>
      <c r="M19" s="63">
        <v>2.8500000000000001E-2</v>
      </c>
      <c r="N19" s="64">
        <f t="shared" si="1"/>
        <v>0.36194999999999999</v>
      </c>
      <c r="O19" s="45">
        <v>1340</v>
      </c>
      <c r="P19" s="45"/>
    </row>
    <row r="20" spans="1:16" ht="15.75">
      <c r="A20" s="19">
        <v>22</v>
      </c>
      <c r="B20" s="17">
        <v>640.1</v>
      </c>
      <c r="C20" s="11">
        <v>7.0099999999999996E-2</v>
      </c>
      <c r="D20" s="11">
        <v>3.86</v>
      </c>
      <c r="E20" s="20">
        <f t="shared" si="0"/>
        <v>3.8600000000000001E-3</v>
      </c>
      <c r="F20" s="12">
        <v>0.64867678059103473</v>
      </c>
      <c r="G20" s="12">
        <v>1.2973535611820695</v>
      </c>
      <c r="H20" s="12">
        <v>1.6216919514775867</v>
      </c>
      <c r="I20" s="12">
        <v>1.9460303417731042</v>
      </c>
      <c r="J20" s="44">
        <v>2.5947071223641389</v>
      </c>
      <c r="K20" s="45">
        <v>502.5</v>
      </c>
      <c r="L20" s="45">
        <v>8.5299999999999994</v>
      </c>
      <c r="M20" s="63">
        <v>2.53E-2</v>
      </c>
      <c r="N20" s="64">
        <f t="shared" si="1"/>
        <v>0.32130999999999998</v>
      </c>
      <c r="O20" s="45">
        <v>1700</v>
      </c>
      <c r="P20" s="45"/>
    </row>
    <row r="21" spans="1:16" ht="15.75">
      <c r="A21" s="19">
        <v>23</v>
      </c>
      <c r="B21" s="17">
        <v>510.8</v>
      </c>
      <c r="C21" s="11">
        <v>6.3200000000000006E-2</v>
      </c>
      <c r="D21" s="11">
        <v>3.14</v>
      </c>
      <c r="E21" s="20">
        <f t="shared" si="0"/>
        <v>3.14E-3</v>
      </c>
      <c r="F21" s="12">
        <v>0.51761182404767581</v>
      </c>
      <c r="G21" s="12">
        <v>1.0352236480953516</v>
      </c>
      <c r="H21" s="12">
        <v>1.2940295601191893</v>
      </c>
      <c r="I21" s="12">
        <v>1.5528354721430273</v>
      </c>
      <c r="J21" s="44">
        <v>2.0704472961907032</v>
      </c>
      <c r="K21" s="45">
        <v>625</v>
      </c>
      <c r="L21" s="45">
        <v>8.8000000000000007</v>
      </c>
      <c r="M21" s="63">
        <v>2.2599999999999999E-2</v>
      </c>
      <c r="N21" s="64">
        <f t="shared" si="1"/>
        <v>0.28701999999999994</v>
      </c>
      <c r="O21" s="45">
        <v>2130</v>
      </c>
      <c r="P21" s="45"/>
    </row>
    <row r="22" spans="1:16" ht="15.75">
      <c r="A22" s="19">
        <v>24</v>
      </c>
      <c r="B22" s="17">
        <v>404</v>
      </c>
      <c r="C22" s="11">
        <v>5.6599999999999998E-2</v>
      </c>
      <c r="D22" s="11">
        <v>2.52</v>
      </c>
      <c r="E22" s="20">
        <f t="shared" si="0"/>
        <v>2.5200000000000001E-3</v>
      </c>
      <c r="F22" s="12">
        <v>0.40942977726036012</v>
      </c>
      <c r="G22" s="12">
        <v>0.81885955452072023</v>
      </c>
      <c r="H22" s="12">
        <v>1.0235744431509002</v>
      </c>
      <c r="I22" s="12">
        <v>1.2282893317810804</v>
      </c>
      <c r="J22" s="44">
        <v>1.6377191090414405</v>
      </c>
      <c r="K22" s="45">
        <v>790.5</v>
      </c>
      <c r="L22" s="45">
        <v>9.01</v>
      </c>
      <c r="M22" s="63">
        <v>2.01E-2</v>
      </c>
      <c r="N22" s="64">
        <f t="shared" si="1"/>
        <v>0.25527</v>
      </c>
      <c r="O22" s="45">
        <v>2690</v>
      </c>
      <c r="P22" s="45"/>
    </row>
    <row r="23" spans="1:16" ht="15.75">
      <c r="A23" s="19">
        <v>25</v>
      </c>
      <c r="B23" s="17">
        <v>320.39999999999998</v>
      </c>
      <c r="C23" s="11">
        <v>5.0500000000000003E-2</v>
      </c>
      <c r="D23" s="11">
        <v>2</v>
      </c>
      <c r="E23" s="20">
        <f t="shared" si="0"/>
        <v>2E-3</v>
      </c>
      <c r="F23" s="12">
        <v>0.32470828675525848</v>
      </c>
      <c r="G23" s="12">
        <v>0.64941657351051696</v>
      </c>
      <c r="H23" s="12">
        <v>0.81177071688814617</v>
      </c>
      <c r="I23" s="12">
        <v>0.97412486026577538</v>
      </c>
      <c r="J23" s="44">
        <v>1.2988331470210339</v>
      </c>
      <c r="K23" s="45">
        <v>992.1</v>
      </c>
      <c r="L23" s="45">
        <v>9.32</v>
      </c>
      <c r="M23" s="63">
        <v>1.7899999999999999E-2</v>
      </c>
      <c r="N23" s="64">
        <f t="shared" si="1"/>
        <v>0.22732999999999998</v>
      </c>
      <c r="O23" s="45">
        <v>3390</v>
      </c>
      <c r="P23" s="45"/>
    </row>
    <row r="24" spans="1:16" ht="15.75">
      <c r="A24" s="19">
        <v>26</v>
      </c>
      <c r="B24" s="17">
        <v>252.8</v>
      </c>
      <c r="C24" s="11">
        <v>4.5199999999999997E-2</v>
      </c>
      <c r="D24" s="11">
        <v>1.6</v>
      </c>
      <c r="E24" s="20">
        <f t="shared" si="0"/>
        <v>1.6000000000000001E-3</v>
      </c>
      <c r="F24" s="12">
        <v>0.25620143558127684</v>
      </c>
      <c r="G24" s="12">
        <v>0.51240287116255367</v>
      </c>
      <c r="H24" s="12">
        <v>0.64050358895319215</v>
      </c>
      <c r="I24" s="12">
        <v>0.76860430674383062</v>
      </c>
      <c r="J24" s="44">
        <v>1.0248057423251073</v>
      </c>
      <c r="K24" s="45">
        <v>1254</v>
      </c>
      <c r="L24" s="45">
        <v>9.06</v>
      </c>
      <c r="M24" s="63">
        <v>1.5900000000000001E-2</v>
      </c>
      <c r="N24" s="64">
        <f t="shared" si="1"/>
        <v>0.20193</v>
      </c>
      <c r="O24" s="45">
        <v>4300</v>
      </c>
      <c r="P24" s="45"/>
    </row>
    <row r="25" spans="1:16" ht="15.75">
      <c r="A25" s="19">
        <v>27</v>
      </c>
      <c r="B25" s="17">
        <v>201.6</v>
      </c>
      <c r="C25" s="11">
        <v>4.0899999999999999E-2</v>
      </c>
      <c r="D25" s="11">
        <v>1.31</v>
      </c>
      <c r="E25" s="20">
        <f t="shared" si="0"/>
        <v>1.3100000000000002E-3</v>
      </c>
      <c r="F25" s="12">
        <v>0.20434499217043892</v>
      </c>
      <c r="G25" s="12">
        <v>0.40868998434087783</v>
      </c>
      <c r="H25" s="12">
        <v>0.51086248042609728</v>
      </c>
      <c r="I25" s="12">
        <v>0.61303497651131678</v>
      </c>
      <c r="J25" s="44">
        <v>0.81737996868175566</v>
      </c>
      <c r="K25" s="45">
        <v>1571</v>
      </c>
      <c r="L25" s="45">
        <v>9</v>
      </c>
      <c r="M25" s="63">
        <v>1.4200000000000001E-2</v>
      </c>
      <c r="N25" s="64">
        <f t="shared" si="1"/>
        <v>0.18034</v>
      </c>
      <c r="O25" s="45">
        <v>5390</v>
      </c>
      <c r="P25" s="45"/>
    </row>
    <row r="26" spans="1:16" ht="15.75">
      <c r="A26" s="19">
        <v>28</v>
      </c>
      <c r="B26" s="17">
        <v>158.80000000000001</v>
      </c>
      <c r="C26" s="11">
        <v>3.6600000000000001E-2</v>
      </c>
      <c r="D26" s="11">
        <v>1.05</v>
      </c>
      <c r="E26" s="20">
        <f t="shared" si="0"/>
        <v>1.0500000000000002E-3</v>
      </c>
      <c r="F26" s="12">
        <v>0.16088975876303743</v>
      </c>
      <c r="G26" s="12">
        <v>0.32177951752607487</v>
      </c>
      <c r="H26" s="12">
        <v>0.40222439690759398</v>
      </c>
      <c r="I26" s="12">
        <v>0.48266927628911233</v>
      </c>
      <c r="J26" s="44">
        <v>0.64355903505214973</v>
      </c>
      <c r="K26" s="45">
        <v>1987</v>
      </c>
      <c r="L26" s="45">
        <v>9</v>
      </c>
      <c r="M26" s="63">
        <v>1.26E-2</v>
      </c>
      <c r="N26" s="64">
        <f t="shared" si="1"/>
        <v>0.16002</v>
      </c>
      <c r="O26" s="45">
        <v>6845</v>
      </c>
      <c r="P26" s="45"/>
    </row>
    <row r="27" spans="1:16" ht="15.75">
      <c r="A27" s="19">
        <v>29</v>
      </c>
      <c r="B27" s="17">
        <v>127.7</v>
      </c>
      <c r="C27" s="11">
        <v>3.3000000000000002E-2</v>
      </c>
      <c r="D27" s="11">
        <v>0.85499999999999998</v>
      </c>
      <c r="E27" s="20">
        <f t="shared" si="0"/>
        <v>8.5499999999999997E-4</v>
      </c>
      <c r="F27" s="12">
        <v>0.12940295601191895</v>
      </c>
      <c r="G27" s="12">
        <v>0.2588059120238379</v>
      </c>
      <c r="H27" s="12">
        <v>0.32350739002979734</v>
      </c>
      <c r="I27" s="12">
        <v>0.38820886803575683</v>
      </c>
      <c r="J27" s="44">
        <v>0.51761182404767581</v>
      </c>
      <c r="K27" s="45">
        <v>2463</v>
      </c>
      <c r="L27" s="45">
        <v>9</v>
      </c>
      <c r="M27" s="63">
        <v>1.1299999999999999E-2</v>
      </c>
      <c r="N27" s="64">
        <f t="shared" si="1"/>
        <v>0.14350999999999997</v>
      </c>
      <c r="O27" s="45">
        <v>8503</v>
      </c>
      <c r="P27" s="45"/>
    </row>
    <row r="28" spans="1:16" ht="15.75">
      <c r="A28" s="19">
        <v>30</v>
      </c>
      <c r="B28" s="17">
        <v>100</v>
      </c>
      <c r="C28" s="11">
        <v>2.9499999999999998E-2</v>
      </c>
      <c r="D28" s="11">
        <v>0.68300000000000005</v>
      </c>
      <c r="E28" s="20">
        <f t="shared" si="0"/>
        <v>6.8300000000000001E-4</v>
      </c>
      <c r="F28" s="12">
        <v>0.10134149581949956</v>
      </c>
      <c r="G28" s="12">
        <v>0.20268299163899911</v>
      </c>
      <c r="H28" s="12">
        <v>0.2533537395487489</v>
      </c>
      <c r="I28" s="12">
        <v>0.30402448745849869</v>
      </c>
      <c r="J28" s="44">
        <v>0.40536598327799822</v>
      </c>
      <c r="K28" s="45">
        <v>3136</v>
      </c>
      <c r="L28" s="45">
        <v>9</v>
      </c>
      <c r="M28" s="63">
        <v>0.01</v>
      </c>
      <c r="N28" s="64">
        <f t="shared" si="1"/>
        <v>0.127</v>
      </c>
      <c r="O28" s="45">
        <v>10870</v>
      </c>
      <c r="P28" s="45"/>
    </row>
    <row r="29" spans="1:16" ht="15.75">
      <c r="A29" s="19">
        <v>31</v>
      </c>
      <c r="B29" s="17">
        <v>79.209999999999994</v>
      </c>
      <c r="C29" s="11">
        <v>2.6700000000000002E-2</v>
      </c>
      <c r="D29" s="11">
        <v>0.56000000000000005</v>
      </c>
      <c r="E29" s="20">
        <f t="shared" si="0"/>
        <v>5.6000000000000006E-4</v>
      </c>
      <c r="F29" s="12">
        <v>8.02725988386256E-2</v>
      </c>
      <c r="G29" s="12">
        <v>0.1605451976772512</v>
      </c>
      <c r="H29" s="12">
        <v>0.20068149709656399</v>
      </c>
      <c r="I29" s="12">
        <v>0.24081779651587679</v>
      </c>
      <c r="J29" s="44">
        <v>0.3210903953545024</v>
      </c>
      <c r="K29" s="45">
        <v>3948</v>
      </c>
      <c r="L29" s="45">
        <v>9</v>
      </c>
      <c r="M29" s="63">
        <v>8.8999999999999999E-3</v>
      </c>
      <c r="N29" s="64">
        <f t="shared" si="1"/>
        <v>0.11302999999999999</v>
      </c>
      <c r="O29" s="45">
        <v>13717</v>
      </c>
      <c r="P29" s="45"/>
    </row>
    <row r="30" spans="1:16" ht="15.75">
      <c r="A30" s="19">
        <v>32</v>
      </c>
      <c r="B30" s="17">
        <v>64</v>
      </c>
      <c r="C30" s="11">
        <v>2.41E-2</v>
      </c>
      <c r="D30" s="11">
        <v>0.45600000000000002</v>
      </c>
      <c r="E30" s="20">
        <f t="shared" si="0"/>
        <v>4.5600000000000003E-4</v>
      </c>
      <c r="F30" s="12">
        <v>6.4858557324479732E-2</v>
      </c>
      <c r="G30" s="12">
        <v>0.12971711464895946</v>
      </c>
      <c r="H30" s="12">
        <v>0.16214639331119932</v>
      </c>
      <c r="I30" s="12">
        <v>0.19457567197343917</v>
      </c>
      <c r="J30" s="44">
        <v>0.25943422929791893</v>
      </c>
      <c r="K30" s="45">
        <v>4873</v>
      </c>
      <c r="L30" s="45">
        <v>9</v>
      </c>
      <c r="M30" s="63">
        <v>8.0000000000000002E-3</v>
      </c>
      <c r="N30" s="64">
        <f t="shared" si="1"/>
        <v>0.1016</v>
      </c>
      <c r="O30" s="45">
        <v>16978</v>
      </c>
      <c r="P30" s="45"/>
    </row>
    <row r="31" spans="1:16" ht="15.75">
      <c r="A31" s="19">
        <v>33</v>
      </c>
      <c r="B31" s="17">
        <v>50.41</v>
      </c>
      <c r="C31" s="11">
        <v>2.1600000000000001E-2</v>
      </c>
      <c r="D31" s="11">
        <v>0.36599999999999999</v>
      </c>
      <c r="E31" s="20">
        <f t="shared" si="0"/>
        <v>3.6600000000000001E-4</v>
      </c>
      <c r="F31" s="12">
        <v>5.1086248042609729E-2</v>
      </c>
      <c r="G31" s="12">
        <v>0.10217249608521946</v>
      </c>
      <c r="H31" s="12">
        <v>0.12771562010652432</v>
      </c>
      <c r="I31" s="12">
        <v>0.15325874412782919</v>
      </c>
      <c r="J31" s="44">
        <v>0.20434499217043892</v>
      </c>
      <c r="K31" s="45">
        <v>6161</v>
      </c>
      <c r="L31" s="45">
        <v>9</v>
      </c>
      <c r="M31" s="63">
        <v>7.1000000000000004E-3</v>
      </c>
      <c r="N31" s="64">
        <f t="shared" si="1"/>
        <v>9.017E-2</v>
      </c>
      <c r="O31" s="45">
        <v>21552</v>
      </c>
      <c r="P31" s="45"/>
    </row>
    <row r="32" spans="1:16" ht="15.75">
      <c r="A32" s="19">
        <v>34</v>
      </c>
      <c r="B32" s="17">
        <v>39.69</v>
      </c>
      <c r="C32" s="11">
        <v>1.9050000000000001E-2</v>
      </c>
      <c r="D32" s="11">
        <v>0.28499999999999998</v>
      </c>
      <c r="E32" s="20">
        <f t="shared" si="0"/>
        <v>2.8499999999999999E-4</v>
      </c>
      <c r="F32" s="12">
        <v>4.0222439690759358E-2</v>
      </c>
      <c r="G32" s="12">
        <v>8.0444879381518716E-2</v>
      </c>
      <c r="H32" s="12">
        <v>0.1005560992268984</v>
      </c>
      <c r="I32" s="12">
        <v>0.12066731907227808</v>
      </c>
      <c r="J32" s="44">
        <v>0.16088975876303743</v>
      </c>
      <c r="K32" s="45">
        <v>7837</v>
      </c>
      <c r="L32" s="45">
        <v>9</v>
      </c>
      <c r="M32" s="63">
        <v>6.3E-3</v>
      </c>
      <c r="N32" s="64">
        <f t="shared" si="1"/>
        <v>8.0009999999999998E-2</v>
      </c>
      <c r="O32" s="45">
        <v>27397</v>
      </c>
      <c r="P32" s="45"/>
    </row>
    <row r="33" spans="1:16" ht="15.75">
      <c r="A33" s="19">
        <v>35</v>
      </c>
      <c r="B33" s="17">
        <v>31.36</v>
      </c>
      <c r="C33" s="11">
        <v>1.702E-2</v>
      </c>
      <c r="D33" s="11">
        <v>0.22800000000000001</v>
      </c>
      <c r="E33" s="20">
        <f t="shared" si="0"/>
        <v>2.2800000000000001E-4</v>
      </c>
      <c r="F33" s="12">
        <v>3.178069308899506E-2</v>
      </c>
      <c r="G33" s="12">
        <v>6.356138617799012E-2</v>
      </c>
      <c r="H33" s="12">
        <v>7.945173272248765E-2</v>
      </c>
      <c r="I33" s="12">
        <v>9.534207926698518E-2</v>
      </c>
      <c r="J33" s="44">
        <v>0.12712277235598024</v>
      </c>
      <c r="K33" s="45">
        <v>9891</v>
      </c>
      <c r="L33" s="45">
        <v>9</v>
      </c>
      <c r="M33" s="63">
        <v>5.5999999999999999E-3</v>
      </c>
      <c r="N33" s="64">
        <f t="shared" si="1"/>
        <v>7.1119999999999989E-2</v>
      </c>
      <c r="O33" s="45">
        <v>34602</v>
      </c>
      <c r="P33" s="45"/>
    </row>
    <row r="34" spans="1:16" ht="15.75">
      <c r="A34" s="19">
        <v>36</v>
      </c>
      <c r="B34" s="17">
        <v>25</v>
      </c>
      <c r="C34" s="11">
        <v>1.524E-2</v>
      </c>
      <c r="D34" s="11">
        <v>0.182</v>
      </c>
      <c r="E34" s="20">
        <f t="shared" si="0"/>
        <v>1.8200000000000001E-4</v>
      </c>
      <c r="F34" s="12">
        <v>2.5335373954874889E-2</v>
      </c>
      <c r="G34" s="12">
        <v>5.0670747909749778E-2</v>
      </c>
      <c r="H34" s="12">
        <v>6.3338434887187225E-2</v>
      </c>
      <c r="I34" s="12">
        <v>7.6006121864624673E-2</v>
      </c>
      <c r="J34" s="44">
        <v>0.10134149581949956</v>
      </c>
      <c r="K34" s="45">
        <v>12380</v>
      </c>
      <c r="L34" s="45">
        <v>9</v>
      </c>
      <c r="M34" s="63">
        <v>5.0000000000000001E-3</v>
      </c>
      <c r="N34" s="64">
        <f t="shared" si="1"/>
        <v>6.3500000000000001E-2</v>
      </c>
      <c r="O34" s="45">
        <v>43478</v>
      </c>
      <c r="P34" s="45"/>
    </row>
    <row r="35" spans="1:16" ht="15.75">
      <c r="A35" s="19">
        <v>37</v>
      </c>
      <c r="B35" s="17">
        <v>20.25</v>
      </c>
      <c r="C35" s="11">
        <v>1.397E-2</v>
      </c>
      <c r="D35" s="11">
        <v>0.153</v>
      </c>
      <c r="E35" s="20">
        <f t="shared" si="0"/>
        <v>1.5300000000000001E-4</v>
      </c>
      <c r="F35" s="12">
        <v>2.0521652903448654E-2</v>
      </c>
      <c r="G35" s="12">
        <v>4.1043305806897308E-2</v>
      </c>
      <c r="H35" s="12">
        <v>5.1304132258621633E-2</v>
      </c>
      <c r="I35" s="12">
        <v>6.1564958710345959E-2</v>
      </c>
      <c r="J35" s="44">
        <v>8.2086611613794616E-2</v>
      </c>
      <c r="K35" s="45">
        <v>15290</v>
      </c>
      <c r="L35" s="45">
        <v>9</v>
      </c>
      <c r="M35" s="63">
        <v>4.4999999999999997E-3</v>
      </c>
      <c r="N35" s="64">
        <f t="shared" si="1"/>
        <v>5.7149999999999992E-2</v>
      </c>
      <c r="O35" s="45">
        <v>53763</v>
      </c>
      <c r="P35" s="45"/>
    </row>
    <row r="36" spans="1:16" ht="15.75">
      <c r="A36" s="19">
        <v>38</v>
      </c>
      <c r="B36" s="17">
        <v>16</v>
      </c>
      <c r="C36" s="11">
        <v>1.2449999999999999E-2</v>
      </c>
      <c r="D36" s="11">
        <v>0.122</v>
      </c>
      <c r="E36" s="20">
        <f t="shared" si="0"/>
        <v>1.22E-4</v>
      </c>
      <c r="F36" s="12">
        <v>1.6214639331119933E-2</v>
      </c>
      <c r="G36" s="12">
        <v>3.2429278662239866E-2</v>
      </c>
      <c r="H36" s="12">
        <v>4.0536598327799829E-2</v>
      </c>
      <c r="I36" s="12">
        <v>4.8643917993359792E-2</v>
      </c>
      <c r="J36" s="44">
        <v>6.4858557324479732E-2</v>
      </c>
      <c r="K36" s="45">
        <v>19360</v>
      </c>
      <c r="L36" s="45">
        <v>9</v>
      </c>
      <c r="M36" s="63">
        <v>4.0000000000000001E-3</v>
      </c>
      <c r="N36" s="64">
        <f t="shared" si="1"/>
        <v>5.0799999999999998E-2</v>
      </c>
      <c r="O36" s="45">
        <v>68027</v>
      </c>
      <c r="P36" s="45"/>
    </row>
    <row r="37" spans="1:16" ht="15.75">
      <c r="A37" s="19">
        <v>39</v>
      </c>
      <c r="B37" s="17">
        <v>12.25</v>
      </c>
      <c r="C37" s="11">
        <v>1.0919999999999999E-2</v>
      </c>
      <c r="D37" s="11">
        <v>9.4E-2</v>
      </c>
      <c r="E37" s="20">
        <f t="shared" si="0"/>
        <v>9.4000000000000008E-5</v>
      </c>
      <c r="F37" s="12">
        <v>1.2414333237888694E-2</v>
      </c>
      <c r="G37" s="12">
        <v>2.4828666475777389E-2</v>
      </c>
      <c r="H37" s="12">
        <v>3.103583309472174E-2</v>
      </c>
      <c r="I37" s="12">
        <v>3.7242999713666083E-2</v>
      </c>
      <c r="J37" s="44">
        <v>4.9657332951554778E-2</v>
      </c>
      <c r="K37" s="45">
        <v>25270</v>
      </c>
      <c r="L37" s="45">
        <v>9</v>
      </c>
      <c r="M37" s="63">
        <v>3.5000000000000001E-3</v>
      </c>
      <c r="N37" s="64">
        <f t="shared" si="1"/>
        <v>4.4449999999999996E-2</v>
      </c>
      <c r="O37" s="45">
        <v>88496</v>
      </c>
      <c r="P37" s="45"/>
    </row>
    <row r="38" spans="1:16" ht="15.75">
      <c r="A38" s="19">
        <v>40</v>
      </c>
      <c r="B38" s="17">
        <v>9.61</v>
      </c>
      <c r="C38" s="11">
        <v>9.6500000000000006E-3</v>
      </c>
      <c r="D38" s="11">
        <v>7.2999999999999995E-2</v>
      </c>
      <c r="E38" s="20">
        <f t="shared" si="0"/>
        <v>7.2999999999999999E-5</v>
      </c>
      <c r="F38" s="12">
        <v>9.7389177482539047E-3</v>
      </c>
      <c r="G38" s="12">
        <v>1.9477835496507809E-2</v>
      </c>
      <c r="H38" s="12">
        <v>2.4347294370634761E-2</v>
      </c>
      <c r="I38" s="12">
        <v>2.9216753244761712E-2</v>
      </c>
      <c r="J38" s="44">
        <v>3.8955670993015619E-2</v>
      </c>
      <c r="K38" s="45">
        <v>31940</v>
      </c>
      <c r="L38" s="45">
        <v>9</v>
      </c>
      <c r="M38" s="63">
        <v>3.0999999999999999E-3</v>
      </c>
      <c r="N38" s="64">
        <f t="shared" si="1"/>
        <v>3.9369999999999995E-2</v>
      </c>
      <c r="O38" s="45">
        <v>113636</v>
      </c>
      <c r="P38" s="45"/>
    </row>
    <row r="39" spans="1:16" ht="15.75">
      <c r="A39" s="19">
        <v>41</v>
      </c>
      <c r="B39" s="17">
        <v>7.84</v>
      </c>
      <c r="C39" s="11">
        <v>8.6400000000000001E-3</v>
      </c>
      <c r="D39" s="11">
        <v>5.8999999999999997E-2</v>
      </c>
      <c r="E39" s="20">
        <f t="shared" si="0"/>
        <v>5.8999999999999998E-5</v>
      </c>
      <c r="F39" s="12">
        <v>7.945173272248765E-3</v>
      </c>
      <c r="G39" s="12">
        <v>1.589034654449753E-2</v>
      </c>
      <c r="H39" s="12">
        <v>1.9862933180621913E-2</v>
      </c>
      <c r="I39" s="12">
        <v>2.3835519816746295E-2</v>
      </c>
      <c r="J39" s="44">
        <v>3.178069308899506E-2</v>
      </c>
      <c r="K39" s="45">
        <v>39340</v>
      </c>
      <c r="L39" s="45">
        <v>9</v>
      </c>
      <c r="M39" s="63">
        <v>2.8E-3</v>
      </c>
      <c r="N39" s="64">
        <f t="shared" si="1"/>
        <v>3.5559999999999994E-2</v>
      </c>
      <c r="O39" s="45">
        <v>138889</v>
      </c>
      <c r="P39" s="45"/>
    </row>
    <row r="40" spans="1:16" ht="15.75">
      <c r="A40" s="19">
        <v>42</v>
      </c>
      <c r="B40" s="17">
        <v>6.25</v>
      </c>
      <c r="C40" s="11">
        <v>7.62E-3</v>
      </c>
      <c r="D40" s="11">
        <v>4.5999999999999999E-2</v>
      </c>
      <c r="E40" s="20">
        <f t="shared" si="0"/>
        <v>4.6E-5</v>
      </c>
      <c r="F40" s="12">
        <v>6.3338434887187222E-3</v>
      </c>
      <c r="G40" s="12">
        <v>1.2667686977437444E-2</v>
      </c>
      <c r="H40" s="12">
        <v>1.5834608721796806E-2</v>
      </c>
      <c r="I40" s="12">
        <v>1.9001530466156168E-2</v>
      </c>
      <c r="J40" s="44">
        <v>2.5335373954874889E-2</v>
      </c>
      <c r="K40" s="45">
        <v>49600</v>
      </c>
      <c r="L40" s="45">
        <v>9</v>
      </c>
      <c r="M40" s="63">
        <v>2.5000000000000001E-3</v>
      </c>
      <c r="N40" s="64">
        <f t="shared" si="1"/>
        <v>3.175E-2</v>
      </c>
      <c r="O40" s="45">
        <v>172414</v>
      </c>
      <c r="P40" s="45"/>
    </row>
    <row r="41" spans="1:16" ht="15.75">
      <c r="A41" s="19">
        <v>43</v>
      </c>
      <c r="B41" s="17">
        <v>4.84</v>
      </c>
      <c r="C41" s="11">
        <v>6.8599999999999998E-3</v>
      </c>
      <c r="D41" s="11">
        <v>3.6999999999999998E-2</v>
      </c>
      <c r="E41" s="20">
        <f t="shared" si="0"/>
        <v>3.6999999999999998E-5</v>
      </c>
      <c r="F41" s="12">
        <v>4.904928397663778E-3</v>
      </c>
      <c r="G41" s="12">
        <v>9.809856795327556E-3</v>
      </c>
      <c r="H41" s="12">
        <v>1.2262320994159446E-2</v>
      </c>
      <c r="I41" s="12">
        <v>1.4714785192991334E-2</v>
      </c>
      <c r="J41" s="44">
        <v>1.9619713590655112E-2</v>
      </c>
      <c r="K41" s="45">
        <v>63170</v>
      </c>
      <c r="L41" s="45">
        <v>9</v>
      </c>
      <c r="M41" s="63">
        <v>2.2000000000000001E-3</v>
      </c>
      <c r="N41" s="64">
        <f t="shared" si="1"/>
        <v>2.794E-2</v>
      </c>
      <c r="O41" s="45">
        <v>22222</v>
      </c>
      <c r="P41" s="45"/>
    </row>
    <row r="42" spans="1:16" ht="15.75">
      <c r="A42" s="19">
        <v>44</v>
      </c>
      <c r="B42" s="17">
        <v>4</v>
      </c>
      <c r="C42" s="11">
        <v>6.3499999999999997E-3</v>
      </c>
      <c r="D42" s="11">
        <v>3.2000000000000001E-2</v>
      </c>
      <c r="E42" s="20">
        <f t="shared" si="0"/>
        <v>3.1999999999999999E-5</v>
      </c>
      <c r="F42" s="12">
        <v>4.0536598327799832E-3</v>
      </c>
      <c r="G42" s="12">
        <v>8.1073196655599665E-3</v>
      </c>
      <c r="H42" s="12">
        <v>1.0134149581949957E-2</v>
      </c>
      <c r="I42" s="12">
        <v>1.2160979498339948E-2</v>
      </c>
      <c r="J42" s="44">
        <v>1.6214639331119933E-2</v>
      </c>
      <c r="K42" s="45">
        <v>76160</v>
      </c>
      <c r="L42" s="45">
        <v>9</v>
      </c>
      <c r="M42" s="63">
        <v>2E-3</v>
      </c>
      <c r="N42" s="64">
        <f t="shared" si="1"/>
        <v>2.5399999999999999E-2</v>
      </c>
      <c r="O42" s="45">
        <v>270270</v>
      </c>
      <c r="P42" s="45"/>
    </row>
    <row r="43" spans="1:16" ht="15.75">
      <c r="A43" s="19">
        <v>45</v>
      </c>
      <c r="B43" s="17">
        <v>3.1</v>
      </c>
      <c r="C43" s="11">
        <v>5.4599999999999996E-3</v>
      </c>
      <c r="D43" s="11">
        <v>2.3E-2</v>
      </c>
      <c r="E43" s="20">
        <f t="shared" si="0"/>
        <v>2.3E-5</v>
      </c>
      <c r="F43" s="12">
        <v>3.1391541745048185E-3</v>
      </c>
      <c r="G43" s="12">
        <v>6.278308349009637E-3</v>
      </c>
      <c r="H43" s="12">
        <v>7.8478854362620462E-3</v>
      </c>
      <c r="I43" s="12">
        <v>9.4174625235144555E-3</v>
      </c>
      <c r="J43" s="44">
        <v>1.2556616698019274E-2</v>
      </c>
      <c r="K43" s="45">
        <v>99110</v>
      </c>
      <c r="L43" s="45">
        <v>9</v>
      </c>
      <c r="M43" s="63">
        <v>1.7600000000000001E-3</v>
      </c>
      <c r="N43" s="64">
        <f t="shared" si="1"/>
        <v>2.2352E-2</v>
      </c>
      <c r="O43" s="45"/>
      <c r="P43" s="45"/>
    </row>
    <row r="44" spans="1:16" ht="15.75">
      <c r="A44" s="19">
        <v>46</v>
      </c>
      <c r="B44" s="17">
        <v>2.4700000000000002</v>
      </c>
      <c r="C44" s="11">
        <v>4.9800000000000001E-3</v>
      </c>
      <c r="D44" s="11">
        <v>1.9E-2</v>
      </c>
      <c r="E44" s="20">
        <f t="shared" si="0"/>
        <v>1.9000000000000001E-5</v>
      </c>
      <c r="F44" s="12">
        <v>2.497966530454844E-3</v>
      </c>
      <c r="G44" s="12">
        <v>4.995933060909688E-3</v>
      </c>
      <c r="H44" s="12">
        <v>6.24491632613711E-3</v>
      </c>
      <c r="I44" s="12">
        <v>7.493899591364532E-3</v>
      </c>
      <c r="J44" s="44">
        <v>9.9918661218193761E-3</v>
      </c>
      <c r="K44" s="45">
        <v>123800</v>
      </c>
      <c r="L44" s="45">
        <v>9</v>
      </c>
      <c r="M44" s="63">
        <v>1.57E-3</v>
      </c>
      <c r="N44" s="64">
        <f t="shared" si="1"/>
        <v>1.9938999999999998E-2</v>
      </c>
      <c r="O44" s="45"/>
      <c r="P44" s="45"/>
    </row>
    <row r="45" spans="1:16" ht="15.75">
      <c r="A45" s="19">
        <v>47</v>
      </c>
      <c r="B45" s="17">
        <v>1.96</v>
      </c>
      <c r="C45" s="11">
        <v>4.5199999999999997E-3</v>
      </c>
      <c r="D45" s="11">
        <v>1.6E-2</v>
      </c>
      <c r="E45" s="20">
        <f t="shared" si="0"/>
        <v>1.5999999999999999E-5</v>
      </c>
      <c r="F45" s="12">
        <v>1.9862933180621913E-3</v>
      </c>
      <c r="G45" s="12">
        <v>3.9725866361243825E-3</v>
      </c>
      <c r="H45" s="12">
        <v>4.9657332951554781E-3</v>
      </c>
      <c r="I45" s="12">
        <v>5.9588799541865738E-3</v>
      </c>
      <c r="J45" s="44">
        <v>7.945173272248765E-3</v>
      </c>
      <c r="K45" s="45">
        <v>154600</v>
      </c>
      <c r="L45" s="45">
        <v>9</v>
      </c>
      <c r="M45" s="63">
        <v>1.4E-3</v>
      </c>
      <c r="N45" s="64">
        <f t="shared" si="1"/>
        <v>1.7779999999999997E-2</v>
      </c>
      <c r="O45" s="45"/>
      <c r="P45" s="45"/>
    </row>
    <row r="46" spans="1:16" ht="15.75">
      <c r="A46" s="19">
        <v>48</v>
      </c>
      <c r="B46" s="17">
        <v>1.54</v>
      </c>
      <c r="C46" s="11">
        <v>3.9399999999999999E-3</v>
      </c>
      <c r="D46" s="11">
        <v>1.2E-2</v>
      </c>
      <c r="E46" s="20">
        <f t="shared" si="0"/>
        <v>1.2E-5</v>
      </c>
      <c r="F46" s="12">
        <v>1.5582268397206253E-3</v>
      </c>
      <c r="G46" s="12">
        <v>3.1164536794412506E-3</v>
      </c>
      <c r="H46" s="12">
        <v>3.895567099301563E-3</v>
      </c>
      <c r="I46" s="12">
        <v>4.6746805191618754E-3</v>
      </c>
      <c r="J46" s="44">
        <v>6.2329073588825012E-3</v>
      </c>
      <c r="K46" s="45">
        <v>196600</v>
      </c>
      <c r="L46" s="45">
        <v>9</v>
      </c>
      <c r="M46" s="63">
        <v>1.24E-3</v>
      </c>
      <c r="N46" s="64">
        <f t="shared" si="1"/>
        <v>1.5747999999999998E-2</v>
      </c>
      <c r="O46" s="45"/>
      <c r="P46" s="45"/>
    </row>
    <row r="47" spans="1:16" ht="15.75">
      <c r="A47" s="19">
        <v>49</v>
      </c>
      <c r="B47" s="17">
        <v>1.23</v>
      </c>
      <c r="C47" s="11">
        <v>3.5300000000000002E-3</v>
      </c>
      <c r="D47" s="11">
        <v>0.01</v>
      </c>
      <c r="E47" s="20">
        <f t="shared" si="0"/>
        <v>1.0000000000000001E-5</v>
      </c>
      <c r="F47" s="12">
        <v>1.24862856999205E-3</v>
      </c>
      <c r="G47" s="12">
        <v>2.4972571399841078E-3</v>
      </c>
      <c r="H47" s="12">
        <v>3.1215714249801349E-3</v>
      </c>
      <c r="I47" s="12">
        <v>3.7458857099761616E-3</v>
      </c>
      <c r="J47" s="44">
        <v>4.9945142799682155E-3</v>
      </c>
      <c r="K47" s="45">
        <v>247500</v>
      </c>
      <c r="L47" s="45">
        <v>9</v>
      </c>
      <c r="M47" s="63">
        <v>1.1100000000000001E-3</v>
      </c>
      <c r="N47" s="64">
        <f t="shared" si="1"/>
        <v>1.4097E-2</v>
      </c>
      <c r="O47" s="45"/>
      <c r="P47" s="45"/>
    </row>
  </sheetData>
  <mergeCells count="1">
    <mergeCell ref="F2:J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9"/>
  <sheetViews>
    <sheetView workbookViewId="0">
      <selection activeCell="E3" sqref="E3:F9"/>
    </sheetView>
  </sheetViews>
  <sheetFormatPr defaultRowHeight="15"/>
  <cols>
    <col min="3" max="3" width="10.5703125" customWidth="1"/>
    <col min="4" max="4" width="10.140625" customWidth="1"/>
    <col min="5" max="5" width="10.42578125" customWidth="1"/>
    <col min="6" max="6" width="13.140625" customWidth="1"/>
  </cols>
  <sheetData>
    <row r="1" spans="1:7">
      <c r="A1" s="56" t="s">
        <v>298</v>
      </c>
      <c r="B1" s="23"/>
      <c r="C1" s="23"/>
      <c r="D1" s="23"/>
      <c r="E1" s="23"/>
      <c r="F1" s="23"/>
      <c r="G1" s="23"/>
    </row>
    <row r="2" spans="1:7">
      <c r="A2" s="50" t="s">
        <v>947</v>
      </c>
      <c r="B2" s="50" t="s">
        <v>948</v>
      </c>
      <c r="C2" s="50" t="s">
        <v>949</v>
      </c>
      <c r="D2" s="50" t="s">
        <v>950</v>
      </c>
      <c r="E2" s="50" t="s">
        <v>951</v>
      </c>
      <c r="F2" s="50" t="s">
        <v>952</v>
      </c>
      <c r="G2" s="23"/>
    </row>
    <row r="3" spans="1:7">
      <c r="A3" s="23">
        <v>14</v>
      </c>
      <c r="B3" s="147">
        <v>0.01</v>
      </c>
      <c r="C3" s="147">
        <v>8.2364028431250074E-8</v>
      </c>
      <c r="D3" s="147">
        <v>1.9898351342710845</v>
      </c>
      <c r="E3" s="23"/>
      <c r="F3" s="23"/>
      <c r="G3" s="23"/>
    </row>
    <row r="4" spans="1:7">
      <c r="A4" s="23">
        <v>26</v>
      </c>
      <c r="B4" s="142">
        <v>0.01</v>
      </c>
      <c r="C4" s="143">
        <v>7.9932917905169875E-7</v>
      </c>
      <c r="D4" s="143">
        <v>1.8189496240181691</v>
      </c>
      <c r="E4" s="52"/>
      <c r="F4" s="52"/>
      <c r="G4" s="23"/>
    </row>
    <row r="5" spans="1:7">
      <c r="A5" s="23">
        <v>40</v>
      </c>
      <c r="B5" s="142">
        <v>0.01</v>
      </c>
      <c r="C5" s="143">
        <v>3.2186819193714688E-6</v>
      </c>
      <c r="D5" s="143">
        <v>1.7039155851053662</v>
      </c>
      <c r="E5" s="52"/>
      <c r="F5" s="52"/>
      <c r="G5" s="23"/>
    </row>
    <row r="6" spans="1:7">
      <c r="A6" s="23">
        <v>60</v>
      </c>
      <c r="B6" s="142">
        <v>0.01</v>
      </c>
      <c r="C6" s="143">
        <v>5.1933774355899065E-6</v>
      </c>
      <c r="D6" s="143">
        <v>1.7488772261981522</v>
      </c>
      <c r="E6" s="52"/>
      <c r="F6" s="52"/>
      <c r="G6" s="23"/>
    </row>
    <row r="7" spans="1:7">
      <c r="A7" s="23">
        <v>75</v>
      </c>
      <c r="B7" s="142">
        <v>0.01</v>
      </c>
      <c r="C7" s="143">
        <v>1.2742294957992336E-5</v>
      </c>
      <c r="D7" s="143">
        <v>1.6644005005428471</v>
      </c>
      <c r="E7" s="52"/>
      <c r="F7" s="52"/>
      <c r="G7" s="23"/>
    </row>
    <row r="8" spans="1:7">
      <c r="A8" s="23">
        <v>90</v>
      </c>
      <c r="B8" s="142">
        <v>0.01</v>
      </c>
      <c r="C8" s="143">
        <v>2.7023585381259391E-5</v>
      </c>
      <c r="D8" s="143">
        <v>1.5578835941363762</v>
      </c>
      <c r="E8" s="52"/>
      <c r="F8" s="52"/>
      <c r="G8" s="23"/>
    </row>
    <row r="9" spans="1:7">
      <c r="A9" s="23">
        <v>125</v>
      </c>
      <c r="B9" s="142">
        <v>0.01</v>
      </c>
      <c r="C9" s="143">
        <v>6.3538707739638542E-5</v>
      </c>
      <c r="D9" s="143">
        <v>1.4622750035237537</v>
      </c>
      <c r="E9" s="52"/>
      <c r="F9" s="52"/>
      <c r="G9" s="23"/>
    </row>
    <row r="10" spans="1:7">
      <c r="A10" s="50" t="s">
        <v>953</v>
      </c>
      <c r="B10" s="50" t="s">
        <v>948</v>
      </c>
      <c r="C10" s="50" t="s">
        <v>949</v>
      </c>
      <c r="D10" s="50" t="s">
        <v>950</v>
      </c>
      <c r="E10" s="50" t="s">
        <v>951</v>
      </c>
      <c r="F10" s="50" t="s">
        <v>952</v>
      </c>
      <c r="G10" s="50" t="s">
        <v>954</v>
      </c>
    </row>
    <row r="11" spans="1:7">
      <c r="A11" s="23">
        <v>14</v>
      </c>
      <c r="B11" s="23"/>
      <c r="C11" s="23"/>
      <c r="D11" s="23"/>
      <c r="E11" s="23"/>
      <c r="F11" s="23"/>
      <c r="G11" s="23"/>
    </row>
    <row r="12" spans="1:7">
      <c r="A12" s="23">
        <v>26</v>
      </c>
      <c r="B12" s="52">
        <v>5.8680000000000001E-5</v>
      </c>
      <c r="C12" s="52">
        <v>9.3620000000000002E-5</v>
      </c>
      <c r="D12" s="52">
        <v>9.0110000000000006E-6</v>
      </c>
      <c r="E12" s="52">
        <v>-3.6820000000000001E-4</v>
      </c>
      <c r="F12" s="52">
        <v>8.7469999999999994E-6</v>
      </c>
      <c r="G12" s="51">
        <v>0.5</v>
      </c>
    </row>
    <row r="13" spans="1:7">
      <c r="A13" s="23">
        <v>40</v>
      </c>
      <c r="B13" s="52">
        <v>8.8700000000000001E-5</v>
      </c>
      <c r="C13" s="52">
        <v>5.592E-5</v>
      </c>
      <c r="D13" s="52">
        <v>2.6999999999999999E-5</v>
      </c>
      <c r="E13" s="52">
        <v>2.9280000000000002E-4</v>
      </c>
      <c r="F13" s="52">
        <v>2.5740000000000001E-5</v>
      </c>
      <c r="G13" s="51">
        <v>0.5</v>
      </c>
    </row>
    <row r="14" spans="1:7">
      <c r="A14" s="23">
        <v>60</v>
      </c>
      <c r="B14" s="52">
        <v>1.6579999999999999E-4</v>
      </c>
      <c r="C14" s="52">
        <v>2.3010000000000002E-5</v>
      </c>
      <c r="D14" s="52">
        <v>7.2970000000000001E-5</v>
      </c>
      <c r="E14" s="52">
        <v>5.9059999999999998E-3</v>
      </c>
      <c r="F14" s="52">
        <v>6.0529999999999998E-5</v>
      </c>
      <c r="G14" s="51">
        <v>0.5</v>
      </c>
    </row>
    <row r="15" spans="1:7">
      <c r="A15" s="23">
        <v>75</v>
      </c>
      <c r="B15" s="52">
        <v>1.433E-5</v>
      </c>
      <c r="C15" s="52">
        <v>9.7239999999999997E-5</v>
      </c>
      <c r="D15" s="52">
        <v>1.3229999999999999E-4</v>
      </c>
      <c r="E15" s="52">
        <v>7.2550000000000002E-3</v>
      </c>
      <c r="F15" s="52">
        <v>1.131E-4</v>
      </c>
      <c r="G15" s="51">
        <v>0.5</v>
      </c>
    </row>
    <row r="16" spans="1:7">
      <c r="A16" s="23">
        <v>90</v>
      </c>
      <c r="B16" s="52">
        <v>5.6599999999999999E-4</v>
      </c>
      <c r="C16" s="52">
        <v>-1.216E-4</v>
      </c>
      <c r="D16" s="52">
        <v>1.974E-4</v>
      </c>
      <c r="E16" s="52">
        <v>7.2779999999999997E-3</v>
      </c>
      <c r="F16" s="52">
        <v>1.6980000000000001E-4</v>
      </c>
      <c r="G16" s="51">
        <v>0.5</v>
      </c>
    </row>
    <row r="17" spans="1:7">
      <c r="A17" s="23">
        <v>125</v>
      </c>
      <c r="B17" s="52">
        <v>7.8079999999999998E-5</v>
      </c>
      <c r="C17" s="55">
        <v>5.0880000000000001E-4</v>
      </c>
      <c r="D17" s="55">
        <v>2.5950000000000002E-4</v>
      </c>
      <c r="E17" s="55">
        <v>3.9220000000000001E-3</v>
      </c>
      <c r="F17" s="55">
        <v>2.285E-4</v>
      </c>
      <c r="G17" s="51">
        <v>0.5</v>
      </c>
    </row>
    <row r="18" spans="1:7">
      <c r="A18" s="50" t="s">
        <v>806</v>
      </c>
      <c r="B18" s="50" t="s">
        <v>948</v>
      </c>
      <c r="C18" s="50" t="s">
        <v>949</v>
      </c>
      <c r="D18" s="50" t="s">
        <v>950</v>
      </c>
      <c r="E18" s="23"/>
      <c r="F18" s="23"/>
      <c r="G18" s="23"/>
    </row>
    <row r="19" spans="1:7">
      <c r="A19" s="23">
        <v>14</v>
      </c>
      <c r="B19" s="23"/>
      <c r="C19" s="23"/>
      <c r="D19" s="23"/>
      <c r="E19" s="23"/>
      <c r="F19" s="23"/>
      <c r="G19" s="23"/>
    </row>
    <row r="20" spans="1:7">
      <c r="A20" s="23">
        <v>26</v>
      </c>
      <c r="B20" s="23">
        <v>120</v>
      </c>
      <c r="C20" s="23">
        <v>2.09</v>
      </c>
      <c r="D20" s="23">
        <v>1.46</v>
      </c>
      <c r="E20" s="23"/>
      <c r="F20" s="23"/>
      <c r="G20" s="23"/>
    </row>
    <row r="21" spans="1:7">
      <c r="A21" s="23">
        <v>40</v>
      </c>
      <c r="B21" s="23">
        <v>120</v>
      </c>
      <c r="C21" s="23">
        <v>2.09</v>
      </c>
      <c r="D21" s="23">
        <v>1.46</v>
      </c>
      <c r="E21" s="23"/>
      <c r="F21" s="23"/>
      <c r="G21" s="23"/>
    </row>
    <row r="22" spans="1:7">
      <c r="A22" s="23">
        <v>60</v>
      </c>
      <c r="B22" s="23">
        <v>193</v>
      </c>
      <c r="C22" s="23">
        <v>2.0099999999999998</v>
      </c>
      <c r="D22" s="23">
        <v>1.29</v>
      </c>
      <c r="E22" s="23"/>
      <c r="F22" s="23"/>
      <c r="G22" s="23"/>
    </row>
    <row r="23" spans="1:7">
      <c r="A23" s="23">
        <v>75</v>
      </c>
      <c r="B23" s="23">
        <v>193</v>
      </c>
      <c r="C23" s="23">
        <v>2.0099999999999998</v>
      </c>
      <c r="D23" s="23">
        <v>1.29</v>
      </c>
      <c r="E23" s="23"/>
      <c r="F23" s="23"/>
      <c r="G23" s="23"/>
    </row>
    <row r="24" spans="1:7">
      <c r="A24" s="23">
        <v>90</v>
      </c>
      <c r="B24" s="23">
        <v>193</v>
      </c>
      <c r="C24" s="23">
        <v>2.0099999999999998</v>
      </c>
      <c r="D24" s="23">
        <v>1.29</v>
      </c>
      <c r="E24" s="23"/>
      <c r="F24" s="23"/>
      <c r="G24" s="23"/>
    </row>
    <row r="25" spans="1:7">
      <c r="A25" s="23">
        <v>125</v>
      </c>
      <c r="B25" s="23">
        <v>91.58</v>
      </c>
      <c r="C25" s="23">
        <v>2.2000000000000002</v>
      </c>
      <c r="D25" s="23">
        <v>1.63</v>
      </c>
      <c r="E25" s="23"/>
      <c r="F25" s="23"/>
      <c r="G25" s="23"/>
    </row>
    <row r="28" spans="1:7">
      <c r="C28" s="57"/>
      <c r="D28" s="57"/>
      <c r="E28" s="58"/>
      <c r="F28" s="49"/>
    </row>
    <row r="29" spans="1:7">
      <c r="C29" s="49"/>
      <c r="D29" s="49"/>
      <c r="E29" s="49"/>
      <c r="F29" s="4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34"/>
  <sheetViews>
    <sheetView workbookViewId="0">
      <selection activeCell="E3" sqref="E3:F12"/>
    </sheetView>
  </sheetViews>
  <sheetFormatPr defaultRowHeight="15"/>
  <cols>
    <col min="2" max="2" width="10.85546875" customWidth="1"/>
    <col min="3" max="3" width="9.7109375" customWidth="1"/>
    <col min="4" max="4" width="10.42578125" customWidth="1"/>
    <col min="5" max="5" width="10.5703125" customWidth="1"/>
    <col min="6" max="6" width="11.85546875" customWidth="1"/>
  </cols>
  <sheetData>
    <row r="1" spans="1:7">
      <c r="A1" s="56" t="s">
        <v>21</v>
      </c>
      <c r="B1" s="23"/>
      <c r="C1" s="23"/>
      <c r="D1" s="23"/>
      <c r="E1" s="23"/>
      <c r="F1" s="23"/>
      <c r="G1" s="23"/>
    </row>
    <row r="2" spans="1:7">
      <c r="A2" s="50" t="s">
        <v>947</v>
      </c>
      <c r="B2" s="50" t="s">
        <v>948</v>
      </c>
      <c r="C2" s="50" t="s">
        <v>949</v>
      </c>
      <c r="D2" s="50" t="s">
        <v>950</v>
      </c>
      <c r="E2" s="50" t="s">
        <v>951</v>
      </c>
      <c r="F2" s="50" t="s">
        <v>952</v>
      </c>
      <c r="G2" s="23"/>
    </row>
    <row r="3" spans="1:7">
      <c r="A3" s="23">
        <v>14</v>
      </c>
      <c r="B3" s="142">
        <v>0.01</v>
      </c>
      <c r="C3" s="143">
        <v>2.4417975007663307E-9</v>
      </c>
      <c r="D3" s="143">
        <v>2.5958300407455339</v>
      </c>
      <c r="E3" s="52"/>
      <c r="F3" s="52"/>
      <c r="G3" s="23"/>
    </row>
    <row r="4" spans="1:7">
      <c r="A4" s="23">
        <v>26</v>
      </c>
      <c r="B4" s="142">
        <v>0.01</v>
      </c>
      <c r="C4" s="143">
        <v>1.9359138649418952E-8</v>
      </c>
      <c r="D4" s="143">
        <v>2.5051162652390424</v>
      </c>
      <c r="E4" s="52"/>
      <c r="F4" s="52"/>
      <c r="G4" s="23"/>
    </row>
    <row r="5" spans="1:7">
      <c r="A5" s="23">
        <v>60</v>
      </c>
      <c r="B5" s="142">
        <v>0.01</v>
      </c>
      <c r="C5" s="143">
        <v>2.0376424807973227E-7</v>
      </c>
      <c r="D5" s="143">
        <v>2.4359649995511261</v>
      </c>
      <c r="E5" s="52"/>
      <c r="F5" s="52"/>
      <c r="G5" s="23"/>
    </row>
    <row r="6" spans="1:7">
      <c r="A6" s="23">
        <v>125</v>
      </c>
      <c r="B6" s="142">
        <v>0.01</v>
      </c>
      <c r="C6" s="143">
        <v>1.967112606145264E-6</v>
      </c>
      <c r="D6" s="143">
        <v>2.2534569616579643</v>
      </c>
      <c r="E6" s="52"/>
      <c r="F6" s="52"/>
      <c r="G6" s="23"/>
    </row>
    <row r="7" spans="1:7">
      <c r="A7" s="23">
        <v>147</v>
      </c>
      <c r="B7" s="142">
        <v>0.01</v>
      </c>
      <c r="C7" s="143">
        <v>1.5920677145132536E-6</v>
      </c>
      <c r="D7" s="143">
        <v>2.4297727699154854</v>
      </c>
      <c r="E7" s="52"/>
      <c r="F7" s="52"/>
      <c r="G7" s="23"/>
    </row>
    <row r="8" spans="1:7">
      <c r="A8" s="23">
        <v>160</v>
      </c>
      <c r="B8" s="142">
        <v>0.01</v>
      </c>
      <c r="C8" s="143">
        <v>1.6813531149866844E-6</v>
      </c>
      <c r="D8" s="143">
        <v>2.477225251693334</v>
      </c>
      <c r="E8" s="52"/>
      <c r="F8" s="52"/>
      <c r="G8" s="23"/>
    </row>
    <row r="9" spans="1:7">
      <c r="A9" s="23">
        <v>173</v>
      </c>
      <c r="B9" s="142">
        <v>0.01</v>
      </c>
      <c r="C9" s="143">
        <v>1.4544760199057376E-6</v>
      </c>
      <c r="D9" s="143">
        <v>2.5633835280555033</v>
      </c>
      <c r="E9" s="52"/>
      <c r="F9" s="52"/>
      <c r="G9" s="23"/>
    </row>
    <row r="10" spans="1:7">
      <c r="A10" s="23">
        <v>200</v>
      </c>
      <c r="B10" s="142">
        <v>0.01</v>
      </c>
      <c r="C10" s="143">
        <v>2.6412451646449306E-6</v>
      </c>
      <c r="D10" s="143">
        <v>2.4772252516933331</v>
      </c>
      <c r="E10" s="52"/>
      <c r="F10" s="52"/>
      <c r="G10" s="23"/>
    </row>
    <row r="11" spans="1:7">
      <c r="A11" s="23">
        <v>300</v>
      </c>
      <c r="B11" s="142">
        <v>0.01</v>
      </c>
      <c r="C11" s="143">
        <v>1.856242085778734E-5</v>
      </c>
      <c r="D11" s="143">
        <v>2.2155686267971104</v>
      </c>
      <c r="E11" s="52"/>
      <c r="F11" s="52"/>
      <c r="G11" s="23"/>
    </row>
    <row r="12" spans="1:7">
      <c r="A12" s="23">
        <v>550</v>
      </c>
      <c r="B12" s="142">
        <v>0.01</v>
      </c>
      <c r="C12" s="143">
        <v>8.28491613187514E-4</v>
      </c>
      <c r="D12" s="143">
        <v>1.7095112913514547</v>
      </c>
      <c r="E12" s="52"/>
      <c r="F12" s="52"/>
      <c r="G12" s="23"/>
    </row>
    <row r="13" spans="1:7">
      <c r="A13" s="50" t="s">
        <v>953</v>
      </c>
      <c r="B13" s="50" t="s">
        <v>948</v>
      </c>
      <c r="C13" s="50" t="s">
        <v>949</v>
      </c>
      <c r="D13" s="50" t="s">
        <v>950</v>
      </c>
      <c r="E13" s="50" t="s">
        <v>951</v>
      </c>
      <c r="F13" s="50" t="s">
        <v>952</v>
      </c>
      <c r="G13" s="50" t="s">
        <v>954</v>
      </c>
    </row>
    <row r="14" spans="1:7">
      <c r="A14" s="23">
        <v>14</v>
      </c>
      <c r="B14" s="52">
        <v>-7.5069999999999997</v>
      </c>
      <c r="C14" s="52">
        <v>6.5730000000000004</v>
      </c>
      <c r="D14" s="52">
        <v>0.46189999999999998</v>
      </c>
      <c r="E14" s="52">
        <v>77.77</v>
      </c>
      <c r="F14" s="52">
        <v>0.49869999999999998</v>
      </c>
      <c r="G14" s="51">
        <v>2</v>
      </c>
    </row>
    <row r="15" spans="1:7">
      <c r="A15" s="23">
        <v>26</v>
      </c>
      <c r="B15" s="52">
        <v>6.6790000000000002E-2</v>
      </c>
      <c r="C15" s="52">
        <v>1.1050000000000001E-2</v>
      </c>
      <c r="D15" s="52">
        <v>-1.136E-5</v>
      </c>
      <c r="E15" s="52">
        <v>1.112E-2</v>
      </c>
      <c r="F15" s="52">
        <v>-1.2330000000000001E-5</v>
      </c>
      <c r="G15" s="51">
        <v>2</v>
      </c>
    </row>
    <row r="16" spans="1:7">
      <c r="A16" s="23">
        <v>60</v>
      </c>
      <c r="B16" s="52">
        <v>8.1460000000000005E-2</v>
      </c>
      <c r="C16" s="52">
        <v>2.3449999999999999E-2</v>
      </c>
      <c r="D16" s="52">
        <v>6.0319999999999998E-5</v>
      </c>
      <c r="E16" s="52">
        <v>2.4760000000000001E-2</v>
      </c>
      <c r="F16" s="52">
        <v>7.1849999999999998E-5</v>
      </c>
      <c r="G16" s="51">
        <v>2</v>
      </c>
    </row>
    <row r="17" spans="1:7">
      <c r="A17" s="23">
        <v>125</v>
      </c>
      <c r="B17" s="52">
        <v>6.4199999999999999E-4</v>
      </c>
      <c r="C17" s="52">
        <v>-6.2710000000000001E-4</v>
      </c>
      <c r="D17" s="52">
        <v>3.2529999999999999E-4</v>
      </c>
      <c r="E17" s="52">
        <v>9.9010000000000001E-3</v>
      </c>
      <c r="F17" s="52">
        <v>5.3660000000000003E-4</v>
      </c>
      <c r="G17" s="51">
        <v>0.5</v>
      </c>
    </row>
    <row r="18" spans="1:7">
      <c r="A18" s="23">
        <v>147</v>
      </c>
      <c r="B18" s="52">
        <v>6.5300000000000004E-4</v>
      </c>
      <c r="C18" s="52">
        <v>-7.3010000000000002E-4</v>
      </c>
      <c r="D18" s="52">
        <v>4.5160000000000003E-4</v>
      </c>
      <c r="E18" s="52">
        <v>1.583E-2</v>
      </c>
      <c r="F18" s="52">
        <v>7.1849999999999995E-4</v>
      </c>
      <c r="G18" s="51">
        <v>0.5</v>
      </c>
    </row>
    <row r="19" spans="1:7">
      <c r="A19" s="23">
        <v>160</v>
      </c>
      <c r="B19" s="52">
        <v>4.4700000000000002E-4</v>
      </c>
      <c r="C19" s="52">
        <v>-5.5789999999999995E-4</v>
      </c>
      <c r="D19" s="52">
        <v>5.2110000000000004E-4</v>
      </c>
      <c r="E19" s="52">
        <v>1.0019999999999999E-2</v>
      </c>
      <c r="F19" s="52">
        <v>8.164E-4</v>
      </c>
      <c r="G19" s="51">
        <v>0.5</v>
      </c>
    </row>
    <row r="20" spans="1:7">
      <c r="A20" s="23">
        <v>173</v>
      </c>
      <c r="B20" s="52">
        <v>5.4500000000000002E-4</v>
      </c>
      <c r="C20" s="52">
        <v>-7.716E-4</v>
      </c>
      <c r="D20" s="52">
        <v>6.5059999999999998E-4</v>
      </c>
      <c r="E20" s="52">
        <v>6.875E-3</v>
      </c>
      <c r="F20" s="52">
        <v>1.0189999999999999E-3</v>
      </c>
      <c r="G20" s="51">
        <v>0.5</v>
      </c>
    </row>
    <row r="21" spans="1:7">
      <c r="A21" s="23">
        <v>200</v>
      </c>
      <c r="B21" s="52">
        <v>1.0009999999999999E-3</v>
      </c>
      <c r="C21" s="52">
        <v>-1.4499999999999999E-3</v>
      </c>
      <c r="D21" s="52">
        <v>9.1270000000000001E-4</v>
      </c>
      <c r="E21" s="52">
        <v>6.0569999999999999E-3</v>
      </c>
      <c r="F21" s="52">
        <v>1.428E-3</v>
      </c>
      <c r="G21" s="51">
        <v>0.5</v>
      </c>
    </row>
    <row r="22" spans="1:7">
      <c r="A22" s="23">
        <v>300</v>
      </c>
      <c r="B22" s="52">
        <v>9.3999999999999997E-4</v>
      </c>
      <c r="C22" s="52">
        <v>-1.5430000000000001E-3</v>
      </c>
      <c r="D22" s="52">
        <v>1.99E-3</v>
      </c>
      <c r="E22" s="52">
        <v>2.4E-2</v>
      </c>
      <c r="F22" s="52">
        <v>3.0730000000000002E-3</v>
      </c>
      <c r="G22" s="51">
        <v>0.5</v>
      </c>
    </row>
    <row r="23" spans="1:7">
      <c r="A23" s="23">
        <v>550</v>
      </c>
      <c r="B23" s="52">
        <v>7.2999999999999996E-4</v>
      </c>
      <c r="C23" s="52">
        <v>-1.5089999999999999E-3</v>
      </c>
      <c r="D23" s="52">
        <v>6.4819999999999999E-3</v>
      </c>
      <c r="E23" s="52">
        <v>6.3710000000000003E-2</v>
      </c>
      <c r="F23" s="52">
        <v>9.9330000000000009E-3</v>
      </c>
      <c r="G23" s="51">
        <v>0.5</v>
      </c>
    </row>
    <row r="24" spans="1:7">
      <c r="A24" s="50" t="s">
        <v>806</v>
      </c>
      <c r="B24" s="50" t="s">
        <v>948</v>
      </c>
      <c r="C24" s="50" t="s">
        <v>949</v>
      </c>
      <c r="D24" s="50" t="s">
        <v>950</v>
      </c>
      <c r="E24" s="23"/>
      <c r="F24" s="23"/>
      <c r="G24" s="23"/>
    </row>
    <row r="25" spans="1:7">
      <c r="A25" s="23">
        <v>14</v>
      </c>
      <c r="B25" s="23">
        <v>115.9</v>
      </c>
      <c r="C25" s="23">
        <v>2.5</v>
      </c>
      <c r="D25" s="23">
        <v>1.87</v>
      </c>
      <c r="E25" s="23"/>
      <c r="F25" s="23"/>
      <c r="G25" s="23"/>
    </row>
    <row r="26" spans="1:7">
      <c r="A26" s="23">
        <v>26</v>
      </c>
      <c r="B26" s="23">
        <v>70.83</v>
      </c>
      <c r="C26" s="23">
        <v>2.34</v>
      </c>
      <c r="D26" s="23">
        <v>1.65</v>
      </c>
      <c r="E26" s="23"/>
      <c r="F26" s="23"/>
      <c r="G26" s="23"/>
    </row>
    <row r="27" spans="1:7">
      <c r="A27" s="23">
        <v>60</v>
      </c>
      <c r="B27" s="23">
        <v>357.1</v>
      </c>
      <c r="C27" s="23">
        <v>2.0499999999999998</v>
      </c>
      <c r="D27" s="23">
        <v>1.1200000000000001</v>
      </c>
      <c r="E27" s="23"/>
      <c r="F27" s="23"/>
      <c r="G27" s="23"/>
    </row>
    <row r="28" spans="1:7">
      <c r="A28" s="23">
        <v>125</v>
      </c>
      <c r="B28" s="23">
        <v>53.05</v>
      </c>
      <c r="C28" s="23">
        <v>2.06</v>
      </c>
      <c r="D28" s="23">
        <v>1.56</v>
      </c>
      <c r="E28" s="23"/>
      <c r="F28" s="23"/>
      <c r="G28" s="23"/>
    </row>
    <row r="29" spans="1:7">
      <c r="A29" s="23">
        <v>147</v>
      </c>
      <c r="B29" s="23">
        <v>52.16</v>
      </c>
      <c r="C29" s="23">
        <v>2</v>
      </c>
      <c r="D29" s="23">
        <v>1.57</v>
      </c>
      <c r="E29" s="23"/>
      <c r="F29" s="23"/>
      <c r="G29" s="23"/>
    </row>
    <row r="30" spans="1:7">
      <c r="A30" s="23">
        <v>160</v>
      </c>
      <c r="B30" s="23">
        <v>52.16</v>
      </c>
      <c r="C30" s="23">
        <v>2</v>
      </c>
      <c r="D30" s="23">
        <v>1.57</v>
      </c>
      <c r="E30" s="23"/>
      <c r="F30" s="23"/>
      <c r="G30" s="23"/>
    </row>
    <row r="31" spans="1:7">
      <c r="A31" s="23">
        <v>173</v>
      </c>
      <c r="B31" s="23">
        <v>52.16</v>
      </c>
      <c r="C31" s="23">
        <v>2</v>
      </c>
      <c r="D31" s="23">
        <v>1.57</v>
      </c>
      <c r="E31" s="23"/>
      <c r="F31" s="23"/>
      <c r="G31" s="23"/>
    </row>
    <row r="32" spans="1:7">
      <c r="A32" s="23">
        <v>200</v>
      </c>
      <c r="B32" s="23">
        <v>37.97</v>
      </c>
      <c r="C32" s="23">
        <v>2.09</v>
      </c>
      <c r="D32" s="23">
        <v>1.68</v>
      </c>
      <c r="E32" s="23"/>
      <c r="F32" s="23"/>
      <c r="G32" s="23"/>
    </row>
    <row r="33" spans="1:7">
      <c r="A33" s="23">
        <v>300</v>
      </c>
      <c r="B33" s="23">
        <v>37.97</v>
      </c>
      <c r="C33" s="23">
        <v>2.09</v>
      </c>
      <c r="D33" s="23">
        <v>1.68</v>
      </c>
      <c r="E33" s="23"/>
      <c r="F33" s="23"/>
      <c r="G33" s="23"/>
    </row>
    <row r="34" spans="1:7">
      <c r="A34" s="23">
        <v>550</v>
      </c>
      <c r="B34" s="23">
        <v>181</v>
      </c>
      <c r="C34" s="23">
        <v>2.13</v>
      </c>
      <c r="D34" s="23">
        <v>1.47</v>
      </c>
      <c r="E34" s="23"/>
      <c r="F34" s="23"/>
      <c r="G34" s="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G22"/>
  <sheetViews>
    <sheetView topLeftCell="A7" workbookViewId="0">
      <selection activeCell="E3" sqref="E3:F8"/>
    </sheetView>
  </sheetViews>
  <sheetFormatPr defaultRowHeight="15"/>
  <cols>
    <col min="2" max="2" width="10.42578125" customWidth="1"/>
    <col min="3" max="3" width="10.28515625" customWidth="1"/>
    <col min="4" max="4" width="12.140625" customWidth="1"/>
    <col min="5" max="5" width="10.42578125" customWidth="1"/>
    <col min="6" max="6" width="12.28515625" customWidth="1"/>
  </cols>
  <sheetData>
    <row r="1" spans="1:7">
      <c r="A1" s="56" t="s">
        <v>503</v>
      </c>
      <c r="B1" s="23"/>
      <c r="C1" s="23"/>
      <c r="D1" s="23"/>
      <c r="E1" s="23"/>
      <c r="F1" s="23"/>
      <c r="G1" s="23"/>
    </row>
    <row r="2" spans="1:7">
      <c r="A2" s="50" t="s">
        <v>947</v>
      </c>
      <c r="B2" s="50" t="s">
        <v>948</v>
      </c>
      <c r="C2" s="50" t="s">
        <v>949</v>
      </c>
      <c r="D2" s="50" t="s">
        <v>950</v>
      </c>
      <c r="E2" s="50" t="s">
        <v>951</v>
      </c>
      <c r="F2" s="50" t="s">
        <v>952</v>
      </c>
      <c r="G2" s="23"/>
    </row>
    <row r="3" spans="1:7">
      <c r="A3" s="23">
        <v>14</v>
      </c>
      <c r="B3" s="142">
        <v>0.01</v>
      </c>
      <c r="C3" s="143">
        <v>3.8074773607133065E-8</v>
      </c>
      <c r="D3" s="143">
        <v>1.9906573423834897</v>
      </c>
      <c r="E3" s="52"/>
      <c r="F3" s="52"/>
      <c r="G3" s="23"/>
    </row>
    <row r="4" spans="1:7">
      <c r="A4" s="23">
        <v>26</v>
      </c>
      <c r="B4" s="142">
        <v>0.01</v>
      </c>
      <c r="C4" s="143">
        <v>7.1926245828405906E-8</v>
      </c>
      <c r="D4" s="143">
        <v>2.0689737586218921</v>
      </c>
      <c r="E4" s="52"/>
      <c r="F4" s="52"/>
      <c r="G4" s="23"/>
    </row>
    <row r="5" spans="1:7">
      <c r="A5" s="23">
        <v>60</v>
      </c>
      <c r="B5" s="142">
        <v>0.01</v>
      </c>
      <c r="C5" s="143">
        <v>2.5871548881520798E-7</v>
      </c>
      <c r="D5" s="143">
        <v>2.1659585175103904</v>
      </c>
      <c r="E5" s="52"/>
      <c r="F5" s="52"/>
      <c r="G5" s="23"/>
    </row>
    <row r="6" spans="1:7">
      <c r="A6" s="23">
        <v>125</v>
      </c>
      <c r="B6" s="142">
        <v>0.01</v>
      </c>
      <c r="C6" s="143">
        <v>1.460972730690319E-6</v>
      </c>
      <c r="D6" s="143">
        <v>2.1079820627935022</v>
      </c>
      <c r="E6" s="52"/>
      <c r="F6" s="52"/>
      <c r="G6" s="23"/>
    </row>
    <row r="7" spans="1:7">
      <c r="A7" s="23">
        <v>147</v>
      </c>
      <c r="B7" s="142">
        <v>0.01</v>
      </c>
      <c r="C7" s="143">
        <v>1.9679690502675784E-6</v>
      </c>
      <c r="D7" s="143">
        <v>2.1308343922747586</v>
      </c>
      <c r="E7" s="52"/>
      <c r="F7" s="52"/>
      <c r="G7" s="23"/>
    </row>
    <row r="8" spans="1:7">
      <c r="A8" s="23">
        <v>160</v>
      </c>
      <c r="B8" s="142">
        <v>0.01</v>
      </c>
      <c r="C8" s="143">
        <v>2.7547053038308935E-6</v>
      </c>
      <c r="D8" s="143">
        <v>2.094433590346398</v>
      </c>
      <c r="E8" s="52"/>
      <c r="F8" s="52"/>
      <c r="G8" s="23"/>
    </row>
    <row r="9" spans="1:7">
      <c r="A9" s="50" t="s">
        <v>953</v>
      </c>
      <c r="B9" s="50" t="s">
        <v>948</v>
      </c>
      <c r="C9" s="50" t="s">
        <v>949</v>
      </c>
      <c r="D9" s="50" t="s">
        <v>950</v>
      </c>
      <c r="E9" s="50" t="s">
        <v>951</v>
      </c>
      <c r="F9" s="50" t="s">
        <v>952</v>
      </c>
      <c r="G9" s="50" t="s">
        <v>954</v>
      </c>
    </row>
    <row r="10" spans="1:7">
      <c r="A10" s="23">
        <v>14</v>
      </c>
      <c r="B10" s="52">
        <v>-5.9450000000000003E-2</v>
      </c>
      <c r="C10" s="52">
        <v>8.7030000000000007E-3</v>
      </c>
      <c r="D10" s="52">
        <v>3.6230000000000002E-4</v>
      </c>
      <c r="E10" s="52">
        <v>5.2900000000000003E-2</v>
      </c>
      <c r="F10" s="52">
        <v>3.4739999999999999E-4</v>
      </c>
      <c r="G10" s="51">
        <v>2</v>
      </c>
    </row>
    <row r="11" spans="1:7">
      <c r="A11" s="23">
        <v>26</v>
      </c>
      <c r="B11" s="52">
        <v>-4.0669999999999998E-2</v>
      </c>
      <c r="C11" s="52">
        <v>1.6369999999999999E-2</v>
      </c>
      <c r="D11" s="52">
        <v>3.7419999999999999E-4</v>
      </c>
      <c r="E11" s="52">
        <v>5.3159999999999999E-2</v>
      </c>
      <c r="F11" s="52">
        <v>3.413E-4</v>
      </c>
      <c r="G11" s="51">
        <v>2</v>
      </c>
    </row>
    <row r="12" spans="1:7">
      <c r="A12" s="23">
        <v>60</v>
      </c>
      <c r="B12" s="52">
        <v>-0.16950000000000001</v>
      </c>
      <c r="C12" s="52">
        <v>0.1215</v>
      </c>
      <c r="D12" s="52">
        <v>1.213E-2</v>
      </c>
      <c r="E12" s="52">
        <v>0.69379999999999997</v>
      </c>
      <c r="F12" s="52">
        <v>1.0160000000000001E-2</v>
      </c>
      <c r="G12" s="51">
        <v>2</v>
      </c>
    </row>
    <row r="13" spans="1:7">
      <c r="A13" s="23">
        <v>125</v>
      </c>
      <c r="B13" s="52">
        <v>5.3200000000000003E-4</v>
      </c>
      <c r="C13" s="52">
        <v>-6.8110000000000002E-4</v>
      </c>
      <c r="D13" s="52">
        <v>3.5060000000000001E-4</v>
      </c>
      <c r="E13" s="52">
        <v>1.052E-2</v>
      </c>
      <c r="F13" s="52">
        <v>1.694E-4</v>
      </c>
      <c r="G13" s="51">
        <v>0.5</v>
      </c>
    </row>
    <row r="14" spans="1:7">
      <c r="A14" s="23">
        <v>147</v>
      </c>
      <c r="B14" s="52">
        <v>2.6699999999999998E-4</v>
      </c>
      <c r="C14" s="52">
        <v>-7.829E-4</v>
      </c>
      <c r="D14" s="52">
        <v>5.2899999999999996E-4</v>
      </c>
      <c r="E14" s="52">
        <v>2.215E-3</v>
      </c>
      <c r="F14" s="52">
        <v>2.6059999999999999E-4</v>
      </c>
      <c r="G14" s="51">
        <v>0.5</v>
      </c>
    </row>
    <row r="15" spans="1:7">
      <c r="A15" s="23">
        <v>160</v>
      </c>
      <c r="B15" s="52">
        <v>2.6699999999999998E-4</v>
      </c>
      <c r="C15" s="52">
        <v>-7.829E-4</v>
      </c>
      <c r="D15" s="52">
        <v>5.2899999999999996E-4</v>
      </c>
      <c r="E15" s="52">
        <v>2.215E-3</v>
      </c>
      <c r="F15" s="52">
        <v>2.6059999999999999E-4</v>
      </c>
      <c r="G15" s="51">
        <v>0.5</v>
      </c>
    </row>
    <row r="16" spans="1:7">
      <c r="A16" s="50" t="s">
        <v>806</v>
      </c>
      <c r="B16" s="50" t="s">
        <v>948</v>
      </c>
      <c r="C16" s="50" t="s">
        <v>949</v>
      </c>
      <c r="D16" s="50" t="s">
        <v>950</v>
      </c>
      <c r="E16" s="23"/>
      <c r="F16" s="23"/>
      <c r="G16" s="23"/>
    </row>
    <row r="17" spans="1:7">
      <c r="A17" s="23">
        <v>14</v>
      </c>
      <c r="B17" s="23">
        <v>388.8</v>
      </c>
      <c r="C17" s="23">
        <v>2.31</v>
      </c>
      <c r="D17" s="23">
        <v>1.54</v>
      </c>
      <c r="E17" s="23"/>
      <c r="F17" s="23"/>
      <c r="G17" s="23"/>
    </row>
    <row r="18" spans="1:7">
      <c r="A18" s="23">
        <v>26</v>
      </c>
      <c r="B18" s="23">
        <v>374.9</v>
      </c>
      <c r="C18" s="23">
        <v>2.21</v>
      </c>
      <c r="D18" s="23">
        <v>1.49</v>
      </c>
      <c r="E18" s="23"/>
      <c r="F18" s="23"/>
      <c r="G18" s="23"/>
    </row>
    <row r="19" spans="1:7">
      <c r="A19" s="23">
        <v>60</v>
      </c>
      <c r="B19" s="23">
        <v>492</v>
      </c>
      <c r="C19" s="23">
        <v>2.2200000000000002</v>
      </c>
      <c r="D19" s="23">
        <v>1.32</v>
      </c>
      <c r="E19" s="23"/>
      <c r="F19" s="23"/>
      <c r="G19" s="23"/>
    </row>
    <row r="20" spans="1:7">
      <c r="A20" s="23">
        <v>125</v>
      </c>
      <c r="B20" s="23">
        <v>246</v>
      </c>
      <c r="C20" s="23">
        <v>2.23</v>
      </c>
      <c r="D20" s="23">
        <v>1.47</v>
      </c>
      <c r="E20" s="23"/>
      <c r="F20" s="23"/>
      <c r="G20" s="23"/>
    </row>
    <row r="21" spans="1:7">
      <c r="A21" s="23">
        <v>147</v>
      </c>
      <c r="B21" s="23">
        <v>447.6</v>
      </c>
      <c r="C21" s="23">
        <v>2.2999999999999998</v>
      </c>
      <c r="D21" s="23">
        <v>1.41</v>
      </c>
      <c r="E21" s="23"/>
      <c r="F21" s="23"/>
      <c r="G21" s="23"/>
    </row>
    <row r="22" spans="1:7">
      <c r="A22" s="23">
        <v>160</v>
      </c>
      <c r="B22" s="23">
        <v>447.6</v>
      </c>
      <c r="C22" s="23">
        <v>2.2999999999999998</v>
      </c>
      <c r="D22" s="23">
        <v>1.41</v>
      </c>
      <c r="E22" s="23"/>
      <c r="F22" s="23"/>
      <c r="G22" s="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J22" sqref="J22"/>
    </sheetView>
  </sheetViews>
  <sheetFormatPr defaultRowHeight="15"/>
  <cols>
    <col min="1" max="1" width="14.28515625" customWidth="1"/>
    <col min="2" max="2" width="12.28515625" customWidth="1"/>
    <col min="3" max="3" width="11.5703125" customWidth="1"/>
    <col min="4" max="4" width="14" customWidth="1"/>
    <col min="5" max="5" width="11.85546875" customWidth="1"/>
    <col min="6" max="6" width="16.28515625" customWidth="1"/>
  </cols>
  <sheetData>
    <row r="1" spans="1:8">
      <c r="A1" s="56" t="s">
        <v>858</v>
      </c>
      <c r="B1" s="23"/>
      <c r="C1" s="23"/>
      <c r="D1" s="23"/>
      <c r="E1" s="23"/>
      <c r="F1" s="23"/>
      <c r="G1" s="23"/>
    </row>
    <row r="2" spans="1:8">
      <c r="A2" s="50" t="s">
        <v>947</v>
      </c>
      <c r="B2" s="50" t="s">
        <v>948</v>
      </c>
      <c r="C2" s="50" t="s">
        <v>949</v>
      </c>
      <c r="D2" s="50" t="s">
        <v>950</v>
      </c>
      <c r="E2" s="50" t="s">
        <v>951</v>
      </c>
      <c r="F2" s="50" t="s">
        <v>952</v>
      </c>
      <c r="G2" s="23"/>
    </row>
    <row r="3" spans="1:8">
      <c r="A3" s="23">
        <v>26</v>
      </c>
      <c r="B3" s="332">
        <v>0.01</v>
      </c>
      <c r="C3" s="332">
        <v>1.0155268487866386E-7</v>
      </c>
      <c r="D3" s="332">
        <v>1.9757380647004537</v>
      </c>
      <c r="E3" s="141"/>
      <c r="F3" s="141"/>
      <c r="G3" s="23"/>
    </row>
    <row r="4" spans="1:8" s="53" customFormat="1">
      <c r="A4" s="147">
        <v>40</v>
      </c>
      <c r="B4" s="332">
        <v>0.01</v>
      </c>
      <c r="C4" s="332">
        <v>9.8075539104302399E-8</v>
      </c>
      <c r="D4" s="332">
        <v>2.187537296889237</v>
      </c>
      <c r="E4" s="332"/>
      <c r="F4" s="332"/>
      <c r="G4" s="147"/>
    </row>
    <row r="5" spans="1:8">
      <c r="A5" s="23">
        <v>60</v>
      </c>
      <c r="B5" s="142">
        <v>0.01</v>
      </c>
      <c r="C5" s="143">
        <v>4.0311082573859578E-7</v>
      </c>
      <c r="D5" s="143">
        <v>2.050277560655823</v>
      </c>
      <c r="E5" s="143"/>
      <c r="F5" s="143"/>
      <c r="G5" s="23"/>
    </row>
    <row r="6" spans="1:8">
      <c r="A6" s="203">
        <v>26</v>
      </c>
      <c r="B6" s="204">
        <v>0.01</v>
      </c>
      <c r="C6" s="205">
        <v>1.0155268487866386E-7</v>
      </c>
      <c r="D6" s="205">
        <v>1.9757380647004537</v>
      </c>
      <c r="E6" s="205"/>
      <c r="F6" s="205"/>
      <c r="G6" s="476" t="s">
        <v>652</v>
      </c>
    </row>
    <row r="7" spans="1:8">
      <c r="A7" s="203">
        <v>40</v>
      </c>
      <c r="B7" s="204">
        <v>0.01</v>
      </c>
      <c r="C7" s="205">
        <v>9.8075539104302399E-8</v>
      </c>
      <c r="D7" s="205">
        <v>2.187537296889237</v>
      </c>
      <c r="E7" s="205"/>
      <c r="F7" s="205"/>
      <c r="G7" s="476"/>
    </row>
    <row r="8" spans="1:8" ht="15.75" thickBot="1">
      <c r="A8" s="50" t="s">
        <v>953</v>
      </c>
      <c r="B8" s="50" t="s">
        <v>948</v>
      </c>
      <c r="C8" s="50" t="s">
        <v>949</v>
      </c>
      <c r="D8" s="50" t="s">
        <v>950</v>
      </c>
      <c r="E8" s="50" t="s">
        <v>951</v>
      </c>
      <c r="F8" s="50" t="s">
        <v>952</v>
      </c>
      <c r="G8" s="50" t="s">
        <v>954</v>
      </c>
    </row>
    <row r="9" spans="1:8" ht="15.75" thickBot="1">
      <c r="A9" s="23">
        <v>26</v>
      </c>
      <c r="B9" s="145">
        <v>4.4450000000000003E-2</v>
      </c>
      <c r="C9" s="145">
        <v>2.547E-2</v>
      </c>
      <c r="D9" s="145">
        <v>5.153E-4</v>
      </c>
      <c r="E9" s="145">
        <v>9.1619999999999993E-2</v>
      </c>
      <c r="F9" s="145">
        <v>3.5100000000000002E-4</v>
      </c>
      <c r="G9" s="144">
        <v>2</v>
      </c>
    </row>
    <row r="10" spans="1:8" ht="15.75" thickBot="1">
      <c r="A10" s="23">
        <v>60</v>
      </c>
      <c r="B10" s="145">
        <v>2.4549999999999999E-2</v>
      </c>
      <c r="C10" s="145">
        <v>8.7889999999999996E-2</v>
      </c>
      <c r="D10" s="145">
        <v>6.4440000000000001E-3</v>
      </c>
      <c r="E10" s="145">
        <v>0.41880000000000001</v>
      </c>
      <c r="F10" s="145">
        <v>4.6680000000000003E-3</v>
      </c>
      <c r="G10" s="144">
        <v>2</v>
      </c>
    </row>
    <row r="11" spans="1:8" s="53" customFormat="1" ht="15.75" thickBot="1">
      <c r="A11" s="147">
        <v>26</v>
      </c>
      <c r="B11" s="145">
        <v>2.2750000000000001E-5</v>
      </c>
      <c r="C11" s="145">
        <v>6.4000000000000001E-2</v>
      </c>
      <c r="D11" s="145">
        <v>2.6150000000000001E-3</v>
      </c>
      <c r="E11" s="145">
        <v>0.3654</v>
      </c>
      <c r="F11" s="145">
        <v>1.9719999999999998E-3</v>
      </c>
      <c r="G11" s="144">
        <v>2</v>
      </c>
      <c r="H11" s="475" t="s">
        <v>652</v>
      </c>
    </row>
    <row r="12" spans="1:8" s="53" customFormat="1" ht="15.75" thickBot="1">
      <c r="A12" s="147">
        <v>40</v>
      </c>
      <c r="B12" s="145">
        <v>6.4949999999999999E-3</v>
      </c>
      <c r="C12" s="145">
        <v>7.9390000000000002E-2</v>
      </c>
      <c r="D12" s="145">
        <v>4.816E-3</v>
      </c>
      <c r="E12" s="145">
        <v>0.43120000000000003</v>
      </c>
      <c r="F12" s="145">
        <v>3.6470000000000001E-3</v>
      </c>
      <c r="G12" s="144">
        <v>2</v>
      </c>
      <c r="H12" s="475"/>
    </row>
    <row r="13" spans="1:8">
      <c r="A13" s="50" t="s">
        <v>806</v>
      </c>
      <c r="B13" s="53"/>
      <c r="C13" s="50" t="s">
        <v>948</v>
      </c>
      <c r="D13" s="50" t="s">
        <v>949</v>
      </c>
      <c r="E13" s="50" t="s">
        <v>950</v>
      </c>
      <c r="F13" s="147"/>
      <c r="G13" s="23"/>
    </row>
    <row r="14" spans="1:8">
      <c r="A14" s="332" t="s">
        <v>1193</v>
      </c>
      <c r="B14" s="148">
        <v>26</v>
      </c>
      <c r="C14" s="148">
        <v>510</v>
      </c>
      <c r="D14" s="148">
        <v>1.83</v>
      </c>
      <c r="E14" s="148">
        <v>1.18</v>
      </c>
      <c r="F14" s="477" t="s">
        <v>0</v>
      </c>
      <c r="G14" s="23"/>
    </row>
    <row r="15" spans="1:8">
      <c r="A15" s="332" t="s">
        <v>1193</v>
      </c>
      <c r="B15" s="147">
        <v>60</v>
      </c>
      <c r="C15" s="147">
        <v>440</v>
      </c>
      <c r="D15" s="147">
        <v>1.865</v>
      </c>
      <c r="E15" s="147">
        <v>1.1519999999999999</v>
      </c>
      <c r="F15" s="477"/>
      <c r="G15" s="23"/>
    </row>
    <row r="16" spans="1:8">
      <c r="A16" s="332" t="s">
        <v>1193</v>
      </c>
      <c r="B16" s="147">
        <v>40</v>
      </c>
      <c r="C16" s="147">
        <v>475</v>
      </c>
      <c r="D16" s="147">
        <v>1.845</v>
      </c>
      <c r="E16" s="147">
        <v>1.1659999999999999</v>
      </c>
      <c r="F16" s="477"/>
    </row>
    <row r="17" spans="1:6">
      <c r="A17" s="332" t="s">
        <v>1194</v>
      </c>
      <c r="B17" s="147">
        <v>60</v>
      </c>
      <c r="C17" s="147">
        <v>330</v>
      </c>
      <c r="D17" s="147">
        <v>1.865</v>
      </c>
      <c r="E17" s="147">
        <v>1.282</v>
      </c>
      <c r="F17" s="477"/>
    </row>
    <row r="18" spans="1:6">
      <c r="A18" s="332" t="s">
        <v>1194</v>
      </c>
      <c r="B18" s="148">
        <v>26</v>
      </c>
      <c r="C18" s="148">
        <v>510</v>
      </c>
      <c r="D18" s="148">
        <v>1.83</v>
      </c>
      <c r="E18" s="148">
        <v>1.18</v>
      </c>
      <c r="F18" s="477"/>
    </row>
    <row r="19" spans="1:6">
      <c r="A19" s="332" t="s">
        <v>1194</v>
      </c>
      <c r="B19" s="148">
        <v>40</v>
      </c>
      <c r="C19" s="147">
        <v>475</v>
      </c>
      <c r="D19" s="147">
        <v>1.845</v>
      </c>
      <c r="E19" s="147">
        <v>1.1659999999999999</v>
      </c>
      <c r="F19" s="477"/>
    </row>
    <row r="20" spans="1:6">
      <c r="A20" s="332" t="s">
        <v>1195</v>
      </c>
      <c r="B20" s="147">
        <v>26</v>
      </c>
      <c r="C20" s="332">
        <v>335</v>
      </c>
      <c r="D20" s="332">
        <v>1.825</v>
      </c>
      <c r="E20" s="332">
        <v>1.3320000000000001</v>
      </c>
      <c r="F20" s="477"/>
    </row>
    <row r="21" spans="1:6">
      <c r="A21" s="332" t="s">
        <v>1195</v>
      </c>
      <c r="B21" s="332">
        <v>60</v>
      </c>
      <c r="C21" s="332">
        <v>330</v>
      </c>
      <c r="D21" s="332">
        <v>1.865</v>
      </c>
      <c r="E21" s="332">
        <v>1.282</v>
      </c>
      <c r="F21" s="477"/>
    </row>
    <row r="22" spans="1:6">
      <c r="A22" s="332" t="s">
        <v>1195</v>
      </c>
      <c r="B22" s="332">
        <v>40</v>
      </c>
      <c r="C22" s="332">
        <v>333</v>
      </c>
      <c r="D22" s="332">
        <v>1.845</v>
      </c>
      <c r="E22" s="332">
        <v>1.31</v>
      </c>
      <c r="F22" s="477"/>
    </row>
    <row r="23" spans="1:6" s="53" customFormat="1"/>
    <row r="24" spans="1:6">
      <c r="A24" s="332" t="s">
        <v>1193</v>
      </c>
      <c r="B24" s="148">
        <v>26</v>
      </c>
      <c r="C24" s="206">
        <v>545</v>
      </c>
      <c r="D24" s="206">
        <v>2.02</v>
      </c>
      <c r="E24" s="206">
        <v>1.1890000000000001</v>
      </c>
      <c r="F24" s="478" t="s">
        <v>652</v>
      </c>
    </row>
    <row r="25" spans="1:6">
      <c r="A25" s="332" t="s">
        <v>1193</v>
      </c>
      <c r="B25" s="147">
        <v>60</v>
      </c>
      <c r="C25" s="147">
        <v>661</v>
      </c>
      <c r="D25" s="147">
        <v>2.15</v>
      </c>
      <c r="E25" s="147">
        <v>1.1599999999999999</v>
      </c>
      <c r="F25" s="478"/>
    </row>
    <row r="26" spans="1:6">
      <c r="A26" s="332" t="s">
        <v>1193</v>
      </c>
      <c r="B26" s="206">
        <v>40</v>
      </c>
      <c r="C26" s="206">
        <v>661</v>
      </c>
      <c r="D26" s="206">
        <v>2.15</v>
      </c>
      <c r="E26" s="206">
        <v>1.1599999999999999</v>
      </c>
      <c r="F26" s="478"/>
    </row>
    <row r="27" spans="1:6">
      <c r="A27" s="332" t="s">
        <v>1194</v>
      </c>
      <c r="B27" s="206">
        <v>26</v>
      </c>
      <c r="C27" s="206">
        <v>379</v>
      </c>
      <c r="D27" s="206">
        <v>1.9950000000000001</v>
      </c>
      <c r="E27" s="206">
        <v>1.33</v>
      </c>
      <c r="F27" s="478"/>
    </row>
    <row r="28" spans="1:6">
      <c r="A28" s="332" t="s">
        <v>1194</v>
      </c>
      <c r="B28" s="206">
        <v>40</v>
      </c>
      <c r="C28" s="206">
        <v>661</v>
      </c>
      <c r="D28" s="206">
        <v>2.15</v>
      </c>
      <c r="E28" s="206">
        <v>1.1599999999999999</v>
      </c>
      <c r="F28" s="478"/>
    </row>
    <row r="29" spans="1:6">
      <c r="A29" s="332" t="s">
        <v>1194</v>
      </c>
      <c r="B29" s="206">
        <v>60</v>
      </c>
      <c r="C29" s="206">
        <v>661</v>
      </c>
      <c r="D29" s="206">
        <v>2.15</v>
      </c>
      <c r="E29" s="206">
        <v>1.1599999999999999</v>
      </c>
      <c r="F29" s="478"/>
    </row>
    <row r="30" spans="1:6">
      <c r="A30" s="332" t="s">
        <v>1195</v>
      </c>
      <c r="B30" s="147">
        <v>26</v>
      </c>
      <c r="C30" s="206">
        <v>379</v>
      </c>
      <c r="D30" s="206">
        <v>1.9950000000000001</v>
      </c>
      <c r="E30" s="206">
        <v>1.33</v>
      </c>
      <c r="F30" s="478"/>
    </row>
    <row r="31" spans="1:6">
      <c r="A31" s="332" t="s">
        <v>1195</v>
      </c>
      <c r="B31" s="332">
        <v>60</v>
      </c>
      <c r="C31" s="332">
        <v>441</v>
      </c>
      <c r="D31" s="332">
        <v>2.16</v>
      </c>
      <c r="E31" s="332">
        <v>1.35</v>
      </c>
      <c r="F31" s="478"/>
    </row>
    <row r="32" spans="1:6">
      <c r="A32" s="332" t="s">
        <v>1195</v>
      </c>
      <c r="B32" s="206">
        <v>40</v>
      </c>
      <c r="C32" s="206">
        <v>441</v>
      </c>
      <c r="D32" s="206">
        <v>2.16</v>
      </c>
      <c r="E32" s="206">
        <v>1.35</v>
      </c>
      <c r="F32" s="478"/>
    </row>
  </sheetData>
  <mergeCells count="4">
    <mergeCell ref="H11:H12"/>
    <mergeCell ref="G6:G7"/>
    <mergeCell ref="F14:F22"/>
    <mergeCell ref="F24:F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V877"/>
  <sheetViews>
    <sheetView zoomScale="80" zoomScaleNormal="80" workbookViewId="0">
      <pane ySplit="1" topLeftCell="A809" activePane="bottomLeft" state="frozen"/>
      <selection pane="bottomLeft" activeCell="H843" sqref="H843"/>
    </sheetView>
  </sheetViews>
  <sheetFormatPr defaultRowHeight="15"/>
  <cols>
    <col min="1" max="1" width="12.7109375" style="34" bestFit="1" customWidth="1"/>
    <col min="2" max="2" width="17.5703125" style="34" bestFit="1" customWidth="1"/>
    <col min="3" max="3" width="17" style="158" bestFit="1" customWidth="1"/>
    <col min="4" max="4" width="5.7109375" style="34" bestFit="1" customWidth="1"/>
    <col min="5" max="5" width="9.140625" style="34" bestFit="1" customWidth="1"/>
    <col min="6" max="6" width="12.42578125" style="34" customWidth="1"/>
    <col min="7" max="7" width="10.5703125" style="34" customWidth="1"/>
    <col min="8" max="9" width="20.7109375" style="34" bestFit="1" customWidth="1"/>
    <col min="10" max="11" width="14.85546875" style="34" bestFit="1" customWidth="1"/>
    <col min="12" max="13" width="16" style="34" bestFit="1" customWidth="1"/>
    <col min="14" max="15" width="15.5703125" style="34" bestFit="1" customWidth="1"/>
    <col min="16" max="17" width="19.140625" style="34" bestFit="1" customWidth="1"/>
    <col min="18" max="18" width="8.5703125" style="34" bestFit="1" customWidth="1"/>
    <col min="19" max="19" width="9.42578125" style="34" bestFit="1" customWidth="1"/>
    <col min="20" max="20" width="14" style="34" bestFit="1" customWidth="1"/>
    <col min="21" max="16384" width="9.140625" style="34"/>
  </cols>
  <sheetData>
    <row r="1" spans="1:22" ht="17.25">
      <c r="A1" s="28" t="s">
        <v>656</v>
      </c>
      <c r="B1" s="28" t="s">
        <v>657</v>
      </c>
      <c r="C1" s="157" t="s">
        <v>658</v>
      </c>
      <c r="D1" s="29" t="s">
        <v>655</v>
      </c>
      <c r="E1" s="29" t="s">
        <v>654</v>
      </c>
      <c r="F1" s="29" t="s">
        <v>653</v>
      </c>
      <c r="G1" s="29" t="s">
        <v>652</v>
      </c>
      <c r="H1" s="30" t="s">
        <v>651</v>
      </c>
      <c r="I1" s="30" t="s">
        <v>650</v>
      </c>
      <c r="J1" s="30" t="s">
        <v>649</v>
      </c>
      <c r="K1" s="31" t="s">
        <v>648</v>
      </c>
      <c r="L1" s="30" t="s">
        <v>647</v>
      </c>
      <c r="M1" s="31" t="s">
        <v>646</v>
      </c>
      <c r="N1" s="30" t="s">
        <v>645</v>
      </c>
      <c r="O1" s="31" t="s">
        <v>644</v>
      </c>
      <c r="P1" s="31" t="s">
        <v>643</v>
      </c>
      <c r="Q1" s="31" t="s">
        <v>642</v>
      </c>
      <c r="R1" s="32" t="s">
        <v>641</v>
      </c>
      <c r="S1" s="32" t="s">
        <v>640</v>
      </c>
      <c r="T1" s="28" t="s">
        <v>778</v>
      </c>
      <c r="U1" s="34" t="s">
        <v>658</v>
      </c>
      <c r="V1" s="34" t="s">
        <v>1196</v>
      </c>
    </row>
    <row r="2" spans="1:22" customFormat="1" hidden="1">
      <c r="A2" s="7">
        <v>4741</v>
      </c>
      <c r="B2" t="s">
        <v>698</v>
      </c>
      <c r="C2" s="1">
        <v>4741</v>
      </c>
      <c r="D2" s="1">
        <v>26</v>
      </c>
      <c r="E2" s="1" t="s">
        <v>298</v>
      </c>
      <c r="F2" s="3">
        <v>0</v>
      </c>
      <c r="G2" s="1" t="s">
        <v>699</v>
      </c>
      <c r="H2" s="3">
        <v>0</v>
      </c>
      <c r="I2" s="3">
        <v>0</v>
      </c>
      <c r="J2" s="1">
        <v>1.6339999999999999</v>
      </c>
      <c r="K2" s="4">
        <v>41.5</v>
      </c>
      <c r="L2" s="1">
        <v>1.8939999999999999</v>
      </c>
      <c r="M2" s="1">
        <v>48.11</v>
      </c>
      <c r="N2" s="1">
        <v>1.099</v>
      </c>
      <c r="O2" s="1">
        <v>27.91</v>
      </c>
      <c r="P2" s="3">
        <v>0</v>
      </c>
      <c r="Q2" s="3">
        <v>0</v>
      </c>
      <c r="R2" s="1">
        <v>53.6</v>
      </c>
      <c r="S2" s="1">
        <v>53600</v>
      </c>
      <c r="T2" s="1"/>
    </row>
    <row r="3" spans="1:22" customFormat="1" hidden="1">
      <c r="A3" s="7">
        <v>4741</v>
      </c>
      <c r="B3" t="s">
        <v>706</v>
      </c>
      <c r="C3" s="1">
        <v>4741</v>
      </c>
      <c r="D3" s="1">
        <v>26</v>
      </c>
      <c r="E3" s="1" t="s">
        <v>298</v>
      </c>
      <c r="F3" s="3">
        <v>0</v>
      </c>
      <c r="G3" s="1" t="s">
        <v>699</v>
      </c>
      <c r="H3" s="3">
        <v>0</v>
      </c>
      <c r="I3" s="3">
        <v>0</v>
      </c>
      <c r="J3" s="1">
        <v>1.6339999999999999</v>
      </c>
      <c r="K3" s="4">
        <v>41.5</v>
      </c>
      <c r="L3" s="1">
        <v>1.8939999999999999</v>
      </c>
      <c r="M3" s="1">
        <v>48.11</v>
      </c>
      <c r="N3" s="1">
        <v>0.80600000000000005</v>
      </c>
      <c r="O3" s="1">
        <v>20.5</v>
      </c>
      <c r="P3" s="3">
        <v>0</v>
      </c>
      <c r="Q3" s="3">
        <v>0</v>
      </c>
      <c r="R3" s="1">
        <v>39.9</v>
      </c>
      <c r="S3" s="1">
        <v>39900</v>
      </c>
      <c r="T3" s="1"/>
    </row>
    <row r="4" spans="1:22" customFormat="1" hidden="1">
      <c r="A4" s="7">
        <v>4741</v>
      </c>
      <c r="B4" t="s">
        <v>702</v>
      </c>
      <c r="C4" s="1">
        <v>4741</v>
      </c>
      <c r="D4" s="1">
        <v>60</v>
      </c>
      <c r="E4" s="1" t="s">
        <v>298</v>
      </c>
      <c r="F4" s="3">
        <v>0</v>
      </c>
      <c r="G4" s="1" t="s">
        <v>699</v>
      </c>
      <c r="H4" s="3">
        <v>0</v>
      </c>
      <c r="I4" s="3">
        <v>0</v>
      </c>
      <c r="J4" s="1">
        <v>1.6339999999999999</v>
      </c>
      <c r="K4" s="4">
        <v>41.5</v>
      </c>
      <c r="L4" s="1">
        <v>1.8939999999999999</v>
      </c>
      <c r="M4" s="1">
        <v>48.11</v>
      </c>
      <c r="N4" s="1">
        <v>1.099</v>
      </c>
      <c r="O4" s="1">
        <v>27.91</v>
      </c>
      <c r="P4" s="3">
        <v>0</v>
      </c>
      <c r="Q4" s="3">
        <v>0</v>
      </c>
      <c r="R4" s="1">
        <v>53.6</v>
      </c>
      <c r="S4" s="1">
        <v>53600</v>
      </c>
      <c r="T4" s="1"/>
    </row>
    <row r="5" spans="1:22" customFormat="1" hidden="1">
      <c r="A5" s="7">
        <v>5528</v>
      </c>
      <c r="B5" t="s">
        <v>700</v>
      </c>
      <c r="C5" s="1">
        <v>5528</v>
      </c>
      <c r="D5" s="1">
        <v>26</v>
      </c>
      <c r="E5" s="1" t="s">
        <v>298</v>
      </c>
      <c r="F5" s="3">
        <v>0</v>
      </c>
      <c r="G5" s="1" t="s">
        <v>699</v>
      </c>
      <c r="H5" s="3">
        <v>0</v>
      </c>
      <c r="I5" s="3">
        <v>0</v>
      </c>
      <c r="J5" s="1">
        <v>1.101</v>
      </c>
      <c r="K5" s="1">
        <v>27.97</v>
      </c>
      <c r="L5" s="1">
        <v>2.1850000000000001</v>
      </c>
      <c r="M5" s="4">
        <v>55.5</v>
      </c>
      <c r="N5" s="1">
        <v>0.82699999999999996</v>
      </c>
      <c r="O5" s="5">
        <v>21</v>
      </c>
      <c r="P5" s="3">
        <v>0</v>
      </c>
      <c r="Q5" s="3">
        <v>0</v>
      </c>
      <c r="R5" s="1">
        <v>31.2</v>
      </c>
      <c r="S5" s="1">
        <v>31200</v>
      </c>
      <c r="T5" s="1"/>
    </row>
    <row r="6" spans="1:22" customFormat="1" hidden="1">
      <c r="A6" s="7">
        <v>5528</v>
      </c>
      <c r="B6" t="s">
        <v>703</v>
      </c>
      <c r="C6" s="1">
        <v>5528</v>
      </c>
      <c r="D6" s="1">
        <v>40</v>
      </c>
      <c r="E6" s="1" t="s">
        <v>298</v>
      </c>
      <c r="F6" s="3">
        <v>0</v>
      </c>
      <c r="G6" s="1" t="s">
        <v>699</v>
      </c>
      <c r="H6" s="3">
        <v>0</v>
      </c>
      <c r="I6" s="3">
        <v>0</v>
      </c>
      <c r="J6" s="1">
        <v>1.101</v>
      </c>
      <c r="K6" s="1">
        <v>27.97</v>
      </c>
      <c r="L6" s="1">
        <v>2.1850000000000001</v>
      </c>
      <c r="M6" s="4">
        <v>55.5</v>
      </c>
      <c r="N6" s="1">
        <v>0.82699999999999996</v>
      </c>
      <c r="O6" s="5">
        <v>21</v>
      </c>
      <c r="P6" s="3">
        <v>0</v>
      </c>
      <c r="Q6" s="3">
        <v>0</v>
      </c>
      <c r="R6" s="1">
        <v>31.2</v>
      </c>
      <c r="S6" s="1">
        <v>31200</v>
      </c>
      <c r="T6" s="1"/>
    </row>
    <row r="7" spans="1:22" customFormat="1" hidden="1">
      <c r="A7" s="7">
        <v>5528</v>
      </c>
      <c r="B7" t="s">
        <v>704</v>
      </c>
      <c r="C7" s="1">
        <v>5528</v>
      </c>
      <c r="D7" s="1">
        <v>60</v>
      </c>
      <c r="E7" s="1" t="s">
        <v>298</v>
      </c>
      <c r="F7" s="3">
        <v>0</v>
      </c>
      <c r="G7" s="1" t="s">
        <v>699</v>
      </c>
      <c r="H7" s="3">
        <v>0</v>
      </c>
      <c r="I7" s="3">
        <v>0</v>
      </c>
      <c r="J7" s="1">
        <v>1.101</v>
      </c>
      <c r="K7" s="1">
        <v>27.97</v>
      </c>
      <c r="L7" s="1">
        <v>2.1850000000000001</v>
      </c>
      <c r="M7" s="4">
        <v>55.5</v>
      </c>
      <c r="N7" s="1">
        <v>0.82699999999999996</v>
      </c>
      <c r="O7" s="5">
        <v>21</v>
      </c>
      <c r="P7" s="3">
        <v>0</v>
      </c>
      <c r="Q7" s="3">
        <v>0</v>
      </c>
      <c r="R7" s="1">
        <v>31.2</v>
      </c>
      <c r="S7" s="1">
        <v>31200</v>
      </c>
      <c r="T7" s="1"/>
    </row>
    <row r="8" spans="1:22" customFormat="1" hidden="1">
      <c r="A8" s="7">
        <v>6030</v>
      </c>
      <c r="B8" t="s">
        <v>705</v>
      </c>
      <c r="C8" s="1">
        <v>6030</v>
      </c>
      <c r="D8" s="1">
        <v>90</v>
      </c>
      <c r="E8" s="1" t="s">
        <v>298</v>
      </c>
      <c r="F8" s="3">
        <v>0</v>
      </c>
      <c r="G8" s="1" t="s">
        <v>699</v>
      </c>
      <c r="H8" s="3">
        <v>0</v>
      </c>
      <c r="I8" s="3">
        <v>0</v>
      </c>
      <c r="J8" s="1">
        <v>1.1910000000000001</v>
      </c>
      <c r="K8" s="1">
        <v>30.25</v>
      </c>
      <c r="L8" s="1">
        <v>2.3719999999999999</v>
      </c>
      <c r="M8" s="1">
        <v>60.25</v>
      </c>
      <c r="N8" s="1">
        <v>0.60099999999999998</v>
      </c>
      <c r="O8" s="1">
        <v>15.25</v>
      </c>
      <c r="P8" s="3">
        <v>0</v>
      </c>
      <c r="Q8" s="3">
        <v>0</v>
      </c>
      <c r="R8" s="5">
        <v>27</v>
      </c>
      <c r="S8" s="1">
        <v>27000</v>
      </c>
      <c r="T8" s="1"/>
    </row>
    <row r="9" spans="1:22" customFormat="1" hidden="1">
      <c r="A9" s="7">
        <v>6030</v>
      </c>
      <c r="B9" t="s">
        <v>711</v>
      </c>
      <c r="C9" s="1">
        <v>6030</v>
      </c>
      <c r="D9" s="1">
        <v>60</v>
      </c>
      <c r="E9" s="1" t="s">
        <v>298</v>
      </c>
      <c r="F9" s="3">
        <v>0</v>
      </c>
      <c r="G9" s="1" t="s">
        <v>699</v>
      </c>
      <c r="H9" s="3">
        <v>0</v>
      </c>
      <c r="I9" s="3">
        <v>0</v>
      </c>
      <c r="J9" s="1">
        <v>1.1910000000000001</v>
      </c>
      <c r="K9" s="1">
        <v>30.25</v>
      </c>
      <c r="L9" s="1">
        <v>2.3719999999999999</v>
      </c>
      <c r="M9" s="1">
        <v>60.25</v>
      </c>
      <c r="N9" s="1">
        <v>0.59099999999999997</v>
      </c>
      <c r="O9" s="1">
        <v>15.25</v>
      </c>
      <c r="P9" s="3">
        <v>0</v>
      </c>
      <c r="Q9" s="3">
        <v>0</v>
      </c>
      <c r="R9" s="5">
        <v>27</v>
      </c>
      <c r="S9" s="1">
        <v>27000</v>
      </c>
      <c r="T9" s="1"/>
    </row>
    <row r="10" spans="1:22" customFormat="1" hidden="1">
      <c r="A10" s="7">
        <v>6030</v>
      </c>
      <c r="B10" t="s">
        <v>701</v>
      </c>
      <c r="C10" s="1">
        <v>6030</v>
      </c>
      <c r="D10" s="1">
        <v>26</v>
      </c>
      <c r="E10" s="1" t="s">
        <v>298</v>
      </c>
      <c r="F10" s="3">
        <v>0</v>
      </c>
      <c r="G10" s="1" t="s">
        <v>699</v>
      </c>
      <c r="H10" s="3">
        <v>0</v>
      </c>
      <c r="I10" s="3">
        <v>0</v>
      </c>
      <c r="J10" s="1">
        <v>1.1910000000000001</v>
      </c>
      <c r="K10" s="1">
        <v>30.25</v>
      </c>
      <c r="L10" s="1">
        <v>2.3719999999999999</v>
      </c>
      <c r="M10" s="1">
        <v>60.25</v>
      </c>
      <c r="N10" s="1">
        <v>0.59099999999999997</v>
      </c>
      <c r="O10" s="1">
        <v>15.25</v>
      </c>
      <c r="P10" s="3">
        <v>0</v>
      </c>
      <c r="Q10" s="3">
        <v>0</v>
      </c>
      <c r="R10" s="5">
        <v>27</v>
      </c>
      <c r="S10" s="1">
        <v>27000</v>
      </c>
      <c r="T10" s="1"/>
    </row>
    <row r="11" spans="1:22" customFormat="1" hidden="1">
      <c r="A11" s="7">
        <v>8020</v>
      </c>
      <c r="B11" t="s">
        <v>707</v>
      </c>
      <c r="C11" s="1">
        <v>8020</v>
      </c>
      <c r="D11" s="1">
        <v>26</v>
      </c>
      <c r="E11" s="1" t="s">
        <v>298</v>
      </c>
      <c r="F11" s="1">
        <v>155</v>
      </c>
      <c r="G11" s="1" t="s">
        <v>297</v>
      </c>
      <c r="H11" s="1">
        <v>18.5</v>
      </c>
      <c r="I11" s="1">
        <v>185</v>
      </c>
      <c r="J11" s="1">
        <v>1.5249999999999999</v>
      </c>
      <c r="K11" s="1">
        <v>38.74</v>
      </c>
      <c r="L11" s="1">
        <v>3.1970000000000001</v>
      </c>
      <c r="M11" s="1">
        <v>81.209999999999994</v>
      </c>
      <c r="N11" s="1">
        <v>1.2649999999999999</v>
      </c>
      <c r="O11" s="1">
        <v>32.130000000000003</v>
      </c>
      <c r="P11" s="1">
        <v>6.29</v>
      </c>
      <c r="Q11" s="1">
        <v>629</v>
      </c>
      <c r="R11" s="1">
        <v>116</v>
      </c>
      <c r="S11" s="1">
        <v>116000</v>
      </c>
      <c r="T11" s="1"/>
    </row>
    <row r="12" spans="1:22" customFormat="1" hidden="1">
      <c r="A12" s="7">
        <v>8020</v>
      </c>
      <c r="B12" t="s">
        <v>708</v>
      </c>
      <c r="C12" s="1">
        <v>8020</v>
      </c>
      <c r="D12" s="1">
        <v>26</v>
      </c>
      <c r="E12" s="1" t="s">
        <v>298</v>
      </c>
      <c r="F12" s="1">
        <v>145</v>
      </c>
      <c r="G12" s="1" t="s">
        <v>297</v>
      </c>
      <c r="H12" s="1">
        <v>18.5</v>
      </c>
      <c r="I12" s="1">
        <v>185</v>
      </c>
      <c r="J12" s="1">
        <v>1.5249999999999999</v>
      </c>
      <c r="K12" s="1">
        <v>38.74</v>
      </c>
      <c r="L12" s="1">
        <v>3.1970000000000001</v>
      </c>
      <c r="M12" s="1">
        <v>81.209999999999994</v>
      </c>
      <c r="N12" s="1">
        <v>1.1850000000000001</v>
      </c>
      <c r="O12" s="4">
        <v>30.1</v>
      </c>
      <c r="P12" s="1">
        <v>5.84</v>
      </c>
      <c r="Q12" s="1">
        <v>584</v>
      </c>
      <c r="R12" s="1">
        <v>108</v>
      </c>
      <c r="S12" s="1">
        <v>108000</v>
      </c>
      <c r="T12" s="1"/>
    </row>
    <row r="13" spans="1:22" customFormat="1" hidden="1">
      <c r="A13" s="7">
        <v>8030</v>
      </c>
      <c r="B13" t="s">
        <v>764</v>
      </c>
      <c r="C13" s="1">
        <v>8030</v>
      </c>
      <c r="D13" s="1">
        <v>26</v>
      </c>
      <c r="E13" s="1" t="s">
        <v>298</v>
      </c>
      <c r="F13" s="3">
        <v>0</v>
      </c>
      <c r="G13" s="1" t="s">
        <v>699</v>
      </c>
      <c r="H13" s="3">
        <v>0</v>
      </c>
      <c r="I13" s="3">
        <v>0</v>
      </c>
      <c r="J13" s="1">
        <v>1.2130000000000001</v>
      </c>
      <c r="K13" s="1">
        <v>30.81</v>
      </c>
      <c r="L13" s="1">
        <v>3.1890000000000001</v>
      </c>
      <c r="M13" s="4">
        <v>81</v>
      </c>
      <c r="N13" s="1">
        <v>1.3819999999999999</v>
      </c>
      <c r="O13" s="4">
        <v>35.1</v>
      </c>
      <c r="P13" s="3">
        <v>0</v>
      </c>
      <c r="Q13" s="3">
        <v>0</v>
      </c>
      <c r="R13" s="5">
        <v>85.4</v>
      </c>
      <c r="S13" s="1">
        <v>85400</v>
      </c>
      <c r="T13" s="1"/>
    </row>
    <row r="14" spans="1:22" customFormat="1" hidden="1">
      <c r="A14" s="7">
        <v>8030</v>
      </c>
      <c r="B14" t="s">
        <v>765</v>
      </c>
      <c r="C14" s="1">
        <v>8030</v>
      </c>
      <c r="D14" s="1">
        <v>40</v>
      </c>
      <c r="E14" s="1" t="s">
        <v>298</v>
      </c>
      <c r="F14" s="3">
        <v>0</v>
      </c>
      <c r="G14" s="1" t="s">
        <v>699</v>
      </c>
      <c r="H14" s="3">
        <v>0</v>
      </c>
      <c r="I14" s="3">
        <v>0</v>
      </c>
      <c r="J14" s="1">
        <v>1.2130000000000001</v>
      </c>
      <c r="K14" s="1">
        <v>30.81</v>
      </c>
      <c r="L14" s="1">
        <v>3.1890000000000001</v>
      </c>
      <c r="M14" s="4">
        <v>81</v>
      </c>
      <c r="N14" s="1">
        <v>1.3819999999999999</v>
      </c>
      <c r="O14" s="4">
        <v>35.1</v>
      </c>
      <c r="P14" s="3">
        <v>0</v>
      </c>
      <c r="Q14" s="3">
        <v>0</v>
      </c>
      <c r="R14" s="5">
        <v>85.4</v>
      </c>
      <c r="S14" s="1">
        <v>85400</v>
      </c>
      <c r="T14" s="1"/>
    </row>
    <row r="15" spans="1:22" customFormat="1" hidden="1">
      <c r="A15" s="7">
        <v>8044</v>
      </c>
      <c r="B15" t="s">
        <v>709</v>
      </c>
      <c r="C15" s="1">
        <v>8044</v>
      </c>
      <c r="D15" s="1">
        <v>26</v>
      </c>
      <c r="E15" s="1" t="s">
        <v>298</v>
      </c>
      <c r="F15" s="1">
        <v>137</v>
      </c>
      <c r="G15" s="1" t="s">
        <v>297</v>
      </c>
      <c r="H15" s="1">
        <v>20.8</v>
      </c>
      <c r="I15" s="1">
        <v>208</v>
      </c>
      <c r="J15" s="2">
        <v>1.78</v>
      </c>
      <c r="K15" s="1">
        <v>45.21</v>
      </c>
      <c r="L15" s="1">
        <v>3.1970000000000001</v>
      </c>
      <c r="M15" s="4">
        <v>81.2</v>
      </c>
      <c r="N15" s="1">
        <v>1.1850000000000001</v>
      </c>
      <c r="O15" s="4">
        <v>30.1</v>
      </c>
      <c r="P15" s="4">
        <v>5.84</v>
      </c>
      <c r="Q15" s="1">
        <v>584</v>
      </c>
      <c r="R15" s="1">
        <v>121</v>
      </c>
      <c r="S15" s="1">
        <v>121000</v>
      </c>
      <c r="T15" s="1"/>
    </row>
    <row r="16" spans="1:22" hidden="1">
      <c r="A16" s="33">
        <v>55098</v>
      </c>
      <c r="B16" s="34" t="s">
        <v>734</v>
      </c>
      <c r="C16" s="158">
        <v>102</v>
      </c>
      <c r="D16" s="34">
        <v>125</v>
      </c>
      <c r="E16" s="34" t="s">
        <v>21</v>
      </c>
      <c r="F16" s="34">
        <v>232</v>
      </c>
      <c r="G16" s="34" t="s">
        <v>0</v>
      </c>
      <c r="H16" s="34">
        <v>24.3</v>
      </c>
      <c r="I16" s="34">
        <v>243</v>
      </c>
      <c r="J16" s="34">
        <v>2.1949999999999998</v>
      </c>
      <c r="K16" s="34">
        <v>55.75</v>
      </c>
      <c r="L16" s="34">
        <v>4.0549999999999997</v>
      </c>
      <c r="M16" s="35">
        <v>103</v>
      </c>
      <c r="N16" s="34">
        <v>0.70499999999999996</v>
      </c>
      <c r="O16" s="34">
        <v>17.899999999999999</v>
      </c>
      <c r="P16" s="34">
        <v>3.58</v>
      </c>
      <c r="Q16" s="34">
        <v>358</v>
      </c>
      <c r="R16" s="34">
        <v>86.9</v>
      </c>
      <c r="S16" s="34">
        <v>86900</v>
      </c>
      <c r="T16" s="34">
        <v>24.7</v>
      </c>
      <c r="U16" s="34">
        <f>C16*1</f>
        <v>102</v>
      </c>
      <c r="V16" s="34">
        <f>VLOOKUP(U16,'Powder Core Toroid OD'!$A$2:$B$36,2,FALSE)</f>
        <v>101.6</v>
      </c>
    </row>
    <row r="17" spans="1:22" hidden="1">
      <c r="A17" s="33">
        <v>55099</v>
      </c>
      <c r="B17" s="34" t="s">
        <v>733</v>
      </c>
      <c r="C17" s="158">
        <v>102</v>
      </c>
      <c r="D17" s="34">
        <v>60</v>
      </c>
      <c r="E17" s="34" t="s">
        <v>21</v>
      </c>
      <c r="F17" s="34">
        <v>111</v>
      </c>
      <c r="G17" s="34" t="s">
        <v>0</v>
      </c>
      <c r="H17" s="34">
        <v>24.3</v>
      </c>
      <c r="I17" s="34">
        <v>243</v>
      </c>
      <c r="J17" s="34">
        <v>2.1949999999999998</v>
      </c>
      <c r="K17" s="34">
        <v>55.75</v>
      </c>
      <c r="L17" s="34">
        <v>4.0549999999999997</v>
      </c>
      <c r="M17" s="35">
        <v>103</v>
      </c>
      <c r="N17" s="34">
        <v>0.70499999999999996</v>
      </c>
      <c r="O17" s="34">
        <v>17.899999999999999</v>
      </c>
      <c r="P17" s="34">
        <v>3.58</v>
      </c>
      <c r="Q17" s="34">
        <v>358</v>
      </c>
      <c r="R17" s="34">
        <v>86.9</v>
      </c>
      <c r="S17" s="34">
        <v>86900</v>
      </c>
      <c r="T17" s="34">
        <v>24.7</v>
      </c>
      <c r="U17" s="34">
        <f t="shared" ref="U17:U73" si="0">C17*1</f>
        <v>102</v>
      </c>
      <c r="V17" s="34">
        <f>VLOOKUP(U17,'Powder Core Toroid OD'!$A$2:$B$36,2,FALSE)</f>
        <v>101.6</v>
      </c>
    </row>
    <row r="18" spans="1:22" hidden="1">
      <c r="A18" s="33">
        <v>55101</v>
      </c>
      <c r="B18" s="34" t="s">
        <v>731</v>
      </c>
      <c r="C18" s="158">
        <v>102</v>
      </c>
      <c r="D18" s="34">
        <v>14</v>
      </c>
      <c r="E18" s="34" t="s">
        <v>21</v>
      </c>
      <c r="F18" s="34">
        <v>26</v>
      </c>
      <c r="G18" s="34" t="s">
        <v>0</v>
      </c>
      <c r="H18" s="34">
        <v>24.3</v>
      </c>
      <c r="I18" s="34">
        <v>243</v>
      </c>
      <c r="J18" s="34">
        <v>2.1949999999999998</v>
      </c>
      <c r="K18" s="34">
        <v>55.75</v>
      </c>
      <c r="L18" s="34">
        <v>4.0549999999999997</v>
      </c>
      <c r="M18" s="35">
        <v>103</v>
      </c>
      <c r="N18" s="34">
        <v>0.70499999999999996</v>
      </c>
      <c r="O18" s="34">
        <v>17.899999999999999</v>
      </c>
      <c r="P18" s="34">
        <v>3.58</v>
      </c>
      <c r="Q18" s="34">
        <v>358</v>
      </c>
      <c r="R18" s="34">
        <v>86.9</v>
      </c>
      <c r="S18" s="34">
        <v>86900</v>
      </c>
      <c r="T18" s="34">
        <v>24.7</v>
      </c>
      <c r="U18" s="34">
        <f t="shared" si="0"/>
        <v>102</v>
      </c>
      <c r="V18" s="34">
        <f>VLOOKUP(U18,'Powder Core Toroid OD'!$A$2:$B$36,2,FALSE)</f>
        <v>101.6</v>
      </c>
    </row>
    <row r="19" spans="1:22" hidden="1">
      <c r="A19" s="33">
        <v>55102</v>
      </c>
      <c r="B19" s="34" t="s">
        <v>732</v>
      </c>
      <c r="C19" s="158">
        <v>102</v>
      </c>
      <c r="D19" s="34">
        <v>26</v>
      </c>
      <c r="E19" s="34" t="s">
        <v>21</v>
      </c>
      <c r="F19" s="34">
        <v>48</v>
      </c>
      <c r="G19" s="34" t="s">
        <v>0</v>
      </c>
      <c r="H19" s="34">
        <v>24.3</v>
      </c>
      <c r="I19" s="34">
        <v>243</v>
      </c>
      <c r="J19" s="34">
        <v>2.1949999999999998</v>
      </c>
      <c r="K19" s="34">
        <v>55.75</v>
      </c>
      <c r="L19" s="34">
        <v>4.0549999999999997</v>
      </c>
      <c r="M19" s="35">
        <v>103</v>
      </c>
      <c r="N19" s="34">
        <v>0.70499999999999996</v>
      </c>
      <c r="O19" s="34">
        <v>17.899999999999999</v>
      </c>
      <c r="P19" s="34">
        <v>3.58</v>
      </c>
      <c r="Q19" s="34">
        <v>358</v>
      </c>
      <c r="R19" s="34">
        <v>86.9</v>
      </c>
      <c r="S19" s="34">
        <v>86900</v>
      </c>
      <c r="T19" s="34">
        <v>24.7</v>
      </c>
      <c r="U19" s="34">
        <f t="shared" si="0"/>
        <v>102</v>
      </c>
      <c r="V19" s="34">
        <f>VLOOKUP(U19,'Powder Core Toroid OD'!$A$2:$B$36,2,FALSE)</f>
        <v>101.6</v>
      </c>
    </row>
    <row r="20" spans="1:22" hidden="1">
      <c r="A20" s="36">
        <v>55164</v>
      </c>
      <c r="B20" s="37" t="s">
        <v>751</v>
      </c>
      <c r="C20" s="159">
        <v>165</v>
      </c>
      <c r="D20" s="37">
        <v>14</v>
      </c>
      <c r="E20" s="37" t="s">
        <v>21</v>
      </c>
      <c r="F20" s="37">
        <v>42</v>
      </c>
      <c r="G20" s="37" t="s">
        <v>0</v>
      </c>
      <c r="H20" s="37">
        <v>41.2</v>
      </c>
      <c r="I20" s="37">
        <v>412</v>
      </c>
      <c r="J20" s="37">
        <v>3.9769999999999999</v>
      </c>
      <c r="K20" s="38">
        <v>101</v>
      </c>
      <c r="L20" s="37">
        <v>6.5549999999999997</v>
      </c>
      <c r="M20" s="38">
        <v>166.5</v>
      </c>
      <c r="N20" s="37">
        <v>1.3049999999999999</v>
      </c>
      <c r="O20" s="39">
        <v>33.15</v>
      </c>
      <c r="P20" s="37">
        <v>9.8699999999999992</v>
      </c>
      <c r="Q20" s="37">
        <v>987</v>
      </c>
      <c r="R20" s="37">
        <v>407</v>
      </c>
      <c r="S20" s="37">
        <v>407000</v>
      </c>
      <c r="T20" s="37">
        <v>80.3</v>
      </c>
      <c r="U20" s="34">
        <f t="shared" si="0"/>
        <v>165</v>
      </c>
      <c r="V20" s="34">
        <f>VLOOKUP(U20,'Powder Core Toroid OD'!$A$2:$B$36,2,FALSE)</f>
        <v>165.1</v>
      </c>
    </row>
    <row r="21" spans="1:22" hidden="1">
      <c r="A21" s="36">
        <v>55165</v>
      </c>
      <c r="B21" s="37" t="s">
        <v>752</v>
      </c>
      <c r="C21" s="159">
        <v>165</v>
      </c>
      <c r="D21" s="37">
        <v>26</v>
      </c>
      <c r="E21" s="37" t="s">
        <v>21</v>
      </c>
      <c r="F21" s="37">
        <v>78</v>
      </c>
      <c r="G21" s="37" t="s">
        <v>0</v>
      </c>
      <c r="H21" s="37">
        <v>41.2</v>
      </c>
      <c r="I21" s="37">
        <v>412</v>
      </c>
      <c r="J21" s="37">
        <v>3.9769999999999999</v>
      </c>
      <c r="K21" s="38">
        <v>101</v>
      </c>
      <c r="L21" s="37">
        <v>6.5549999999999997</v>
      </c>
      <c r="M21" s="38">
        <v>166.5</v>
      </c>
      <c r="N21" s="37">
        <v>1.3049999999999999</v>
      </c>
      <c r="O21" s="39">
        <v>33.15</v>
      </c>
      <c r="P21" s="37">
        <v>9.8699999999999992</v>
      </c>
      <c r="Q21" s="37">
        <v>987</v>
      </c>
      <c r="R21" s="37">
        <v>407</v>
      </c>
      <c r="S21" s="37">
        <v>407000</v>
      </c>
      <c r="T21" s="37">
        <v>80.3</v>
      </c>
      <c r="U21" s="34">
        <f t="shared" si="0"/>
        <v>165</v>
      </c>
      <c r="V21" s="34">
        <f>VLOOKUP(U21,'Powder Core Toroid OD'!$A$2:$B$36,2,FALSE)</f>
        <v>165.1</v>
      </c>
    </row>
    <row r="22" spans="1:22" hidden="1">
      <c r="A22" s="36">
        <v>55167</v>
      </c>
      <c r="B22" s="37" t="s">
        <v>753</v>
      </c>
      <c r="C22" s="159">
        <v>165</v>
      </c>
      <c r="D22" s="37">
        <v>60</v>
      </c>
      <c r="E22" s="37" t="s">
        <v>21</v>
      </c>
      <c r="F22" s="37">
        <v>180</v>
      </c>
      <c r="G22" s="37" t="s">
        <v>0</v>
      </c>
      <c r="H22" s="37">
        <v>41.2</v>
      </c>
      <c r="I22" s="37">
        <v>412</v>
      </c>
      <c r="J22" s="37">
        <v>3.9769999999999999</v>
      </c>
      <c r="K22" s="38">
        <v>101</v>
      </c>
      <c r="L22" s="37">
        <v>6.5549999999999997</v>
      </c>
      <c r="M22" s="38">
        <v>166.5</v>
      </c>
      <c r="N22" s="37">
        <v>1.3049999999999999</v>
      </c>
      <c r="O22" s="39">
        <v>33.15</v>
      </c>
      <c r="P22" s="37">
        <v>9.8699999999999992</v>
      </c>
      <c r="Q22" s="37">
        <v>987</v>
      </c>
      <c r="R22" s="37">
        <v>407</v>
      </c>
      <c r="S22" s="37">
        <v>407000</v>
      </c>
      <c r="T22" s="37">
        <v>80.3</v>
      </c>
      <c r="U22" s="34">
        <f t="shared" si="0"/>
        <v>165</v>
      </c>
      <c r="V22" s="34">
        <f>VLOOKUP(U22,'Powder Core Toroid OD'!$A$2:$B$36,2,FALSE)</f>
        <v>165.1</v>
      </c>
    </row>
    <row r="23" spans="1:22" hidden="1">
      <c r="A23" s="33">
        <v>55195</v>
      </c>
      <c r="B23" s="34" t="s">
        <v>713</v>
      </c>
      <c r="C23" s="158">
        <v>195</v>
      </c>
      <c r="D23" s="34">
        <v>125</v>
      </c>
      <c r="E23" s="34" t="s">
        <v>21</v>
      </c>
      <c r="F23" s="34">
        <v>287</v>
      </c>
      <c r="G23" s="34" t="s">
        <v>0</v>
      </c>
      <c r="H23" s="34">
        <v>12.5</v>
      </c>
      <c r="I23" s="34">
        <v>125</v>
      </c>
      <c r="J23" s="34">
        <v>1.0069999999999999</v>
      </c>
      <c r="K23" s="34">
        <v>25.57</v>
      </c>
      <c r="L23" s="34">
        <v>2.2850000000000001</v>
      </c>
      <c r="M23" s="34">
        <v>58.04</v>
      </c>
      <c r="N23" s="34">
        <v>0.63500000000000001</v>
      </c>
      <c r="O23" s="34">
        <v>16.2</v>
      </c>
      <c r="P23" s="34">
        <v>2.29</v>
      </c>
      <c r="Q23" s="34">
        <v>229</v>
      </c>
      <c r="R23" s="34">
        <v>28.6</v>
      </c>
      <c r="S23" s="34">
        <v>28600</v>
      </c>
      <c r="T23" s="34">
        <v>5.14</v>
      </c>
      <c r="U23" s="34">
        <f t="shared" si="0"/>
        <v>195</v>
      </c>
      <c r="V23" s="34">
        <f>VLOOKUP(U23,'Powder Core Toroid OD'!$A$2:$B$36,2,FALSE)</f>
        <v>57.2</v>
      </c>
    </row>
    <row r="24" spans="1:22" hidden="1">
      <c r="A24" s="36">
        <v>55336</v>
      </c>
      <c r="B24" s="37" t="s">
        <v>742</v>
      </c>
      <c r="C24" s="159">
        <v>337</v>
      </c>
      <c r="D24" s="37">
        <v>14</v>
      </c>
      <c r="E24" s="37" t="s">
        <v>21</v>
      </c>
      <c r="F24" s="37">
        <v>37</v>
      </c>
      <c r="G24" s="37" t="s">
        <v>0</v>
      </c>
      <c r="H24" s="37">
        <v>32.4</v>
      </c>
      <c r="I24" s="37">
        <v>324</v>
      </c>
      <c r="J24" s="37">
        <v>3.0390000000000001</v>
      </c>
      <c r="K24" s="37">
        <v>77.19</v>
      </c>
      <c r="L24" s="37">
        <v>5.274</v>
      </c>
      <c r="M24" s="38">
        <v>134</v>
      </c>
      <c r="N24" s="37">
        <v>1.0549999999999999</v>
      </c>
      <c r="O24" s="39">
        <v>26.8</v>
      </c>
      <c r="P24" s="37">
        <v>6.78</v>
      </c>
      <c r="Q24" s="37">
        <v>678</v>
      </c>
      <c r="R24" s="37">
        <v>220</v>
      </c>
      <c r="S24" s="37">
        <v>220000</v>
      </c>
      <c r="T24" s="37">
        <v>47.1</v>
      </c>
      <c r="U24" s="34">
        <f t="shared" si="0"/>
        <v>337</v>
      </c>
      <c r="V24" s="34">
        <f>VLOOKUP(U24,'Powder Core Toroid OD'!$A$2:$B$36,2,FALSE)</f>
        <v>132.6</v>
      </c>
    </row>
    <row r="25" spans="1:22" hidden="1">
      <c r="A25" s="36">
        <v>55337</v>
      </c>
      <c r="B25" s="37" t="s">
        <v>743</v>
      </c>
      <c r="C25" s="159">
        <v>337</v>
      </c>
      <c r="D25" s="37">
        <v>26</v>
      </c>
      <c r="E25" s="37" t="s">
        <v>21</v>
      </c>
      <c r="F25" s="37">
        <v>68</v>
      </c>
      <c r="G25" s="37" t="s">
        <v>0</v>
      </c>
      <c r="H25" s="37">
        <v>32.4</v>
      </c>
      <c r="I25" s="37">
        <v>324</v>
      </c>
      <c r="J25" s="37">
        <v>3.0390000000000001</v>
      </c>
      <c r="K25" s="37">
        <v>77.19</v>
      </c>
      <c r="L25" s="37">
        <v>5.274</v>
      </c>
      <c r="M25" s="38">
        <v>134</v>
      </c>
      <c r="N25" s="37">
        <v>1.0549999999999999</v>
      </c>
      <c r="O25" s="39">
        <v>26.8</v>
      </c>
      <c r="P25" s="37">
        <v>6.78</v>
      </c>
      <c r="Q25" s="37">
        <v>678</v>
      </c>
      <c r="R25" s="37">
        <v>220</v>
      </c>
      <c r="S25" s="37">
        <v>220000</v>
      </c>
      <c r="T25" s="37">
        <v>47.1</v>
      </c>
      <c r="U25" s="34">
        <f t="shared" si="0"/>
        <v>337</v>
      </c>
      <c r="V25" s="34">
        <f>VLOOKUP(U25,'Powder Core Toroid OD'!$A$2:$B$36,2,FALSE)</f>
        <v>132.6</v>
      </c>
    </row>
    <row r="26" spans="1:22" hidden="1">
      <c r="A26" s="36">
        <v>55339</v>
      </c>
      <c r="B26" s="37" t="s">
        <v>744</v>
      </c>
      <c r="C26" s="159">
        <v>337</v>
      </c>
      <c r="D26" s="37">
        <v>60</v>
      </c>
      <c r="E26" s="37" t="s">
        <v>21</v>
      </c>
      <c r="F26" s="37">
        <v>158</v>
      </c>
      <c r="G26" s="37" t="s">
        <v>0</v>
      </c>
      <c r="H26" s="37">
        <v>32.4</v>
      </c>
      <c r="I26" s="37">
        <v>324</v>
      </c>
      <c r="J26" s="37">
        <v>3.0390000000000001</v>
      </c>
      <c r="K26" s="37">
        <v>77.19</v>
      </c>
      <c r="L26" s="37">
        <v>5.274</v>
      </c>
      <c r="M26" s="38">
        <v>134</v>
      </c>
      <c r="N26" s="37">
        <v>1.0549999999999999</v>
      </c>
      <c r="O26" s="39">
        <v>26.8</v>
      </c>
      <c r="P26" s="37">
        <v>6.78</v>
      </c>
      <c r="Q26" s="37">
        <v>678</v>
      </c>
      <c r="R26" s="37">
        <v>220</v>
      </c>
      <c r="S26" s="37">
        <v>220000</v>
      </c>
      <c r="T26" s="37">
        <v>47.1</v>
      </c>
      <c r="U26" s="34">
        <f t="shared" si="0"/>
        <v>337</v>
      </c>
      <c r="V26" s="34">
        <f>VLOOKUP(U26,'Powder Core Toroid OD'!$A$2:$B$36,2,FALSE)</f>
        <v>132.6</v>
      </c>
    </row>
    <row r="27" spans="1:22" hidden="1">
      <c r="A27" s="36">
        <v>55340</v>
      </c>
      <c r="B27" s="37" t="s">
        <v>745</v>
      </c>
      <c r="C27" s="159">
        <v>337</v>
      </c>
      <c r="D27" s="37">
        <v>125</v>
      </c>
      <c r="E27" s="37" t="s">
        <v>21</v>
      </c>
      <c r="F27" s="37">
        <v>329</v>
      </c>
      <c r="G27" s="37" t="s">
        <v>0</v>
      </c>
      <c r="H27" s="37">
        <v>32.4</v>
      </c>
      <c r="I27" s="37">
        <v>324</v>
      </c>
      <c r="J27" s="37">
        <v>3.0390000000000001</v>
      </c>
      <c r="K27" s="37">
        <v>77.19</v>
      </c>
      <c r="L27" s="37">
        <v>5.274</v>
      </c>
      <c r="M27" s="38">
        <v>134</v>
      </c>
      <c r="N27" s="37">
        <v>1.0549999999999999</v>
      </c>
      <c r="O27" s="39">
        <v>26.8</v>
      </c>
      <c r="P27" s="37">
        <v>6.78</v>
      </c>
      <c r="Q27" s="37">
        <v>678</v>
      </c>
      <c r="R27" s="37">
        <v>220</v>
      </c>
      <c r="S27" s="37">
        <v>220000</v>
      </c>
      <c r="T27" s="37">
        <v>47.1</v>
      </c>
      <c r="U27" s="34">
        <f t="shared" si="0"/>
        <v>337</v>
      </c>
      <c r="V27" s="34">
        <f>VLOOKUP(U27,'Powder Core Toroid OD'!$A$2:$B$36,2,FALSE)</f>
        <v>132.6</v>
      </c>
    </row>
    <row r="28" spans="1:22" hidden="1">
      <c r="A28" s="33">
        <v>55614</v>
      </c>
      <c r="B28" s="34" t="s">
        <v>715</v>
      </c>
      <c r="C28" s="158">
        <v>620</v>
      </c>
      <c r="D28" s="34">
        <v>14</v>
      </c>
      <c r="E28" s="34" t="s">
        <v>21</v>
      </c>
      <c r="F28" s="34">
        <v>44</v>
      </c>
      <c r="G28" s="34" t="s">
        <v>0</v>
      </c>
      <c r="H28" s="34">
        <v>14.4</v>
      </c>
      <c r="I28" s="34">
        <v>144</v>
      </c>
      <c r="J28" s="34">
        <v>1.248</v>
      </c>
      <c r="K28" s="40">
        <v>31.69</v>
      </c>
      <c r="L28" s="34">
        <v>2.4769999999999999</v>
      </c>
      <c r="M28" s="40">
        <v>62.91</v>
      </c>
      <c r="N28" s="41">
        <v>1.02</v>
      </c>
      <c r="O28" s="40">
        <v>25.91</v>
      </c>
      <c r="P28" s="40">
        <v>3.6</v>
      </c>
      <c r="Q28" s="34">
        <v>360</v>
      </c>
      <c r="R28" s="34">
        <v>51.8</v>
      </c>
      <c r="S28" s="34">
        <v>51800</v>
      </c>
      <c r="T28" s="34">
        <v>7.89</v>
      </c>
      <c r="U28" s="34">
        <f t="shared" si="0"/>
        <v>620</v>
      </c>
      <c r="V28" s="34">
        <f>VLOOKUP(U28,'Powder Core Toroid OD'!$A$2:$B$36,2,FALSE)</f>
        <v>62</v>
      </c>
    </row>
    <row r="29" spans="1:22" hidden="1">
      <c r="A29" s="33">
        <v>55615</v>
      </c>
      <c r="B29" s="34" t="s">
        <v>716</v>
      </c>
      <c r="C29" s="158">
        <v>620</v>
      </c>
      <c r="D29" s="34">
        <v>26</v>
      </c>
      <c r="E29" s="34" t="s">
        <v>21</v>
      </c>
      <c r="F29" s="34">
        <v>82</v>
      </c>
      <c r="G29" s="34" t="s">
        <v>0</v>
      </c>
      <c r="H29" s="34">
        <v>14.4</v>
      </c>
      <c r="I29" s="34">
        <v>144</v>
      </c>
      <c r="J29" s="34">
        <v>1.248</v>
      </c>
      <c r="K29" s="40">
        <v>31.69</v>
      </c>
      <c r="L29" s="34">
        <v>2.4769999999999999</v>
      </c>
      <c r="M29" s="40">
        <v>62.91</v>
      </c>
      <c r="N29" s="41">
        <v>1.02</v>
      </c>
      <c r="O29" s="40">
        <v>25.91</v>
      </c>
      <c r="P29" s="40">
        <v>3.6</v>
      </c>
      <c r="Q29" s="34">
        <v>360</v>
      </c>
      <c r="R29" s="34">
        <v>51.8</v>
      </c>
      <c r="S29" s="34">
        <v>51800</v>
      </c>
      <c r="T29" s="34">
        <v>7.89</v>
      </c>
      <c r="U29" s="34">
        <f t="shared" si="0"/>
        <v>620</v>
      </c>
      <c r="V29" s="34">
        <f>VLOOKUP(U29,'Powder Core Toroid OD'!$A$2:$B$36,2,FALSE)</f>
        <v>62</v>
      </c>
    </row>
    <row r="30" spans="1:22" hidden="1">
      <c r="A30" s="33">
        <v>55617</v>
      </c>
      <c r="B30" s="34" t="s">
        <v>717</v>
      </c>
      <c r="C30" s="158">
        <v>620</v>
      </c>
      <c r="D30" s="34">
        <v>60</v>
      </c>
      <c r="E30" s="34" t="s">
        <v>21</v>
      </c>
      <c r="F30" s="34">
        <v>189</v>
      </c>
      <c r="G30" s="34" t="s">
        <v>0</v>
      </c>
      <c r="H30" s="34">
        <v>14.4</v>
      </c>
      <c r="I30" s="34">
        <v>144</v>
      </c>
      <c r="J30" s="34">
        <v>1.248</v>
      </c>
      <c r="K30" s="40">
        <v>31.69</v>
      </c>
      <c r="L30" s="34">
        <v>2.4769999999999999</v>
      </c>
      <c r="M30" s="40">
        <v>62.91</v>
      </c>
      <c r="N30" s="41">
        <v>1.02</v>
      </c>
      <c r="O30" s="40">
        <v>25.91</v>
      </c>
      <c r="P30" s="40">
        <v>3.6</v>
      </c>
      <c r="Q30" s="34">
        <v>360</v>
      </c>
      <c r="R30" s="34">
        <v>51.8</v>
      </c>
      <c r="S30" s="34">
        <v>51800</v>
      </c>
      <c r="T30" s="34">
        <v>7.89</v>
      </c>
      <c r="U30" s="34">
        <f t="shared" si="0"/>
        <v>620</v>
      </c>
      <c r="V30" s="34">
        <f>VLOOKUP(U30,'Powder Core Toroid OD'!$A$2:$B$36,2,FALSE)</f>
        <v>62</v>
      </c>
    </row>
    <row r="31" spans="1:22" hidden="1">
      <c r="A31" s="33">
        <v>55620</v>
      </c>
      <c r="B31" s="34" t="s">
        <v>718</v>
      </c>
      <c r="C31" s="158">
        <v>620</v>
      </c>
      <c r="D31" s="34">
        <v>125</v>
      </c>
      <c r="E31" s="34" t="s">
        <v>21</v>
      </c>
      <c r="F31" s="34">
        <v>394</v>
      </c>
      <c r="G31" s="34" t="s">
        <v>0</v>
      </c>
      <c r="H31" s="34">
        <v>14.4</v>
      </c>
      <c r="I31" s="34">
        <v>144</v>
      </c>
      <c r="J31" s="34">
        <v>1.248</v>
      </c>
      <c r="K31" s="40">
        <v>31.69</v>
      </c>
      <c r="L31" s="34">
        <v>2.4769999999999999</v>
      </c>
      <c r="M31" s="40">
        <v>62.91</v>
      </c>
      <c r="N31" s="41">
        <v>1.02</v>
      </c>
      <c r="O31" s="40">
        <v>25.91</v>
      </c>
      <c r="P31" s="40">
        <v>3.6</v>
      </c>
      <c r="Q31" s="34">
        <v>360</v>
      </c>
      <c r="R31" s="34">
        <v>51.8</v>
      </c>
      <c r="S31" s="34">
        <v>51800</v>
      </c>
      <c r="T31" s="34">
        <v>7.89</v>
      </c>
      <c r="U31" s="34">
        <f t="shared" si="0"/>
        <v>620</v>
      </c>
      <c r="V31" s="34">
        <f>VLOOKUP(U31,'Powder Core Toroid OD'!$A$2:$B$36,2,FALSE)</f>
        <v>62</v>
      </c>
    </row>
    <row r="32" spans="1:22" hidden="1">
      <c r="A32" s="33">
        <v>55734</v>
      </c>
      <c r="B32" s="34" t="s">
        <v>723</v>
      </c>
      <c r="C32" s="158">
        <v>740</v>
      </c>
      <c r="D32" s="34">
        <v>14</v>
      </c>
      <c r="E32" s="34" t="s">
        <v>21</v>
      </c>
      <c r="F32" s="34">
        <v>48</v>
      </c>
      <c r="G32" s="34" t="s">
        <v>0</v>
      </c>
      <c r="H32" s="34">
        <v>18.399999999999999</v>
      </c>
      <c r="I32" s="34">
        <v>184</v>
      </c>
      <c r="J32" s="34">
        <v>1.748</v>
      </c>
      <c r="K32" s="40">
        <v>44.39</v>
      </c>
      <c r="L32" s="34">
        <v>2.9529999999999998</v>
      </c>
      <c r="M32" s="40">
        <v>75.010000000000005</v>
      </c>
      <c r="N32" s="41">
        <v>1.4139999999999999</v>
      </c>
      <c r="O32" s="40">
        <v>35.92</v>
      </c>
      <c r="P32" s="40">
        <v>4.97</v>
      </c>
      <c r="Q32" s="34">
        <v>497</v>
      </c>
      <c r="R32" s="34">
        <v>91.4</v>
      </c>
      <c r="S32" s="34">
        <v>91400</v>
      </c>
      <c r="T32" s="34">
        <v>15.5</v>
      </c>
      <c r="U32" s="34">
        <f t="shared" si="0"/>
        <v>740</v>
      </c>
      <c r="V32" s="34">
        <f>VLOOKUP(U32,'Powder Core Toroid OD'!$A$2:$B$36,2,FALSE)</f>
        <v>74.099999999999994</v>
      </c>
    </row>
    <row r="33" spans="1:22" hidden="1">
      <c r="A33" s="33">
        <v>55735</v>
      </c>
      <c r="B33" s="34" t="s">
        <v>724</v>
      </c>
      <c r="C33" s="158">
        <v>740</v>
      </c>
      <c r="D33" s="34">
        <v>26</v>
      </c>
      <c r="E33" s="34" t="s">
        <v>21</v>
      </c>
      <c r="F33" s="34">
        <v>88</v>
      </c>
      <c r="G33" s="34" t="s">
        <v>0</v>
      </c>
      <c r="H33" s="34">
        <v>18.399999999999999</v>
      </c>
      <c r="I33" s="34">
        <v>184</v>
      </c>
      <c r="J33" s="34">
        <v>1.748</v>
      </c>
      <c r="K33" s="40">
        <v>44.39</v>
      </c>
      <c r="L33" s="34">
        <v>2.9529999999999998</v>
      </c>
      <c r="M33" s="40">
        <v>75.010000000000005</v>
      </c>
      <c r="N33" s="41">
        <v>1.4139999999999999</v>
      </c>
      <c r="O33" s="40">
        <v>35.92</v>
      </c>
      <c r="P33" s="40">
        <v>4.97</v>
      </c>
      <c r="Q33" s="34">
        <v>497</v>
      </c>
      <c r="R33" s="34">
        <v>91.4</v>
      </c>
      <c r="S33" s="34">
        <v>91400</v>
      </c>
      <c r="T33" s="34">
        <v>15.5</v>
      </c>
      <c r="U33" s="34">
        <f t="shared" si="0"/>
        <v>740</v>
      </c>
      <c r="V33" s="34">
        <f>VLOOKUP(U33,'Powder Core Toroid OD'!$A$2:$B$36,2,FALSE)</f>
        <v>74.099999999999994</v>
      </c>
    </row>
    <row r="34" spans="1:22" hidden="1">
      <c r="A34" s="33">
        <v>55737</v>
      </c>
      <c r="B34" s="34" t="s">
        <v>725</v>
      </c>
      <c r="C34" s="158">
        <v>740</v>
      </c>
      <c r="D34" s="34">
        <v>60</v>
      </c>
      <c r="E34" s="34" t="s">
        <v>21</v>
      </c>
      <c r="F34" s="34">
        <v>204</v>
      </c>
      <c r="G34" s="34" t="s">
        <v>0</v>
      </c>
      <c r="H34" s="34">
        <v>18.399999999999999</v>
      </c>
      <c r="I34" s="34">
        <v>184</v>
      </c>
      <c r="J34" s="34">
        <v>1.748</v>
      </c>
      <c r="K34" s="40">
        <v>44.39</v>
      </c>
      <c r="L34" s="34">
        <v>2.9529999999999998</v>
      </c>
      <c r="M34" s="40">
        <v>75.010000000000005</v>
      </c>
      <c r="N34" s="41">
        <v>1.4139999999999999</v>
      </c>
      <c r="O34" s="40">
        <v>35.92</v>
      </c>
      <c r="P34" s="40">
        <v>4.97</v>
      </c>
      <c r="Q34" s="34">
        <v>497</v>
      </c>
      <c r="R34" s="34">
        <v>91.4</v>
      </c>
      <c r="S34" s="34">
        <v>91400</v>
      </c>
      <c r="T34" s="34">
        <v>15.5</v>
      </c>
      <c r="U34" s="34">
        <f t="shared" si="0"/>
        <v>740</v>
      </c>
      <c r="V34" s="34">
        <f>VLOOKUP(U34,'Powder Core Toroid OD'!$A$2:$B$36,2,FALSE)</f>
        <v>74.099999999999994</v>
      </c>
    </row>
    <row r="35" spans="1:22" hidden="1">
      <c r="A35" s="33">
        <v>55740</v>
      </c>
      <c r="B35" s="34" t="s">
        <v>726</v>
      </c>
      <c r="C35" s="158">
        <v>740</v>
      </c>
      <c r="D35" s="34">
        <v>125</v>
      </c>
      <c r="E35" s="34" t="s">
        <v>21</v>
      </c>
      <c r="F35" s="34">
        <v>425</v>
      </c>
      <c r="G35" s="34" t="s">
        <v>0</v>
      </c>
      <c r="H35" s="34">
        <v>18.399999999999999</v>
      </c>
      <c r="I35" s="34">
        <v>184</v>
      </c>
      <c r="J35" s="34">
        <v>1.748</v>
      </c>
      <c r="K35" s="40">
        <v>44.39</v>
      </c>
      <c r="L35" s="34">
        <v>2.9529999999999998</v>
      </c>
      <c r="M35" s="40">
        <v>75.010000000000005</v>
      </c>
      <c r="N35" s="41">
        <v>1.4139999999999999</v>
      </c>
      <c r="O35" s="40">
        <v>35.92</v>
      </c>
      <c r="P35" s="40">
        <v>4.97</v>
      </c>
      <c r="Q35" s="34">
        <v>497</v>
      </c>
      <c r="R35" s="34">
        <v>91.4</v>
      </c>
      <c r="S35" s="34">
        <v>91400</v>
      </c>
      <c r="T35" s="34">
        <v>15.5</v>
      </c>
      <c r="U35" s="34">
        <f t="shared" si="0"/>
        <v>740</v>
      </c>
      <c r="V35" s="34">
        <f>VLOOKUP(U35,'Powder Core Toroid OD'!$A$2:$B$36,2,FALSE)</f>
        <v>74.099999999999994</v>
      </c>
    </row>
    <row r="36" spans="1:22" hidden="1">
      <c r="A36" s="33">
        <v>58098</v>
      </c>
      <c r="B36" s="34" t="s">
        <v>738</v>
      </c>
      <c r="C36" s="158">
        <v>102</v>
      </c>
      <c r="D36" s="34">
        <v>125</v>
      </c>
      <c r="E36" s="34" t="s">
        <v>503</v>
      </c>
      <c r="F36" s="34">
        <v>232</v>
      </c>
      <c r="G36" s="34" t="s">
        <v>0</v>
      </c>
      <c r="H36" s="34">
        <v>24.3</v>
      </c>
      <c r="I36" s="34">
        <v>243</v>
      </c>
      <c r="J36" s="34">
        <v>2.1949999999999998</v>
      </c>
      <c r="K36" s="34">
        <v>55.75</v>
      </c>
      <c r="L36" s="34">
        <v>4.0549999999999997</v>
      </c>
      <c r="M36" s="35">
        <v>103</v>
      </c>
      <c r="N36" s="34">
        <v>0.70499999999999996</v>
      </c>
      <c r="O36" s="34">
        <v>17.899999999999999</v>
      </c>
      <c r="P36" s="34">
        <v>3.58</v>
      </c>
      <c r="Q36" s="34">
        <v>358</v>
      </c>
      <c r="R36" s="34">
        <v>86.9</v>
      </c>
      <c r="S36" s="34">
        <v>86900</v>
      </c>
      <c r="T36" s="34">
        <v>24.7</v>
      </c>
      <c r="U36" s="34">
        <f t="shared" si="0"/>
        <v>102</v>
      </c>
      <c r="V36" s="34">
        <f>VLOOKUP(U36,'Powder Core Toroid OD'!$A$2:$B$36,2,FALSE)</f>
        <v>101.6</v>
      </c>
    </row>
    <row r="37" spans="1:22" hidden="1">
      <c r="A37" s="33">
        <v>58099</v>
      </c>
      <c r="B37" s="34" t="s">
        <v>737</v>
      </c>
      <c r="C37" s="158">
        <v>102</v>
      </c>
      <c r="D37" s="34">
        <v>60</v>
      </c>
      <c r="E37" s="34" t="s">
        <v>503</v>
      </c>
      <c r="F37" s="34">
        <v>111</v>
      </c>
      <c r="G37" s="34" t="s">
        <v>0</v>
      </c>
      <c r="H37" s="34">
        <v>24.3</v>
      </c>
      <c r="I37" s="34">
        <v>243</v>
      </c>
      <c r="J37" s="34">
        <v>2.1949999999999998</v>
      </c>
      <c r="K37" s="34">
        <v>55.75</v>
      </c>
      <c r="L37" s="34">
        <v>4.0549999999999997</v>
      </c>
      <c r="M37" s="35">
        <v>103</v>
      </c>
      <c r="N37" s="34">
        <v>0.70499999999999996</v>
      </c>
      <c r="O37" s="34">
        <v>17.899999999999999</v>
      </c>
      <c r="P37" s="34">
        <v>3.58</v>
      </c>
      <c r="Q37" s="34">
        <v>358</v>
      </c>
      <c r="R37" s="34">
        <v>86.9</v>
      </c>
      <c r="S37" s="34">
        <v>86900</v>
      </c>
      <c r="T37" s="34">
        <v>24.7</v>
      </c>
      <c r="U37" s="34">
        <f t="shared" si="0"/>
        <v>102</v>
      </c>
      <c r="V37" s="34">
        <f>VLOOKUP(U37,'Powder Core Toroid OD'!$A$2:$B$36,2,FALSE)</f>
        <v>101.6</v>
      </c>
    </row>
    <row r="38" spans="1:22" hidden="1">
      <c r="A38" s="33">
        <v>58101</v>
      </c>
      <c r="B38" s="34" t="s">
        <v>735</v>
      </c>
      <c r="C38" s="158">
        <v>102</v>
      </c>
      <c r="D38" s="34">
        <v>14</v>
      </c>
      <c r="E38" s="34" t="s">
        <v>503</v>
      </c>
      <c r="F38" s="34">
        <v>26</v>
      </c>
      <c r="G38" s="34" t="s">
        <v>0</v>
      </c>
      <c r="H38" s="34">
        <v>24.3</v>
      </c>
      <c r="I38" s="34">
        <v>243</v>
      </c>
      <c r="J38" s="34">
        <v>2.1949999999999998</v>
      </c>
      <c r="K38" s="34">
        <v>55.75</v>
      </c>
      <c r="L38" s="34">
        <v>4.0549999999999997</v>
      </c>
      <c r="M38" s="35">
        <v>103</v>
      </c>
      <c r="N38" s="34">
        <v>0.70499999999999996</v>
      </c>
      <c r="O38" s="34">
        <v>17.899999999999999</v>
      </c>
      <c r="P38" s="34">
        <v>3.58</v>
      </c>
      <c r="Q38" s="34">
        <v>358</v>
      </c>
      <c r="R38" s="34">
        <v>86.9</v>
      </c>
      <c r="S38" s="34">
        <v>86900</v>
      </c>
      <c r="T38" s="34">
        <v>24.7</v>
      </c>
      <c r="U38" s="34">
        <f t="shared" si="0"/>
        <v>102</v>
      </c>
      <c r="V38" s="34">
        <f>VLOOKUP(U38,'Powder Core Toroid OD'!$A$2:$B$36,2,FALSE)</f>
        <v>101.6</v>
      </c>
    </row>
    <row r="39" spans="1:22" hidden="1">
      <c r="A39" s="33">
        <v>58102</v>
      </c>
      <c r="B39" s="34" t="s">
        <v>736</v>
      </c>
      <c r="C39" s="158">
        <v>102</v>
      </c>
      <c r="D39" s="34">
        <v>26</v>
      </c>
      <c r="E39" s="34" t="s">
        <v>503</v>
      </c>
      <c r="F39" s="34">
        <v>48</v>
      </c>
      <c r="G39" s="34" t="s">
        <v>0</v>
      </c>
      <c r="H39" s="34">
        <v>24.3</v>
      </c>
      <c r="I39" s="34">
        <v>243</v>
      </c>
      <c r="J39" s="34">
        <v>2.1949999999999998</v>
      </c>
      <c r="K39" s="34">
        <v>55.75</v>
      </c>
      <c r="L39" s="34">
        <v>4.0549999999999997</v>
      </c>
      <c r="M39" s="35">
        <v>103</v>
      </c>
      <c r="N39" s="34">
        <v>0.70499999999999996</v>
      </c>
      <c r="O39" s="34">
        <v>17.899999999999999</v>
      </c>
      <c r="P39" s="34">
        <v>3.58</v>
      </c>
      <c r="Q39" s="34">
        <v>358</v>
      </c>
      <c r="R39" s="34">
        <v>86.9</v>
      </c>
      <c r="S39" s="34">
        <v>86900</v>
      </c>
      <c r="T39" s="34">
        <v>24.7</v>
      </c>
      <c r="U39" s="34">
        <f t="shared" si="0"/>
        <v>102</v>
      </c>
      <c r="V39" s="34">
        <f>VLOOKUP(U39,'Powder Core Toroid OD'!$A$2:$B$36,2,FALSE)</f>
        <v>101.6</v>
      </c>
    </row>
    <row r="40" spans="1:22" hidden="1">
      <c r="A40" s="36">
        <v>58164</v>
      </c>
      <c r="B40" s="37" t="s">
        <v>754</v>
      </c>
      <c r="C40" s="159">
        <v>165</v>
      </c>
      <c r="D40" s="37">
        <v>14</v>
      </c>
      <c r="E40" s="37" t="s">
        <v>503</v>
      </c>
      <c r="F40" s="37">
        <v>42</v>
      </c>
      <c r="G40" s="37" t="s">
        <v>0</v>
      </c>
      <c r="H40" s="37">
        <v>41.2</v>
      </c>
      <c r="I40" s="37">
        <v>412</v>
      </c>
      <c r="J40" s="37">
        <v>3.9769999999999999</v>
      </c>
      <c r="K40" s="38">
        <v>101</v>
      </c>
      <c r="L40" s="37">
        <v>6.5549999999999997</v>
      </c>
      <c r="M40" s="38">
        <v>166.5</v>
      </c>
      <c r="N40" s="37">
        <v>1.3049999999999999</v>
      </c>
      <c r="O40" s="39">
        <v>33.15</v>
      </c>
      <c r="P40" s="37">
        <v>9.8699999999999992</v>
      </c>
      <c r="Q40" s="37">
        <v>987</v>
      </c>
      <c r="R40" s="37">
        <v>407</v>
      </c>
      <c r="S40" s="37">
        <v>407000</v>
      </c>
      <c r="T40" s="37">
        <v>80.3</v>
      </c>
      <c r="U40" s="34">
        <f t="shared" si="0"/>
        <v>165</v>
      </c>
      <c r="V40" s="34">
        <f>VLOOKUP(U40,'Powder Core Toroid OD'!$A$2:$B$36,2,FALSE)</f>
        <v>165.1</v>
      </c>
    </row>
    <row r="41" spans="1:22" hidden="1">
      <c r="A41" s="36">
        <v>58165</v>
      </c>
      <c r="B41" s="37" t="s">
        <v>755</v>
      </c>
      <c r="C41" s="159">
        <v>165</v>
      </c>
      <c r="D41" s="37">
        <v>26</v>
      </c>
      <c r="E41" s="37" t="s">
        <v>503</v>
      </c>
      <c r="F41" s="37">
        <v>78</v>
      </c>
      <c r="G41" s="37" t="s">
        <v>0</v>
      </c>
      <c r="H41" s="37">
        <v>41.2</v>
      </c>
      <c r="I41" s="37">
        <v>412</v>
      </c>
      <c r="J41" s="37">
        <v>3.9769999999999999</v>
      </c>
      <c r="K41" s="38">
        <v>101</v>
      </c>
      <c r="L41" s="37">
        <v>6.5549999999999997</v>
      </c>
      <c r="M41" s="38">
        <v>166.5</v>
      </c>
      <c r="N41" s="37">
        <v>1.3049999999999999</v>
      </c>
      <c r="O41" s="39">
        <v>33.15</v>
      </c>
      <c r="P41" s="37">
        <v>9.8699999999999992</v>
      </c>
      <c r="Q41" s="37">
        <v>987</v>
      </c>
      <c r="R41" s="37">
        <v>407</v>
      </c>
      <c r="S41" s="37">
        <v>407000</v>
      </c>
      <c r="T41" s="37">
        <v>80.3</v>
      </c>
      <c r="U41" s="34">
        <f t="shared" si="0"/>
        <v>165</v>
      </c>
      <c r="V41" s="34">
        <f>VLOOKUP(U41,'Powder Core Toroid OD'!$A$2:$B$36,2,FALSE)</f>
        <v>165.1</v>
      </c>
    </row>
    <row r="42" spans="1:22" hidden="1">
      <c r="A42" s="36">
        <v>58167</v>
      </c>
      <c r="B42" s="37" t="s">
        <v>756</v>
      </c>
      <c r="C42" s="159">
        <v>165</v>
      </c>
      <c r="D42" s="37">
        <v>60</v>
      </c>
      <c r="E42" s="37" t="s">
        <v>503</v>
      </c>
      <c r="F42" s="37">
        <v>180</v>
      </c>
      <c r="G42" s="37" t="s">
        <v>0</v>
      </c>
      <c r="H42" s="37">
        <v>41.2</v>
      </c>
      <c r="I42" s="37">
        <v>412</v>
      </c>
      <c r="J42" s="37">
        <v>3.9769999999999999</v>
      </c>
      <c r="K42" s="38">
        <v>101</v>
      </c>
      <c r="L42" s="37">
        <v>6.5549999999999997</v>
      </c>
      <c r="M42" s="38">
        <v>166.5</v>
      </c>
      <c r="N42" s="37">
        <v>1.3049999999999999</v>
      </c>
      <c r="O42" s="39">
        <v>33.15</v>
      </c>
      <c r="P42" s="37">
        <v>9.8699999999999992</v>
      </c>
      <c r="Q42" s="37">
        <v>987</v>
      </c>
      <c r="R42" s="37">
        <v>407</v>
      </c>
      <c r="S42" s="37">
        <v>407000</v>
      </c>
      <c r="T42" s="37">
        <v>80.3</v>
      </c>
      <c r="U42" s="34">
        <f t="shared" si="0"/>
        <v>165</v>
      </c>
      <c r="V42" s="34">
        <f>VLOOKUP(U42,'Powder Core Toroid OD'!$A$2:$B$36,2,FALSE)</f>
        <v>165.1</v>
      </c>
    </row>
    <row r="43" spans="1:22" hidden="1">
      <c r="A43" s="36">
        <v>58336</v>
      </c>
      <c r="B43" s="37" t="s">
        <v>746</v>
      </c>
      <c r="C43" s="159">
        <v>337</v>
      </c>
      <c r="D43" s="37">
        <v>14</v>
      </c>
      <c r="E43" s="37" t="s">
        <v>503</v>
      </c>
      <c r="F43" s="37">
        <v>37</v>
      </c>
      <c r="G43" s="37" t="s">
        <v>0</v>
      </c>
      <c r="H43" s="37">
        <v>32.4</v>
      </c>
      <c r="I43" s="37">
        <v>324</v>
      </c>
      <c r="J43" s="37">
        <v>3.0390000000000001</v>
      </c>
      <c r="K43" s="37">
        <v>77.19</v>
      </c>
      <c r="L43" s="37">
        <v>5.274</v>
      </c>
      <c r="M43" s="38">
        <v>134</v>
      </c>
      <c r="N43" s="37">
        <v>1.0549999999999999</v>
      </c>
      <c r="O43" s="39">
        <v>26.8</v>
      </c>
      <c r="P43" s="37">
        <v>6.78</v>
      </c>
      <c r="Q43" s="37">
        <v>678</v>
      </c>
      <c r="R43" s="37">
        <v>220</v>
      </c>
      <c r="S43" s="37">
        <v>220000</v>
      </c>
      <c r="T43" s="37">
        <v>47.1</v>
      </c>
      <c r="U43" s="34">
        <f t="shared" si="0"/>
        <v>337</v>
      </c>
      <c r="V43" s="34">
        <f>VLOOKUP(U43,'Powder Core Toroid OD'!$A$2:$B$36,2,FALSE)</f>
        <v>132.6</v>
      </c>
    </row>
    <row r="44" spans="1:22" hidden="1">
      <c r="A44" s="36">
        <v>58337</v>
      </c>
      <c r="B44" s="37" t="s">
        <v>747</v>
      </c>
      <c r="C44" s="159">
        <v>337</v>
      </c>
      <c r="D44" s="37">
        <v>26</v>
      </c>
      <c r="E44" s="37" t="s">
        <v>503</v>
      </c>
      <c r="F44" s="37">
        <v>68</v>
      </c>
      <c r="G44" s="37" t="s">
        <v>0</v>
      </c>
      <c r="H44" s="37">
        <v>32.4</v>
      </c>
      <c r="I44" s="37">
        <v>324</v>
      </c>
      <c r="J44" s="37">
        <v>3.0390000000000001</v>
      </c>
      <c r="K44" s="37">
        <v>77.19</v>
      </c>
      <c r="L44" s="37">
        <v>5.274</v>
      </c>
      <c r="M44" s="38">
        <v>134</v>
      </c>
      <c r="N44" s="37">
        <v>1.0549999999999999</v>
      </c>
      <c r="O44" s="39">
        <v>26.8</v>
      </c>
      <c r="P44" s="37">
        <v>6.78</v>
      </c>
      <c r="Q44" s="37">
        <v>678</v>
      </c>
      <c r="R44" s="37">
        <v>220</v>
      </c>
      <c r="S44" s="37">
        <v>220000</v>
      </c>
      <c r="T44" s="37">
        <v>47.1</v>
      </c>
      <c r="U44" s="34">
        <f t="shared" si="0"/>
        <v>337</v>
      </c>
      <c r="V44" s="34">
        <f>VLOOKUP(U44,'Powder Core Toroid OD'!$A$2:$B$36,2,FALSE)</f>
        <v>132.6</v>
      </c>
    </row>
    <row r="45" spans="1:22" hidden="1">
      <c r="A45" s="36">
        <v>58339</v>
      </c>
      <c r="B45" s="37" t="s">
        <v>748</v>
      </c>
      <c r="C45" s="159">
        <v>337</v>
      </c>
      <c r="D45" s="37">
        <v>60</v>
      </c>
      <c r="E45" s="37" t="s">
        <v>503</v>
      </c>
      <c r="F45" s="37">
        <v>158</v>
      </c>
      <c r="G45" s="37" t="s">
        <v>0</v>
      </c>
      <c r="H45" s="37">
        <v>32.4</v>
      </c>
      <c r="I45" s="37">
        <v>324</v>
      </c>
      <c r="J45" s="37">
        <v>3.0390000000000001</v>
      </c>
      <c r="K45" s="37">
        <v>77.19</v>
      </c>
      <c r="L45" s="37">
        <v>5.274</v>
      </c>
      <c r="M45" s="38">
        <v>134</v>
      </c>
      <c r="N45" s="37">
        <v>1.0549999999999999</v>
      </c>
      <c r="O45" s="39">
        <v>26.8</v>
      </c>
      <c r="P45" s="37">
        <v>6.78</v>
      </c>
      <c r="Q45" s="37">
        <v>678</v>
      </c>
      <c r="R45" s="37">
        <v>220</v>
      </c>
      <c r="S45" s="37">
        <v>220000</v>
      </c>
      <c r="T45" s="37">
        <v>47.1</v>
      </c>
      <c r="U45" s="34">
        <f t="shared" si="0"/>
        <v>337</v>
      </c>
      <c r="V45" s="34">
        <f>VLOOKUP(U45,'Powder Core Toroid OD'!$A$2:$B$36,2,FALSE)</f>
        <v>132.6</v>
      </c>
    </row>
    <row r="46" spans="1:22" hidden="1">
      <c r="A46" s="36">
        <v>58340</v>
      </c>
      <c r="B46" s="37" t="s">
        <v>749</v>
      </c>
      <c r="C46" s="159">
        <v>337</v>
      </c>
      <c r="D46" s="37">
        <v>125</v>
      </c>
      <c r="E46" s="37" t="s">
        <v>503</v>
      </c>
      <c r="F46" s="37">
        <v>329</v>
      </c>
      <c r="G46" s="37" t="s">
        <v>0</v>
      </c>
      <c r="H46" s="37">
        <v>32.4</v>
      </c>
      <c r="I46" s="37">
        <v>324</v>
      </c>
      <c r="J46" s="37">
        <v>3.0390000000000001</v>
      </c>
      <c r="K46" s="37">
        <v>77.19</v>
      </c>
      <c r="L46" s="37">
        <v>5.274</v>
      </c>
      <c r="M46" s="38">
        <v>134</v>
      </c>
      <c r="N46" s="37">
        <v>1.0549999999999999</v>
      </c>
      <c r="O46" s="39">
        <v>26.8</v>
      </c>
      <c r="P46" s="37">
        <v>6.78</v>
      </c>
      <c r="Q46" s="37">
        <v>678</v>
      </c>
      <c r="R46" s="37">
        <v>220</v>
      </c>
      <c r="S46" s="37">
        <v>220000</v>
      </c>
      <c r="T46" s="37">
        <v>47.1</v>
      </c>
      <c r="U46" s="34">
        <f t="shared" si="0"/>
        <v>337</v>
      </c>
      <c r="V46" s="34">
        <f>VLOOKUP(U46,'Powder Core Toroid OD'!$A$2:$B$36,2,FALSE)</f>
        <v>132.6</v>
      </c>
    </row>
    <row r="47" spans="1:22" hidden="1">
      <c r="A47" s="33">
        <v>58587</v>
      </c>
      <c r="B47" s="34" t="s">
        <v>714</v>
      </c>
      <c r="C47" s="158">
        <v>585</v>
      </c>
      <c r="D47" s="34">
        <v>26</v>
      </c>
      <c r="E47" s="34" t="s">
        <v>503</v>
      </c>
      <c r="F47" s="34">
        <v>16</v>
      </c>
      <c r="G47" s="34" t="s">
        <v>0</v>
      </c>
      <c r="H47" s="34">
        <v>8.9499999999999993</v>
      </c>
      <c r="I47" s="34">
        <v>89.5</v>
      </c>
      <c r="J47" s="34">
        <v>0.88800000000000001</v>
      </c>
      <c r="K47" s="34">
        <v>22.5</v>
      </c>
      <c r="L47" s="34">
        <v>1.385</v>
      </c>
      <c r="M47" s="34">
        <v>35.18</v>
      </c>
      <c r="N47" s="34">
        <v>0.38500000000000001</v>
      </c>
      <c r="O47" s="34">
        <v>9.7799999999999994</v>
      </c>
      <c r="P47" s="34">
        <v>0.46400000000000002</v>
      </c>
      <c r="Q47" s="34">
        <v>46.4</v>
      </c>
      <c r="R47" s="40">
        <v>4.1500000000000004</v>
      </c>
      <c r="S47" s="34">
        <v>4150</v>
      </c>
      <c r="T47" s="34">
        <v>3.99</v>
      </c>
      <c r="U47" s="34">
        <f t="shared" si="0"/>
        <v>585</v>
      </c>
      <c r="V47" s="34">
        <f>VLOOKUP(U47,'Powder Core Toroid OD'!$A$2:$B$36,2,FALSE)</f>
        <v>34.299999999999997</v>
      </c>
    </row>
    <row r="48" spans="1:22" hidden="1">
      <c r="A48" s="33">
        <v>58614</v>
      </c>
      <c r="B48" s="34" t="s">
        <v>719</v>
      </c>
      <c r="C48" s="158">
        <v>620</v>
      </c>
      <c r="D48" s="34">
        <v>14</v>
      </c>
      <c r="E48" s="34" t="s">
        <v>503</v>
      </c>
      <c r="F48" s="34">
        <v>44</v>
      </c>
      <c r="G48" s="34" t="s">
        <v>0</v>
      </c>
      <c r="H48" s="34">
        <v>14.4</v>
      </c>
      <c r="I48" s="34">
        <v>144</v>
      </c>
      <c r="J48" s="34">
        <v>1.248</v>
      </c>
      <c r="K48" s="40">
        <v>31.69</v>
      </c>
      <c r="L48" s="34">
        <v>2.4769999999999999</v>
      </c>
      <c r="M48" s="40">
        <v>62.91</v>
      </c>
      <c r="N48" s="41">
        <v>1.02</v>
      </c>
      <c r="O48" s="40">
        <v>25.91</v>
      </c>
      <c r="P48" s="40">
        <v>3.6</v>
      </c>
      <c r="Q48" s="34">
        <v>360</v>
      </c>
      <c r="R48" s="34">
        <v>51.8</v>
      </c>
      <c r="S48" s="34">
        <v>51800</v>
      </c>
      <c r="T48" s="34">
        <v>7.89</v>
      </c>
      <c r="U48" s="34">
        <f t="shared" si="0"/>
        <v>620</v>
      </c>
      <c r="V48" s="34">
        <f>VLOOKUP(U48,'Powder Core Toroid OD'!$A$2:$B$36,2,FALSE)</f>
        <v>62</v>
      </c>
    </row>
    <row r="49" spans="1:22" hidden="1">
      <c r="A49" s="33">
        <v>58615</v>
      </c>
      <c r="B49" s="34" t="s">
        <v>720</v>
      </c>
      <c r="C49" s="158">
        <v>620</v>
      </c>
      <c r="D49" s="34">
        <v>26</v>
      </c>
      <c r="E49" s="34" t="s">
        <v>503</v>
      </c>
      <c r="F49" s="34">
        <v>82</v>
      </c>
      <c r="G49" s="34" t="s">
        <v>0</v>
      </c>
      <c r="H49" s="34">
        <v>14.4</v>
      </c>
      <c r="I49" s="34">
        <v>144</v>
      </c>
      <c r="J49" s="34">
        <v>1.248</v>
      </c>
      <c r="K49" s="40">
        <v>31.69</v>
      </c>
      <c r="L49" s="34">
        <v>2.4769999999999999</v>
      </c>
      <c r="M49" s="40">
        <v>62.91</v>
      </c>
      <c r="N49" s="41">
        <v>1.02</v>
      </c>
      <c r="O49" s="40">
        <v>25.91</v>
      </c>
      <c r="P49" s="40">
        <v>3.6</v>
      </c>
      <c r="Q49" s="34">
        <v>360</v>
      </c>
      <c r="R49" s="34">
        <v>51.8</v>
      </c>
      <c r="S49" s="34">
        <v>51800</v>
      </c>
      <c r="T49" s="34">
        <v>7.89</v>
      </c>
      <c r="U49" s="34">
        <f t="shared" si="0"/>
        <v>620</v>
      </c>
      <c r="V49" s="34">
        <f>VLOOKUP(U49,'Powder Core Toroid OD'!$A$2:$B$36,2,FALSE)</f>
        <v>62</v>
      </c>
    </row>
    <row r="50" spans="1:22" hidden="1">
      <c r="A50" s="33">
        <v>58617</v>
      </c>
      <c r="B50" s="34" t="s">
        <v>721</v>
      </c>
      <c r="C50" s="158">
        <v>620</v>
      </c>
      <c r="D50" s="34">
        <v>60</v>
      </c>
      <c r="E50" s="34" t="s">
        <v>503</v>
      </c>
      <c r="F50" s="34">
        <v>189</v>
      </c>
      <c r="G50" s="34" t="s">
        <v>0</v>
      </c>
      <c r="H50" s="34">
        <v>14.4</v>
      </c>
      <c r="I50" s="34">
        <v>144</v>
      </c>
      <c r="J50" s="34">
        <v>1.248</v>
      </c>
      <c r="K50" s="40">
        <v>31.69</v>
      </c>
      <c r="L50" s="34">
        <v>2.4769999999999999</v>
      </c>
      <c r="M50" s="40">
        <v>62.91</v>
      </c>
      <c r="N50" s="41">
        <v>1.02</v>
      </c>
      <c r="O50" s="40">
        <v>25.91</v>
      </c>
      <c r="P50" s="40">
        <v>3.6</v>
      </c>
      <c r="Q50" s="34">
        <v>360</v>
      </c>
      <c r="R50" s="34">
        <v>51.8</v>
      </c>
      <c r="S50" s="34">
        <v>51800</v>
      </c>
      <c r="T50" s="34">
        <v>7.89</v>
      </c>
      <c r="U50" s="34">
        <f t="shared" si="0"/>
        <v>620</v>
      </c>
      <c r="V50" s="34">
        <f>VLOOKUP(U50,'Powder Core Toroid OD'!$A$2:$B$36,2,FALSE)</f>
        <v>62</v>
      </c>
    </row>
    <row r="51" spans="1:22" hidden="1">
      <c r="A51" s="33">
        <v>58620</v>
      </c>
      <c r="B51" s="34" t="s">
        <v>722</v>
      </c>
      <c r="C51" s="158">
        <v>620</v>
      </c>
      <c r="D51" s="34">
        <v>125</v>
      </c>
      <c r="E51" s="34" t="s">
        <v>503</v>
      </c>
      <c r="F51" s="34">
        <v>394</v>
      </c>
      <c r="G51" s="34" t="s">
        <v>0</v>
      </c>
      <c r="H51" s="34">
        <v>14.4</v>
      </c>
      <c r="I51" s="34">
        <v>144</v>
      </c>
      <c r="J51" s="34">
        <v>1.248</v>
      </c>
      <c r="K51" s="40">
        <v>31.69</v>
      </c>
      <c r="L51" s="34">
        <v>2.4769999999999999</v>
      </c>
      <c r="M51" s="40">
        <v>62.91</v>
      </c>
      <c r="N51" s="41">
        <v>1.02</v>
      </c>
      <c r="O51" s="40">
        <v>25.91</v>
      </c>
      <c r="P51" s="40">
        <v>3.6</v>
      </c>
      <c r="Q51" s="34">
        <v>360</v>
      </c>
      <c r="R51" s="34">
        <v>51.8</v>
      </c>
      <c r="S51" s="34">
        <v>51800</v>
      </c>
      <c r="T51" s="34">
        <v>7.89</v>
      </c>
      <c r="U51" s="34">
        <f t="shared" si="0"/>
        <v>620</v>
      </c>
      <c r="V51" s="34">
        <f>VLOOKUP(U51,'Powder Core Toroid OD'!$A$2:$B$36,2,FALSE)</f>
        <v>62</v>
      </c>
    </row>
    <row r="52" spans="1:22" hidden="1">
      <c r="A52" s="33">
        <v>58734</v>
      </c>
      <c r="B52" s="34" t="s">
        <v>727</v>
      </c>
      <c r="C52" s="158">
        <v>740</v>
      </c>
      <c r="D52" s="34">
        <v>14</v>
      </c>
      <c r="E52" s="34" t="s">
        <v>503</v>
      </c>
      <c r="F52" s="34">
        <v>48</v>
      </c>
      <c r="G52" s="34" t="s">
        <v>0</v>
      </c>
      <c r="H52" s="34">
        <v>18.399999999999999</v>
      </c>
      <c r="I52" s="34">
        <v>184</v>
      </c>
      <c r="J52" s="34">
        <v>1.748</v>
      </c>
      <c r="K52" s="40">
        <v>44.39</v>
      </c>
      <c r="L52" s="34">
        <v>2.9529999999999998</v>
      </c>
      <c r="M52" s="40">
        <v>75.010000000000005</v>
      </c>
      <c r="N52" s="41">
        <v>1.4139999999999999</v>
      </c>
      <c r="O52" s="40">
        <v>35.92</v>
      </c>
      <c r="P52" s="40">
        <v>4.97</v>
      </c>
      <c r="Q52" s="34">
        <v>497</v>
      </c>
      <c r="R52" s="34">
        <v>91.4</v>
      </c>
      <c r="S52" s="34">
        <v>91400</v>
      </c>
      <c r="T52" s="34">
        <v>15.5</v>
      </c>
      <c r="U52" s="34">
        <f t="shared" si="0"/>
        <v>740</v>
      </c>
      <c r="V52" s="34">
        <f>VLOOKUP(U52,'Powder Core Toroid OD'!$A$2:$B$36,2,FALSE)</f>
        <v>74.099999999999994</v>
      </c>
    </row>
    <row r="53" spans="1:22" hidden="1">
      <c r="A53" s="33">
        <v>58735</v>
      </c>
      <c r="B53" s="34" t="s">
        <v>728</v>
      </c>
      <c r="C53" s="158">
        <v>740</v>
      </c>
      <c r="D53" s="34">
        <v>26</v>
      </c>
      <c r="E53" s="34" t="s">
        <v>503</v>
      </c>
      <c r="F53" s="34">
        <v>88</v>
      </c>
      <c r="G53" s="34" t="s">
        <v>0</v>
      </c>
      <c r="H53" s="34">
        <v>18.399999999999999</v>
      </c>
      <c r="I53" s="34">
        <v>184</v>
      </c>
      <c r="J53" s="34">
        <v>1.748</v>
      </c>
      <c r="K53" s="40">
        <v>44.39</v>
      </c>
      <c r="L53" s="34">
        <v>2.9529999999999998</v>
      </c>
      <c r="M53" s="40">
        <v>75.010000000000005</v>
      </c>
      <c r="N53" s="41">
        <v>1.4139999999999999</v>
      </c>
      <c r="O53" s="40">
        <v>35.92</v>
      </c>
      <c r="P53" s="40">
        <v>4.97</v>
      </c>
      <c r="Q53" s="34">
        <v>497</v>
      </c>
      <c r="R53" s="34">
        <v>91.4</v>
      </c>
      <c r="S53" s="34">
        <v>91400</v>
      </c>
      <c r="T53" s="34">
        <v>15.5</v>
      </c>
      <c r="U53" s="34">
        <f t="shared" si="0"/>
        <v>740</v>
      </c>
      <c r="V53" s="34">
        <f>VLOOKUP(U53,'Powder Core Toroid OD'!$A$2:$B$36,2,FALSE)</f>
        <v>74.099999999999994</v>
      </c>
    </row>
    <row r="54" spans="1:22" hidden="1">
      <c r="A54" s="33">
        <v>58737</v>
      </c>
      <c r="B54" s="34" t="s">
        <v>729</v>
      </c>
      <c r="C54" s="158">
        <v>740</v>
      </c>
      <c r="D54" s="34">
        <v>60</v>
      </c>
      <c r="E54" s="34" t="s">
        <v>503</v>
      </c>
      <c r="F54" s="34">
        <v>204</v>
      </c>
      <c r="G54" s="34" t="s">
        <v>0</v>
      </c>
      <c r="H54" s="34">
        <v>18.399999999999999</v>
      </c>
      <c r="I54" s="34">
        <v>184</v>
      </c>
      <c r="J54" s="34">
        <v>1.748</v>
      </c>
      <c r="K54" s="40">
        <v>44.39</v>
      </c>
      <c r="L54" s="34">
        <v>2.9529999999999998</v>
      </c>
      <c r="M54" s="40">
        <v>75.010000000000005</v>
      </c>
      <c r="N54" s="41">
        <v>1.4139999999999999</v>
      </c>
      <c r="O54" s="40">
        <v>35.92</v>
      </c>
      <c r="P54" s="40">
        <v>4.97</v>
      </c>
      <c r="Q54" s="34">
        <v>497</v>
      </c>
      <c r="R54" s="34">
        <v>91.4</v>
      </c>
      <c r="S54" s="34">
        <v>91400</v>
      </c>
      <c r="T54" s="34">
        <v>15.5</v>
      </c>
      <c r="U54" s="34">
        <f t="shared" si="0"/>
        <v>740</v>
      </c>
      <c r="V54" s="34">
        <f>VLOOKUP(U54,'Powder Core Toroid OD'!$A$2:$B$36,2,FALSE)</f>
        <v>74.099999999999994</v>
      </c>
    </row>
    <row r="55" spans="1:22" hidden="1">
      <c r="A55" s="33">
        <v>58740</v>
      </c>
      <c r="B55" s="34" t="s">
        <v>730</v>
      </c>
      <c r="C55" s="158">
        <v>740</v>
      </c>
      <c r="D55" s="34">
        <v>125</v>
      </c>
      <c r="E55" s="34" t="s">
        <v>503</v>
      </c>
      <c r="F55" s="34">
        <v>425</v>
      </c>
      <c r="G55" s="34" t="s">
        <v>0</v>
      </c>
      <c r="H55" s="34">
        <v>18.399999999999999</v>
      </c>
      <c r="I55" s="34">
        <v>184</v>
      </c>
      <c r="J55" s="34">
        <v>1.748</v>
      </c>
      <c r="K55" s="40">
        <v>44.39</v>
      </c>
      <c r="L55" s="34">
        <v>2.9529999999999998</v>
      </c>
      <c r="M55" s="40">
        <v>75.010000000000005</v>
      </c>
      <c r="N55" s="41">
        <v>1.4139999999999999</v>
      </c>
      <c r="O55" s="40">
        <v>35.92</v>
      </c>
      <c r="P55" s="40">
        <v>4.97</v>
      </c>
      <c r="Q55" s="34">
        <v>497</v>
      </c>
      <c r="R55" s="34">
        <v>91.4</v>
      </c>
      <c r="S55" s="34">
        <v>91400</v>
      </c>
      <c r="T55" s="34">
        <v>15.5</v>
      </c>
      <c r="U55" s="34">
        <f t="shared" si="0"/>
        <v>740</v>
      </c>
      <c r="V55" s="34">
        <f>VLOOKUP(U55,'Powder Core Toroid OD'!$A$2:$B$36,2,FALSE)</f>
        <v>74.099999999999994</v>
      </c>
    </row>
    <row r="56" spans="1:22" hidden="1">
      <c r="A56" s="33">
        <v>77098</v>
      </c>
      <c r="B56" s="34" t="s">
        <v>741</v>
      </c>
      <c r="C56" s="158">
        <v>102</v>
      </c>
      <c r="D56" s="34">
        <v>125</v>
      </c>
      <c r="E56" s="34" t="s">
        <v>298</v>
      </c>
      <c r="F56" s="34">
        <v>232</v>
      </c>
      <c r="G56" s="34" t="s">
        <v>0</v>
      </c>
      <c r="H56" s="34">
        <v>24.3</v>
      </c>
      <c r="I56" s="34">
        <v>243</v>
      </c>
      <c r="J56" s="34">
        <v>2.1949999999999998</v>
      </c>
      <c r="K56" s="34">
        <v>55.75</v>
      </c>
      <c r="L56" s="34">
        <v>4.0549999999999997</v>
      </c>
      <c r="M56" s="35">
        <v>103</v>
      </c>
      <c r="N56" s="34">
        <v>0.70499999999999996</v>
      </c>
      <c r="O56" s="34">
        <v>17.899999999999999</v>
      </c>
      <c r="P56" s="34">
        <v>3.58</v>
      </c>
      <c r="Q56" s="34">
        <v>358</v>
      </c>
      <c r="R56" s="34">
        <v>86.9</v>
      </c>
      <c r="S56" s="34">
        <v>86900</v>
      </c>
      <c r="T56" s="34">
        <v>24.7</v>
      </c>
      <c r="U56" s="34">
        <f t="shared" si="0"/>
        <v>102</v>
      </c>
      <c r="V56" s="34">
        <f>VLOOKUP(U56,'Powder Core Toroid OD'!$A$2:$B$36,2,FALSE)</f>
        <v>101.6</v>
      </c>
    </row>
    <row r="57" spans="1:22" hidden="1">
      <c r="A57" s="33">
        <v>77099</v>
      </c>
      <c r="B57" s="34" t="s">
        <v>740</v>
      </c>
      <c r="C57" s="158">
        <v>102</v>
      </c>
      <c r="D57" s="34">
        <v>60</v>
      </c>
      <c r="E57" s="34" t="s">
        <v>298</v>
      </c>
      <c r="F57" s="34">
        <v>111</v>
      </c>
      <c r="G57" s="34" t="s">
        <v>0</v>
      </c>
      <c r="H57" s="34">
        <v>24.3</v>
      </c>
      <c r="I57" s="34">
        <v>243</v>
      </c>
      <c r="J57" s="34">
        <v>2.1949999999999998</v>
      </c>
      <c r="K57" s="34">
        <v>55.75</v>
      </c>
      <c r="L57" s="34">
        <v>4.0549999999999997</v>
      </c>
      <c r="M57" s="35">
        <v>103</v>
      </c>
      <c r="N57" s="34">
        <v>0.70499999999999996</v>
      </c>
      <c r="O57" s="34">
        <v>17.899999999999999</v>
      </c>
      <c r="P57" s="34">
        <v>3.58</v>
      </c>
      <c r="Q57" s="34">
        <v>358</v>
      </c>
      <c r="R57" s="34">
        <v>86.9</v>
      </c>
      <c r="S57" s="34">
        <v>86900</v>
      </c>
      <c r="T57" s="34">
        <v>24.7</v>
      </c>
      <c r="U57" s="34">
        <f t="shared" si="0"/>
        <v>102</v>
      </c>
      <c r="V57" s="34">
        <f>VLOOKUP(U57,'Powder Core Toroid OD'!$A$2:$B$36,2,FALSE)</f>
        <v>101.6</v>
      </c>
    </row>
    <row r="58" spans="1:22" hidden="1">
      <c r="A58" s="33">
        <v>77100</v>
      </c>
      <c r="B58" s="34" t="s">
        <v>739</v>
      </c>
      <c r="C58" s="158">
        <v>102</v>
      </c>
      <c r="D58" s="34">
        <v>40</v>
      </c>
      <c r="E58" s="34" t="s">
        <v>298</v>
      </c>
      <c r="F58" s="34">
        <v>74</v>
      </c>
      <c r="G58" s="34" t="s">
        <v>0</v>
      </c>
      <c r="H58" s="34">
        <v>24.3</v>
      </c>
      <c r="I58" s="34">
        <v>243</v>
      </c>
      <c r="J58" s="34">
        <v>2.1949999999999998</v>
      </c>
      <c r="K58" s="34">
        <v>55.75</v>
      </c>
      <c r="L58" s="34">
        <v>4.0549999999999997</v>
      </c>
      <c r="M58" s="35">
        <v>103</v>
      </c>
      <c r="N58" s="34">
        <v>0.70499999999999996</v>
      </c>
      <c r="O58" s="34">
        <v>17.899999999999999</v>
      </c>
      <c r="P58" s="34">
        <v>3.58</v>
      </c>
      <c r="Q58" s="34">
        <v>358</v>
      </c>
      <c r="R58" s="34">
        <v>86.9</v>
      </c>
      <c r="S58" s="34">
        <v>86900</v>
      </c>
      <c r="T58" s="34">
        <v>24.7</v>
      </c>
      <c r="U58" s="34">
        <f t="shared" si="0"/>
        <v>102</v>
      </c>
      <c r="V58" s="34">
        <f>VLOOKUP(U58,'Powder Core Toroid OD'!$A$2:$B$36,2,FALSE)</f>
        <v>101.6</v>
      </c>
    </row>
    <row r="59" spans="1:22" hidden="1">
      <c r="A59" s="33">
        <v>77102</v>
      </c>
      <c r="B59" s="34" t="s">
        <v>710</v>
      </c>
      <c r="C59" s="158">
        <v>102</v>
      </c>
      <c r="D59" s="34">
        <v>26</v>
      </c>
      <c r="E59" s="34" t="s">
        <v>298</v>
      </c>
      <c r="F59" s="34">
        <v>48</v>
      </c>
      <c r="G59" s="34" t="s">
        <v>0</v>
      </c>
      <c r="H59" s="34">
        <v>24.3</v>
      </c>
      <c r="I59" s="34">
        <v>243</v>
      </c>
      <c r="J59" s="34">
        <v>2.1949999999999998</v>
      </c>
      <c r="K59" s="34">
        <v>55.75</v>
      </c>
      <c r="L59" s="34">
        <v>4.0549999999999997</v>
      </c>
      <c r="M59" s="35">
        <v>103</v>
      </c>
      <c r="N59" s="34">
        <v>0.70499999999999996</v>
      </c>
      <c r="O59" s="34">
        <v>17.899999999999999</v>
      </c>
      <c r="P59" s="34">
        <v>3.58</v>
      </c>
      <c r="Q59" s="34">
        <v>358</v>
      </c>
      <c r="R59" s="34">
        <v>86.9</v>
      </c>
      <c r="S59" s="34">
        <v>86900</v>
      </c>
      <c r="T59" s="34">
        <v>24.7</v>
      </c>
      <c r="U59" s="34">
        <f t="shared" si="0"/>
        <v>102</v>
      </c>
      <c r="V59" s="34">
        <f>VLOOKUP(U59,'Powder Core Toroid OD'!$A$2:$B$36,2,FALSE)</f>
        <v>101.6</v>
      </c>
    </row>
    <row r="60" spans="1:22" hidden="1">
      <c r="A60" s="36">
        <v>77165</v>
      </c>
      <c r="B60" s="37" t="s">
        <v>757</v>
      </c>
      <c r="C60" s="159">
        <v>165</v>
      </c>
      <c r="D60" s="37">
        <v>26</v>
      </c>
      <c r="E60" s="37" t="s">
        <v>298</v>
      </c>
      <c r="F60" s="37">
        <v>78</v>
      </c>
      <c r="G60" s="37" t="s">
        <v>0</v>
      </c>
      <c r="H60" s="37">
        <v>41.2</v>
      </c>
      <c r="I60" s="37">
        <v>412</v>
      </c>
      <c r="J60" s="37">
        <v>3.9769999999999999</v>
      </c>
      <c r="K60" s="38">
        <v>101</v>
      </c>
      <c r="L60" s="37">
        <v>6.5549999999999997</v>
      </c>
      <c r="M60" s="38">
        <v>166.5</v>
      </c>
      <c r="N60" s="37">
        <v>1.3049999999999999</v>
      </c>
      <c r="O60" s="39">
        <v>33.15</v>
      </c>
      <c r="P60" s="37">
        <v>9.8699999999999992</v>
      </c>
      <c r="Q60" s="37">
        <v>987</v>
      </c>
      <c r="R60" s="37">
        <v>407</v>
      </c>
      <c r="S60" s="37">
        <v>407000</v>
      </c>
      <c r="T60" s="37">
        <v>80.3</v>
      </c>
      <c r="U60" s="34">
        <f t="shared" si="0"/>
        <v>165</v>
      </c>
      <c r="V60" s="34">
        <f>VLOOKUP(U60,'Powder Core Toroid OD'!$A$2:$B$36,2,FALSE)</f>
        <v>165.1</v>
      </c>
    </row>
    <row r="61" spans="1:22" hidden="1">
      <c r="A61" s="36">
        <v>77337</v>
      </c>
      <c r="B61" s="37" t="s">
        <v>750</v>
      </c>
      <c r="C61" s="159">
        <v>337</v>
      </c>
      <c r="D61" s="37">
        <v>26</v>
      </c>
      <c r="E61" s="37" t="s">
        <v>298</v>
      </c>
      <c r="F61" s="37">
        <v>68</v>
      </c>
      <c r="G61" s="37" t="s">
        <v>0</v>
      </c>
      <c r="H61" s="37">
        <v>32.4</v>
      </c>
      <c r="I61" s="37">
        <v>324</v>
      </c>
      <c r="J61" s="37">
        <v>3.0390000000000001</v>
      </c>
      <c r="K61" s="37">
        <v>77.19</v>
      </c>
      <c r="L61" s="37">
        <v>5.274</v>
      </c>
      <c r="M61" s="38">
        <v>134</v>
      </c>
      <c r="N61" s="37">
        <v>1.0549999999999999</v>
      </c>
      <c r="O61" s="39">
        <v>26.8</v>
      </c>
      <c r="P61" s="37">
        <v>6.78</v>
      </c>
      <c r="Q61" s="37">
        <v>678</v>
      </c>
      <c r="R61" s="37">
        <v>220</v>
      </c>
      <c r="S61" s="37">
        <v>220000</v>
      </c>
      <c r="T61" s="37">
        <v>47.1</v>
      </c>
      <c r="U61" s="34">
        <f t="shared" si="0"/>
        <v>337</v>
      </c>
      <c r="V61" s="34">
        <f>VLOOKUP(U61,'Powder Core Toroid OD'!$A$2:$B$36,2,FALSE)</f>
        <v>132.6</v>
      </c>
    </row>
    <row r="62" spans="1:22" hidden="1">
      <c r="A62" s="33">
        <v>77615</v>
      </c>
      <c r="B62" s="34" t="s">
        <v>766</v>
      </c>
      <c r="C62" s="158">
        <v>620</v>
      </c>
      <c r="D62" s="34">
        <v>26</v>
      </c>
      <c r="E62" s="34" t="s">
        <v>298</v>
      </c>
      <c r="F62" s="34">
        <v>82</v>
      </c>
      <c r="G62" s="34" t="s">
        <v>0</v>
      </c>
      <c r="H62" s="34">
        <v>14.4</v>
      </c>
      <c r="I62" s="34">
        <v>144</v>
      </c>
      <c r="J62" s="34">
        <v>1.248</v>
      </c>
      <c r="K62" s="40">
        <v>31.69</v>
      </c>
      <c r="L62" s="34">
        <v>2.4769999999999999</v>
      </c>
      <c r="M62" s="40">
        <v>62.91</v>
      </c>
      <c r="N62" s="41">
        <v>1.02</v>
      </c>
      <c r="O62" s="40">
        <v>25.91</v>
      </c>
      <c r="P62" s="40">
        <v>3.6</v>
      </c>
      <c r="Q62" s="34">
        <v>360</v>
      </c>
      <c r="R62" s="34">
        <v>51.8</v>
      </c>
      <c r="S62" s="34">
        <v>51800</v>
      </c>
      <c r="T62" s="34">
        <v>7.89</v>
      </c>
      <c r="U62" s="34">
        <f t="shared" si="0"/>
        <v>620</v>
      </c>
      <c r="V62" s="34">
        <f>VLOOKUP(U62,'Powder Core Toroid OD'!$A$2:$B$36,2,FALSE)</f>
        <v>62</v>
      </c>
    </row>
    <row r="63" spans="1:22" hidden="1">
      <c r="A63" s="33">
        <v>77616</v>
      </c>
      <c r="B63" s="34" t="s">
        <v>767</v>
      </c>
      <c r="C63" s="158">
        <v>620</v>
      </c>
      <c r="D63" s="34">
        <v>40</v>
      </c>
      <c r="E63" s="34" t="s">
        <v>298</v>
      </c>
      <c r="F63" s="34">
        <v>126</v>
      </c>
      <c r="G63" s="34" t="s">
        <v>0</v>
      </c>
      <c r="H63" s="34">
        <v>14.4</v>
      </c>
      <c r="I63" s="34">
        <v>144</v>
      </c>
      <c r="J63" s="34">
        <v>1.248</v>
      </c>
      <c r="K63" s="40">
        <v>31.69</v>
      </c>
      <c r="L63" s="34">
        <v>2.4769999999999999</v>
      </c>
      <c r="M63" s="40">
        <v>62.91</v>
      </c>
      <c r="N63" s="41">
        <v>1.02</v>
      </c>
      <c r="O63" s="40">
        <v>25.91</v>
      </c>
      <c r="P63" s="40">
        <v>3.6</v>
      </c>
      <c r="Q63" s="34">
        <v>360</v>
      </c>
      <c r="R63" s="34">
        <v>51.8</v>
      </c>
      <c r="S63" s="34">
        <v>51800</v>
      </c>
      <c r="T63" s="34">
        <v>7.89</v>
      </c>
      <c r="U63" s="34">
        <f t="shared" si="0"/>
        <v>620</v>
      </c>
      <c r="V63" s="34">
        <f>VLOOKUP(U63,'Powder Core Toroid OD'!$A$2:$B$36,2,FALSE)</f>
        <v>62</v>
      </c>
    </row>
    <row r="64" spans="1:22" hidden="1">
      <c r="A64" s="33">
        <v>77617</v>
      </c>
      <c r="B64" s="34" t="s">
        <v>768</v>
      </c>
      <c r="C64" s="158">
        <v>620</v>
      </c>
      <c r="D64" s="34">
        <v>60</v>
      </c>
      <c r="E64" s="34" t="s">
        <v>298</v>
      </c>
      <c r="F64" s="34">
        <v>189</v>
      </c>
      <c r="G64" s="34" t="s">
        <v>0</v>
      </c>
      <c r="H64" s="34">
        <v>14.4</v>
      </c>
      <c r="I64" s="34">
        <v>144</v>
      </c>
      <c r="J64" s="34">
        <v>1.248</v>
      </c>
      <c r="K64" s="40">
        <v>31.69</v>
      </c>
      <c r="L64" s="34">
        <v>2.4769999999999999</v>
      </c>
      <c r="M64" s="40">
        <v>62.91</v>
      </c>
      <c r="N64" s="41">
        <v>1.02</v>
      </c>
      <c r="O64" s="40">
        <v>25.91</v>
      </c>
      <c r="P64" s="40">
        <v>3.6</v>
      </c>
      <c r="Q64" s="34">
        <v>360</v>
      </c>
      <c r="R64" s="34">
        <v>51.8</v>
      </c>
      <c r="S64" s="34">
        <v>51800</v>
      </c>
      <c r="T64" s="34">
        <v>7.89</v>
      </c>
      <c r="U64" s="34">
        <f t="shared" si="0"/>
        <v>620</v>
      </c>
      <c r="V64" s="34">
        <f>VLOOKUP(U64,'Powder Core Toroid OD'!$A$2:$B$36,2,FALSE)</f>
        <v>62</v>
      </c>
    </row>
    <row r="65" spans="1:22" hidden="1">
      <c r="A65" s="33">
        <v>77618</v>
      </c>
      <c r="B65" s="34" t="s">
        <v>769</v>
      </c>
      <c r="C65" s="158">
        <v>620</v>
      </c>
      <c r="D65" s="34">
        <v>75</v>
      </c>
      <c r="E65" s="34" t="s">
        <v>298</v>
      </c>
      <c r="F65" s="34">
        <v>237</v>
      </c>
      <c r="G65" s="34" t="s">
        <v>0</v>
      </c>
      <c r="H65" s="34">
        <v>14.4</v>
      </c>
      <c r="I65" s="34">
        <v>144</v>
      </c>
      <c r="J65" s="34">
        <v>1.248</v>
      </c>
      <c r="K65" s="40">
        <v>31.69</v>
      </c>
      <c r="L65" s="34">
        <v>2.4769999999999999</v>
      </c>
      <c r="M65" s="40">
        <v>62.91</v>
      </c>
      <c r="N65" s="41">
        <v>1.02</v>
      </c>
      <c r="O65" s="40">
        <v>25.91</v>
      </c>
      <c r="P65" s="40">
        <v>3.6</v>
      </c>
      <c r="Q65" s="34">
        <v>360</v>
      </c>
      <c r="R65" s="34">
        <v>51.8</v>
      </c>
      <c r="S65" s="34">
        <v>51800</v>
      </c>
      <c r="T65" s="34">
        <v>7.89</v>
      </c>
      <c r="U65" s="34">
        <f t="shared" si="0"/>
        <v>620</v>
      </c>
      <c r="V65" s="34">
        <f>VLOOKUP(U65,'Powder Core Toroid OD'!$A$2:$B$36,2,FALSE)</f>
        <v>62</v>
      </c>
    </row>
    <row r="66" spans="1:22" hidden="1">
      <c r="A66" s="33">
        <v>77619</v>
      </c>
      <c r="B66" s="34" t="s">
        <v>770</v>
      </c>
      <c r="C66" s="158">
        <v>620</v>
      </c>
      <c r="D66" s="34">
        <v>90</v>
      </c>
      <c r="E66" s="34" t="s">
        <v>298</v>
      </c>
      <c r="F66" s="34">
        <v>284</v>
      </c>
      <c r="G66" s="34" t="s">
        <v>0</v>
      </c>
      <c r="H66" s="34">
        <v>14.4</v>
      </c>
      <c r="I66" s="34">
        <v>144</v>
      </c>
      <c r="J66" s="34">
        <v>1.248</v>
      </c>
      <c r="K66" s="40">
        <v>31.69</v>
      </c>
      <c r="L66" s="34">
        <v>2.4769999999999999</v>
      </c>
      <c r="M66" s="40">
        <v>62.91</v>
      </c>
      <c r="N66" s="41">
        <v>1.02</v>
      </c>
      <c r="O66" s="40">
        <v>25.91</v>
      </c>
      <c r="P66" s="40">
        <v>3.6</v>
      </c>
      <c r="Q66" s="34">
        <v>360</v>
      </c>
      <c r="R66" s="34">
        <v>51.8</v>
      </c>
      <c r="S66" s="34">
        <v>51800</v>
      </c>
      <c r="T66" s="34">
        <v>7.89</v>
      </c>
      <c r="U66" s="34">
        <f t="shared" si="0"/>
        <v>620</v>
      </c>
      <c r="V66" s="34">
        <f>VLOOKUP(U66,'Powder Core Toroid OD'!$A$2:$B$36,2,FALSE)</f>
        <v>62</v>
      </c>
    </row>
    <row r="67" spans="1:22" hidden="1">
      <c r="A67" s="33">
        <v>77620</v>
      </c>
      <c r="B67" s="34" t="s">
        <v>771</v>
      </c>
      <c r="C67" s="158">
        <v>620</v>
      </c>
      <c r="D67" s="34">
        <v>125</v>
      </c>
      <c r="E67" s="34" t="s">
        <v>298</v>
      </c>
      <c r="F67" s="34">
        <v>394</v>
      </c>
      <c r="G67" s="34" t="s">
        <v>0</v>
      </c>
      <c r="H67" s="34">
        <v>14.4</v>
      </c>
      <c r="I67" s="34">
        <v>144</v>
      </c>
      <c r="J67" s="34">
        <v>1.248</v>
      </c>
      <c r="K67" s="40">
        <v>31.69</v>
      </c>
      <c r="L67" s="34">
        <v>2.4769999999999999</v>
      </c>
      <c r="M67" s="40">
        <v>62.91</v>
      </c>
      <c r="N67" s="41">
        <v>1.02</v>
      </c>
      <c r="O67" s="40">
        <v>25.91</v>
      </c>
      <c r="P67" s="40">
        <v>3.6</v>
      </c>
      <c r="Q67" s="34">
        <v>360</v>
      </c>
      <c r="R67" s="34">
        <v>51.8</v>
      </c>
      <c r="S67" s="34">
        <v>51800</v>
      </c>
      <c r="T67" s="34">
        <v>7.89</v>
      </c>
      <c r="U67" s="34">
        <f t="shared" si="0"/>
        <v>620</v>
      </c>
      <c r="V67" s="34">
        <f>VLOOKUP(U67,'Powder Core Toroid OD'!$A$2:$B$36,2,FALSE)</f>
        <v>62</v>
      </c>
    </row>
    <row r="68" spans="1:22" hidden="1">
      <c r="A68" s="33">
        <v>77735</v>
      </c>
      <c r="B68" s="34" t="s">
        <v>772</v>
      </c>
      <c r="C68" s="158">
        <v>740</v>
      </c>
      <c r="D68" s="34">
        <v>26</v>
      </c>
      <c r="E68" s="34" t="s">
        <v>298</v>
      </c>
      <c r="F68" s="34">
        <v>88</v>
      </c>
      <c r="G68" s="34" t="s">
        <v>0</v>
      </c>
      <c r="H68" s="34">
        <v>18.399999999999999</v>
      </c>
      <c r="I68" s="34">
        <v>184</v>
      </c>
      <c r="J68" s="34">
        <v>1.748</v>
      </c>
      <c r="K68" s="40">
        <v>44.39</v>
      </c>
      <c r="L68" s="34">
        <v>2.9529999999999998</v>
      </c>
      <c r="M68" s="40">
        <v>75.010000000000005</v>
      </c>
      <c r="N68" s="41">
        <v>1.4139999999999999</v>
      </c>
      <c r="O68" s="40">
        <v>35.92</v>
      </c>
      <c r="P68" s="40">
        <v>4.97</v>
      </c>
      <c r="Q68" s="34">
        <v>497</v>
      </c>
      <c r="R68" s="34">
        <v>91.4</v>
      </c>
      <c r="S68" s="34">
        <v>91400</v>
      </c>
      <c r="T68" s="34">
        <v>15.5</v>
      </c>
      <c r="U68" s="34">
        <f t="shared" si="0"/>
        <v>740</v>
      </c>
      <c r="V68" s="34">
        <f>VLOOKUP(U68,'Powder Core Toroid OD'!$A$2:$B$36,2,FALSE)</f>
        <v>74.099999999999994</v>
      </c>
    </row>
    <row r="69" spans="1:22" hidden="1">
      <c r="A69" s="33">
        <v>77736</v>
      </c>
      <c r="B69" s="34" t="s">
        <v>773</v>
      </c>
      <c r="C69" s="158">
        <v>740</v>
      </c>
      <c r="D69" s="34">
        <v>40</v>
      </c>
      <c r="E69" s="34" t="s">
        <v>298</v>
      </c>
      <c r="F69" s="34">
        <v>136</v>
      </c>
      <c r="G69" s="34" t="s">
        <v>0</v>
      </c>
      <c r="H69" s="34">
        <v>18.399999999999999</v>
      </c>
      <c r="I69" s="34">
        <v>184</v>
      </c>
      <c r="J69" s="34">
        <v>1.748</v>
      </c>
      <c r="K69" s="40">
        <v>44.39</v>
      </c>
      <c r="L69" s="34">
        <v>2.9529999999999998</v>
      </c>
      <c r="M69" s="40">
        <v>75.010000000000005</v>
      </c>
      <c r="N69" s="41">
        <v>1.4139999999999999</v>
      </c>
      <c r="O69" s="40">
        <v>35.92</v>
      </c>
      <c r="P69" s="40">
        <v>4.97</v>
      </c>
      <c r="Q69" s="34">
        <v>497</v>
      </c>
      <c r="R69" s="34">
        <v>91.4</v>
      </c>
      <c r="S69" s="34">
        <v>91400</v>
      </c>
      <c r="T69" s="34">
        <v>15.5</v>
      </c>
      <c r="U69" s="34">
        <f t="shared" si="0"/>
        <v>740</v>
      </c>
      <c r="V69" s="34">
        <f>VLOOKUP(U69,'Powder Core Toroid OD'!$A$2:$B$36,2,FALSE)</f>
        <v>74.099999999999994</v>
      </c>
    </row>
    <row r="70" spans="1:22" hidden="1">
      <c r="A70" s="33">
        <v>77737</v>
      </c>
      <c r="B70" s="34" t="s">
        <v>777</v>
      </c>
      <c r="C70" s="158">
        <v>740</v>
      </c>
      <c r="D70" s="34">
        <v>60</v>
      </c>
      <c r="E70" s="34" t="s">
        <v>298</v>
      </c>
      <c r="F70" s="34">
        <v>204</v>
      </c>
      <c r="G70" s="34" t="s">
        <v>0</v>
      </c>
      <c r="H70" s="34">
        <v>18.399999999999999</v>
      </c>
      <c r="I70" s="34">
        <v>184</v>
      </c>
      <c r="J70" s="34">
        <v>1.748</v>
      </c>
      <c r="K70" s="40">
        <v>44.39</v>
      </c>
      <c r="L70" s="34">
        <v>2.9529999999999998</v>
      </c>
      <c r="M70" s="40">
        <v>75.010000000000005</v>
      </c>
      <c r="N70" s="41">
        <v>1.4139999999999999</v>
      </c>
      <c r="O70" s="40">
        <v>35.92</v>
      </c>
      <c r="P70" s="40">
        <v>4.97</v>
      </c>
      <c r="Q70" s="34">
        <v>497</v>
      </c>
      <c r="R70" s="34">
        <v>91.4</v>
      </c>
      <c r="S70" s="34">
        <v>91400</v>
      </c>
      <c r="T70" s="34">
        <v>15.5</v>
      </c>
      <c r="U70" s="34">
        <f t="shared" si="0"/>
        <v>740</v>
      </c>
      <c r="V70" s="34">
        <f>VLOOKUP(U70,'Powder Core Toroid OD'!$A$2:$B$36,2,FALSE)</f>
        <v>74.099999999999994</v>
      </c>
    </row>
    <row r="71" spans="1:22" hidden="1">
      <c r="A71" s="33">
        <v>77738</v>
      </c>
      <c r="B71" s="34" t="s">
        <v>776</v>
      </c>
      <c r="C71" s="158">
        <v>740</v>
      </c>
      <c r="D71" s="34">
        <v>75</v>
      </c>
      <c r="E71" s="34" t="s">
        <v>298</v>
      </c>
      <c r="F71" s="34">
        <v>255</v>
      </c>
      <c r="G71" s="34" t="s">
        <v>0</v>
      </c>
      <c r="H71" s="34">
        <v>18.399999999999999</v>
      </c>
      <c r="I71" s="34">
        <v>184</v>
      </c>
      <c r="J71" s="34">
        <v>1.748</v>
      </c>
      <c r="K71" s="40">
        <v>44.39</v>
      </c>
      <c r="L71" s="34">
        <v>2.9529999999999998</v>
      </c>
      <c r="M71" s="40">
        <v>75.010000000000005</v>
      </c>
      <c r="N71" s="41">
        <v>1.4139999999999999</v>
      </c>
      <c r="O71" s="40">
        <v>35.92</v>
      </c>
      <c r="P71" s="40">
        <v>4.97</v>
      </c>
      <c r="Q71" s="34">
        <v>497</v>
      </c>
      <c r="R71" s="34">
        <v>91.4</v>
      </c>
      <c r="S71" s="34">
        <v>91400</v>
      </c>
      <c r="T71" s="34">
        <v>15.5</v>
      </c>
      <c r="U71" s="34">
        <f t="shared" si="0"/>
        <v>740</v>
      </c>
      <c r="V71" s="34">
        <f>VLOOKUP(U71,'Powder Core Toroid OD'!$A$2:$B$36,2,FALSE)</f>
        <v>74.099999999999994</v>
      </c>
    </row>
    <row r="72" spans="1:22" hidden="1">
      <c r="A72" s="33">
        <v>77739</v>
      </c>
      <c r="B72" s="34" t="s">
        <v>775</v>
      </c>
      <c r="C72" s="158">
        <v>740</v>
      </c>
      <c r="D72" s="34">
        <v>90</v>
      </c>
      <c r="E72" s="34" t="s">
        <v>298</v>
      </c>
      <c r="F72" s="34">
        <v>306</v>
      </c>
      <c r="G72" s="34" t="s">
        <v>0</v>
      </c>
      <c r="H72" s="34">
        <v>18.399999999999999</v>
      </c>
      <c r="I72" s="34">
        <v>184</v>
      </c>
      <c r="J72" s="34">
        <v>1.748</v>
      </c>
      <c r="K72" s="40">
        <v>44.39</v>
      </c>
      <c r="L72" s="34">
        <v>2.9529999999999998</v>
      </c>
      <c r="M72" s="40">
        <v>75.010000000000005</v>
      </c>
      <c r="N72" s="41">
        <v>1.4139999999999999</v>
      </c>
      <c r="O72" s="40">
        <v>35.92</v>
      </c>
      <c r="P72" s="40">
        <v>4.97</v>
      </c>
      <c r="Q72" s="34">
        <v>497</v>
      </c>
      <c r="R72" s="34">
        <v>91.4</v>
      </c>
      <c r="S72" s="34">
        <v>91400</v>
      </c>
      <c r="T72" s="34">
        <v>15.5</v>
      </c>
      <c r="U72" s="34">
        <f t="shared" si="0"/>
        <v>740</v>
      </c>
      <c r="V72" s="34">
        <f>VLOOKUP(U72,'Powder Core Toroid OD'!$A$2:$B$36,2,FALSE)</f>
        <v>74.099999999999994</v>
      </c>
    </row>
    <row r="73" spans="1:22" hidden="1">
      <c r="A73" s="33">
        <v>77740</v>
      </c>
      <c r="B73" s="34" t="s">
        <v>774</v>
      </c>
      <c r="C73" s="158">
        <v>740</v>
      </c>
      <c r="D73" s="34">
        <v>125</v>
      </c>
      <c r="E73" s="34" t="s">
        <v>298</v>
      </c>
      <c r="F73" s="34">
        <v>425</v>
      </c>
      <c r="G73" s="34" t="s">
        <v>0</v>
      </c>
      <c r="H73" s="34">
        <v>18.399999999999999</v>
      </c>
      <c r="I73" s="34">
        <v>184</v>
      </c>
      <c r="J73" s="34">
        <v>1.748</v>
      </c>
      <c r="K73" s="40">
        <v>44.39</v>
      </c>
      <c r="L73" s="34">
        <v>2.9529999999999998</v>
      </c>
      <c r="M73" s="40">
        <v>75.010000000000005</v>
      </c>
      <c r="N73" s="41">
        <v>1.4139999999999999</v>
      </c>
      <c r="O73" s="40">
        <v>35.92</v>
      </c>
      <c r="P73" s="40">
        <v>4.97</v>
      </c>
      <c r="Q73" s="34">
        <v>497</v>
      </c>
      <c r="R73" s="34">
        <v>91.4</v>
      </c>
      <c r="S73" s="34">
        <v>91400</v>
      </c>
      <c r="T73" s="34">
        <v>15.5</v>
      </c>
      <c r="U73" s="34">
        <f t="shared" si="0"/>
        <v>740</v>
      </c>
      <c r="V73" s="34">
        <f>VLOOKUP(U73,'Powder Core Toroid OD'!$A$2:$B$36,2,FALSE)</f>
        <v>74.099999999999994</v>
      </c>
    </row>
    <row r="74" spans="1:22" customFormat="1" hidden="1">
      <c r="A74" s="8">
        <v>301</v>
      </c>
      <c r="B74" t="s">
        <v>45</v>
      </c>
      <c r="C74" s="1" t="s">
        <v>687</v>
      </c>
      <c r="D74" s="1">
        <v>125</v>
      </c>
      <c r="E74" s="1" t="s">
        <v>21</v>
      </c>
      <c r="F74" s="1">
        <v>8.4</v>
      </c>
      <c r="G74" s="1" t="s">
        <v>20</v>
      </c>
      <c r="H74" s="1">
        <v>0.70399999999999996</v>
      </c>
      <c r="I74" s="1">
        <v>7.0399999999999991</v>
      </c>
      <c r="J74" s="1">
        <v>6.7000000000000004E-2</v>
      </c>
      <c r="K74" s="1">
        <v>1.7</v>
      </c>
      <c r="L74" s="1">
        <v>0.125</v>
      </c>
      <c r="M74" s="1">
        <v>3.18</v>
      </c>
      <c r="N74" s="1">
        <v>3.5000000000000003E-2</v>
      </c>
      <c r="O74" s="2">
        <v>0.89</v>
      </c>
      <c r="P74" s="1">
        <v>4.0000000000000001E-3</v>
      </c>
      <c r="Q74" s="1">
        <v>0.4</v>
      </c>
      <c r="R74" s="1">
        <v>2.8E-3</v>
      </c>
      <c r="S74" s="1">
        <v>2.8</v>
      </c>
      <c r="T74" s="1"/>
    </row>
    <row r="75" spans="1:22" customFormat="1" hidden="1">
      <c r="A75" s="8">
        <v>301</v>
      </c>
      <c r="B75" t="s">
        <v>44</v>
      </c>
      <c r="C75" s="1" t="s">
        <v>687</v>
      </c>
      <c r="D75" s="1">
        <v>160</v>
      </c>
      <c r="E75" s="1" t="s">
        <v>21</v>
      </c>
      <c r="F75" s="1">
        <v>10.8</v>
      </c>
      <c r="G75" s="1" t="s">
        <v>20</v>
      </c>
      <c r="H75" s="1">
        <v>0.70399999999999996</v>
      </c>
      <c r="I75" s="1">
        <v>7.0399999999999991</v>
      </c>
      <c r="J75" s="1">
        <v>6.7000000000000004E-2</v>
      </c>
      <c r="K75" s="1">
        <v>1.7</v>
      </c>
      <c r="L75" s="1">
        <v>0.125</v>
      </c>
      <c r="M75" s="1">
        <v>3.18</v>
      </c>
      <c r="N75" s="1">
        <v>3.5000000000000003E-2</v>
      </c>
      <c r="O75" s="2">
        <v>0.89</v>
      </c>
      <c r="P75" s="1">
        <v>4.0000000000000001E-3</v>
      </c>
      <c r="Q75" s="1">
        <v>0.4</v>
      </c>
      <c r="R75" s="1">
        <v>2.8E-3</v>
      </c>
      <c r="S75" s="1">
        <v>2.8</v>
      </c>
      <c r="T75" s="1"/>
    </row>
    <row r="76" spans="1:22" customFormat="1" hidden="1">
      <c r="A76" s="8">
        <v>301</v>
      </c>
      <c r="B76" t="s">
        <v>43</v>
      </c>
      <c r="C76" s="1" t="s">
        <v>687</v>
      </c>
      <c r="D76" s="1">
        <v>200</v>
      </c>
      <c r="E76" s="1" t="s">
        <v>21</v>
      </c>
      <c r="F76" s="1">
        <v>13.5</v>
      </c>
      <c r="G76" s="1" t="s">
        <v>20</v>
      </c>
      <c r="H76" s="1">
        <v>0.70399999999999996</v>
      </c>
      <c r="I76" s="1">
        <v>7.0399999999999991</v>
      </c>
      <c r="J76" s="1">
        <v>6.7000000000000004E-2</v>
      </c>
      <c r="K76" s="1">
        <v>1.7</v>
      </c>
      <c r="L76" s="1">
        <v>0.125</v>
      </c>
      <c r="M76" s="1">
        <v>3.18</v>
      </c>
      <c r="N76" s="1">
        <v>3.5000000000000003E-2</v>
      </c>
      <c r="O76" s="2">
        <v>0.89</v>
      </c>
      <c r="P76" s="1">
        <v>4.0000000000000001E-3</v>
      </c>
      <c r="Q76" s="1">
        <v>0.4</v>
      </c>
      <c r="R76" s="1">
        <v>2.8E-3</v>
      </c>
      <c r="S76" s="1">
        <v>2.8</v>
      </c>
      <c r="T76" s="1"/>
    </row>
    <row r="77" spans="1:22" customFormat="1" hidden="1">
      <c r="A77" s="8">
        <v>301</v>
      </c>
      <c r="B77" t="s">
        <v>42</v>
      </c>
      <c r="C77" s="1" t="s">
        <v>687</v>
      </c>
      <c r="D77" s="1">
        <v>250</v>
      </c>
      <c r="E77" s="1" t="s">
        <v>21</v>
      </c>
      <c r="F77" s="1">
        <v>16.899999999999999</v>
      </c>
      <c r="G77" s="1" t="s">
        <v>20</v>
      </c>
      <c r="H77" s="1">
        <v>0.70399999999999996</v>
      </c>
      <c r="I77" s="1">
        <v>7.0399999999999991</v>
      </c>
      <c r="J77" s="1">
        <v>6.7000000000000004E-2</v>
      </c>
      <c r="K77" s="1">
        <v>1.7</v>
      </c>
      <c r="L77" s="1">
        <v>0.125</v>
      </c>
      <c r="M77" s="1">
        <v>3.18</v>
      </c>
      <c r="N77" s="1">
        <v>3.5000000000000003E-2</v>
      </c>
      <c r="O77" s="2">
        <v>0.89</v>
      </c>
      <c r="P77" s="1">
        <v>4.0000000000000001E-3</v>
      </c>
      <c r="Q77" s="1">
        <v>0.4</v>
      </c>
      <c r="R77" s="1">
        <v>2.8E-3</v>
      </c>
      <c r="S77" s="1">
        <v>2.8</v>
      </c>
      <c r="T77" s="1"/>
    </row>
    <row r="78" spans="1:22" customFormat="1" hidden="1">
      <c r="A78" s="8">
        <v>302</v>
      </c>
      <c r="B78" t="s">
        <v>41</v>
      </c>
      <c r="C78" s="1" t="s">
        <v>688</v>
      </c>
      <c r="D78" s="1">
        <v>125</v>
      </c>
      <c r="E78" s="1" t="s">
        <v>21</v>
      </c>
      <c r="F78" s="1">
        <v>11.6</v>
      </c>
      <c r="G78" s="1" t="s">
        <v>20</v>
      </c>
      <c r="H78" s="1">
        <v>0.80600000000000005</v>
      </c>
      <c r="I78" s="1">
        <v>8.06</v>
      </c>
      <c r="J78" s="1">
        <v>6.7000000000000004E-2</v>
      </c>
      <c r="K78" s="4">
        <v>1.7</v>
      </c>
      <c r="L78" s="1">
        <v>0.14499999999999999</v>
      </c>
      <c r="M78" s="1">
        <v>3.69</v>
      </c>
      <c r="N78" s="1">
        <v>3.5000000000000003E-2</v>
      </c>
      <c r="O78" s="2">
        <v>0.89</v>
      </c>
      <c r="P78" s="1">
        <v>6.0000000000000001E-3</v>
      </c>
      <c r="Q78" s="1">
        <v>0.6</v>
      </c>
      <c r="R78" s="1">
        <v>4.7999999999999996E-3</v>
      </c>
      <c r="S78" s="1">
        <v>4.8</v>
      </c>
      <c r="T78" s="1"/>
    </row>
    <row r="79" spans="1:22" customFormat="1" hidden="1">
      <c r="A79" s="8">
        <v>302</v>
      </c>
      <c r="B79" t="s">
        <v>40</v>
      </c>
      <c r="C79" s="1" t="s">
        <v>688</v>
      </c>
      <c r="D79" s="1">
        <v>160</v>
      </c>
      <c r="E79" s="1" t="s">
        <v>21</v>
      </c>
      <c r="F79" s="1">
        <v>14.8</v>
      </c>
      <c r="G79" s="1" t="s">
        <v>20</v>
      </c>
      <c r="H79" s="1">
        <v>0.80600000000000005</v>
      </c>
      <c r="I79" s="1">
        <v>8.06</v>
      </c>
      <c r="J79" s="1">
        <v>6.7000000000000004E-2</v>
      </c>
      <c r="K79" s="4">
        <v>1.7</v>
      </c>
      <c r="L79" s="1">
        <v>0.14499999999999999</v>
      </c>
      <c r="M79" s="1">
        <v>3.69</v>
      </c>
      <c r="N79" s="1">
        <v>3.5000000000000003E-2</v>
      </c>
      <c r="O79" s="2">
        <v>0.89</v>
      </c>
      <c r="P79" s="1">
        <v>6.0000000000000001E-3</v>
      </c>
      <c r="Q79" s="1">
        <v>0.6</v>
      </c>
      <c r="R79" s="1">
        <v>4.7999999999999996E-3</v>
      </c>
      <c r="S79" s="1">
        <v>4.8</v>
      </c>
      <c r="T79" s="1"/>
    </row>
    <row r="80" spans="1:22" customFormat="1" hidden="1">
      <c r="A80" s="8">
        <v>302</v>
      </c>
      <c r="B80" t="s">
        <v>39</v>
      </c>
      <c r="C80" s="1" t="s">
        <v>688</v>
      </c>
      <c r="D80" s="1">
        <v>200</v>
      </c>
      <c r="E80" s="1" t="s">
        <v>21</v>
      </c>
      <c r="F80" s="1">
        <v>18.7</v>
      </c>
      <c r="G80" s="1" t="s">
        <v>20</v>
      </c>
      <c r="H80" s="1">
        <v>0.80600000000000005</v>
      </c>
      <c r="I80" s="1">
        <v>8.06</v>
      </c>
      <c r="J80" s="1">
        <v>6.7000000000000004E-2</v>
      </c>
      <c r="K80" s="4">
        <v>1.7</v>
      </c>
      <c r="L80" s="1">
        <v>0.14499999999999999</v>
      </c>
      <c r="M80" s="1">
        <v>3.69</v>
      </c>
      <c r="N80" s="1">
        <v>3.5000000000000003E-2</v>
      </c>
      <c r="O80" s="2">
        <v>0.89</v>
      </c>
      <c r="P80" s="1">
        <v>6.0000000000000001E-3</v>
      </c>
      <c r="Q80" s="1">
        <v>0.6</v>
      </c>
      <c r="R80" s="1">
        <v>4.7999999999999996E-3</v>
      </c>
      <c r="S80" s="1">
        <v>4.8</v>
      </c>
      <c r="T80" s="1"/>
    </row>
    <row r="81" spans="1:20" customFormat="1" hidden="1">
      <c r="A81" s="8">
        <v>302</v>
      </c>
      <c r="B81" t="s">
        <v>38</v>
      </c>
      <c r="C81" s="1" t="s">
        <v>688</v>
      </c>
      <c r="D81" s="1">
        <v>250</v>
      </c>
      <c r="E81" s="1" t="s">
        <v>21</v>
      </c>
      <c r="F81" s="1">
        <v>23.4</v>
      </c>
      <c r="G81" s="1" t="s">
        <v>20</v>
      </c>
      <c r="H81" s="1">
        <v>0.80600000000000005</v>
      </c>
      <c r="I81" s="1">
        <v>8.06</v>
      </c>
      <c r="J81" s="1">
        <v>6.7000000000000004E-2</v>
      </c>
      <c r="K81" s="4">
        <v>1.7</v>
      </c>
      <c r="L81" s="1">
        <v>0.14499999999999999</v>
      </c>
      <c r="M81" s="1">
        <v>3.69</v>
      </c>
      <c r="N81" s="1">
        <v>3.5000000000000003E-2</v>
      </c>
      <c r="O81" s="2">
        <v>0.89</v>
      </c>
      <c r="P81" s="1">
        <v>6.0000000000000001E-3</v>
      </c>
      <c r="Q81" s="1">
        <v>0.6</v>
      </c>
      <c r="R81" s="1">
        <v>4.7999999999999996E-3</v>
      </c>
      <c r="S81" s="1">
        <v>4.8</v>
      </c>
      <c r="T81" s="1"/>
    </row>
    <row r="82" spans="1:20" customFormat="1" hidden="1">
      <c r="A82" s="8">
        <v>402</v>
      </c>
      <c r="B82" t="s">
        <v>37</v>
      </c>
      <c r="C82" s="1" t="s">
        <v>689</v>
      </c>
      <c r="D82" s="1">
        <v>125</v>
      </c>
      <c r="E82" s="1" t="s">
        <v>21</v>
      </c>
      <c r="F82" s="1">
        <v>9.6</v>
      </c>
      <c r="G82" s="1" t="s">
        <v>20</v>
      </c>
      <c r="H82" s="1">
        <v>0.94399999999999995</v>
      </c>
      <c r="I82" s="1">
        <v>9.44</v>
      </c>
      <c r="J82" s="1">
        <v>8.4000000000000005E-2</v>
      </c>
      <c r="K82" s="1">
        <v>2.13</v>
      </c>
      <c r="L82" s="2">
        <v>0.16</v>
      </c>
      <c r="M82" s="1">
        <v>4.07</v>
      </c>
      <c r="N82" s="1">
        <v>3.5000000000000003E-2</v>
      </c>
      <c r="O82" s="2">
        <v>0.89</v>
      </c>
      <c r="P82" s="1">
        <v>5.7999999999999996E-3</v>
      </c>
      <c r="Q82" s="1">
        <v>0.57999999999999996</v>
      </c>
      <c r="R82" s="1">
        <v>5.4999999999999997E-3</v>
      </c>
      <c r="S82" s="1">
        <v>5.5</v>
      </c>
      <c r="T82" s="1"/>
    </row>
    <row r="83" spans="1:20" customFormat="1" hidden="1">
      <c r="A83" s="8">
        <v>402</v>
      </c>
      <c r="B83" t="s">
        <v>36</v>
      </c>
      <c r="C83" s="1" t="s">
        <v>689</v>
      </c>
      <c r="D83" s="1">
        <v>160</v>
      </c>
      <c r="E83" s="1" t="s">
        <v>21</v>
      </c>
      <c r="F83" s="1">
        <v>12.3</v>
      </c>
      <c r="G83" s="1" t="s">
        <v>20</v>
      </c>
      <c r="H83" s="1">
        <v>0.94399999999999995</v>
      </c>
      <c r="I83" s="1">
        <v>9.44</v>
      </c>
      <c r="J83" s="1">
        <v>8.4000000000000005E-2</v>
      </c>
      <c r="K83" s="1">
        <v>2.13</v>
      </c>
      <c r="L83" s="2">
        <v>0.16</v>
      </c>
      <c r="M83" s="1">
        <v>4.07</v>
      </c>
      <c r="N83" s="1">
        <v>3.5000000000000003E-2</v>
      </c>
      <c r="O83" s="2">
        <v>0.89</v>
      </c>
      <c r="P83" s="1">
        <v>5.7999999999999996E-3</v>
      </c>
      <c r="Q83" s="1">
        <v>0.57999999999999996</v>
      </c>
      <c r="R83" s="1">
        <v>5.4999999999999997E-3</v>
      </c>
      <c r="S83" s="1">
        <v>5.5</v>
      </c>
      <c r="T83" s="1"/>
    </row>
    <row r="84" spans="1:20" customFormat="1" hidden="1">
      <c r="A84" s="8">
        <v>402</v>
      </c>
      <c r="B84" t="s">
        <v>35</v>
      </c>
      <c r="C84" s="1" t="s">
        <v>689</v>
      </c>
      <c r="D84" s="1">
        <v>200</v>
      </c>
      <c r="E84" s="1" t="s">
        <v>21</v>
      </c>
      <c r="F84" s="1">
        <v>15.4</v>
      </c>
      <c r="G84" s="1" t="s">
        <v>20</v>
      </c>
      <c r="H84" s="1">
        <v>0.94399999999999995</v>
      </c>
      <c r="I84" s="1">
        <v>9.44</v>
      </c>
      <c r="J84" s="1">
        <v>8.4000000000000005E-2</v>
      </c>
      <c r="K84" s="1">
        <v>2.13</v>
      </c>
      <c r="L84" s="2">
        <v>0.16</v>
      </c>
      <c r="M84" s="1">
        <v>4.07</v>
      </c>
      <c r="N84" s="1">
        <v>3.5000000000000003E-2</v>
      </c>
      <c r="O84" s="2">
        <v>0.89</v>
      </c>
      <c r="P84" s="1">
        <v>5.7999999999999996E-3</v>
      </c>
      <c r="Q84" s="1">
        <v>0.57999999999999996</v>
      </c>
      <c r="R84" s="1">
        <v>5.4999999999999997E-3</v>
      </c>
      <c r="S84" s="1">
        <v>5.5</v>
      </c>
      <c r="T84" s="1"/>
    </row>
    <row r="85" spans="1:20" customFormat="1" hidden="1">
      <c r="A85" s="8">
        <v>402</v>
      </c>
      <c r="B85" t="s">
        <v>34</v>
      </c>
      <c r="C85" s="1" t="s">
        <v>689</v>
      </c>
      <c r="D85" s="1">
        <v>250</v>
      </c>
      <c r="E85" s="1" t="s">
        <v>21</v>
      </c>
      <c r="F85" s="1">
        <v>19.3</v>
      </c>
      <c r="G85" s="1" t="s">
        <v>20</v>
      </c>
      <c r="H85" s="1">
        <v>0.94399999999999995</v>
      </c>
      <c r="I85" s="1">
        <v>9.44</v>
      </c>
      <c r="J85" s="1">
        <v>8.4000000000000005E-2</v>
      </c>
      <c r="K85" s="1">
        <v>2.13</v>
      </c>
      <c r="L85" s="2">
        <v>0.16</v>
      </c>
      <c r="M85" s="1">
        <v>4.07</v>
      </c>
      <c r="N85" s="1">
        <v>3.5000000000000003E-2</v>
      </c>
      <c r="O85" s="2">
        <v>0.89</v>
      </c>
      <c r="P85" s="1">
        <v>5.7999999999999996E-3</v>
      </c>
      <c r="Q85" s="1">
        <v>0.57999999999999996</v>
      </c>
      <c r="R85" s="1">
        <v>5.4999999999999997E-3</v>
      </c>
      <c r="S85" s="1">
        <v>5.5</v>
      </c>
      <c r="T85" s="1"/>
    </row>
    <row r="86" spans="1:20" customFormat="1" hidden="1">
      <c r="A86" s="8">
        <v>502</v>
      </c>
      <c r="B86" t="s">
        <v>33</v>
      </c>
      <c r="C86" s="1" t="s">
        <v>686</v>
      </c>
      <c r="D86" s="1">
        <v>125</v>
      </c>
      <c r="E86" s="1" t="s">
        <v>21</v>
      </c>
      <c r="F86" s="1">
        <v>11.7</v>
      </c>
      <c r="G86" s="1" t="s">
        <v>20</v>
      </c>
      <c r="H86" s="1">
        <v>1.06</v>
      </c>
      <c r="I86" s="1">
        <v>10.6</v>
      </c>
      <c r="J86" s="1">
        <v>8.8999999999999996E-2</v>
      </c>
      <c r="K86" s="1">
        <v>2.2599999999999998</v>
      </c>
      <c r="L86" s="1">
        <v>0.186</v>
      </c>
      <c r="M86" s="1">
        <v>4.7300000000000004</v>
      </c>
      <c r="N86" s="1">
        <v>3.5000000000000003E-2</v>
      </c>
      <c r="O86" s="2">
        <v>0.89</v>
      </c>
      <c r="P86" s="1">
        <v>7.9000000000000008E-3</v>
      </c>
      <c r="Q86" s="1">
        <v>0.79</v>
      </c>
      <c r="R86" s="1">
        <v>8.3000000000000001E-3</v>
      </c>
      <c r="S86" s="1">
        <v>8.3000000000000007</v>
      </c>
      <c r="T86" s="1"/>
    </row>
    <row r="87" spans="1:20" customFormat="1" hidden="1">
      <c r="A87" s="8">
        <v>502</v>
      </c>
      <c r="B87" t="s">
        <v>32</v>
      </c>
      <c r="C87" s="1" t="s">
        <v>686</v>
      </c>
      <c r="D87" s="1">
        <v>160</v>
      </c>
      <c r="E87" s="1" t="s">
        <v>21</v>
      </c>
      <c r="F87" s="5">
        <v>15</v>
      </c>
      <c r="G87" s="1" t="s">
        <v>20</v>
      </c>
      <c r="H87" s="1">
        <v>1.06</v>
      </c>
      <c r="I87" s="1">
        <v>10.6</v>
      </c>
      <c r="J87" s="1">
        <v>8.8999999999999996E-2</v>
      </c>
      <c r="K87" s="1">
        <v>2.2599999999999998</v>
      </c>
      <c r="L87" s="1">
        <v>0.186</v>
      </c>
      <c r="M87" s="1">
        <v>4.7300000000000004</v>
      </c>
      <c r="N87" s="1">
        <v>3.5000000000000003E-2</v>
      </c>
      <c r="O87" s="2">
        <v>0.89</v>
      </c>
      <c r="P87" s="1">
        <v>7.9000000000000008E-3</v>
      </c>
      <c r="Q87" s="1">
        <v>0.79</v>
      </c>
      <c r="R87" s="1">
        <v>8.3000000000000001E-3</v>
      </c>
      <c r="S87" s="1">
        <v>8.3000000000000007</v>
      </c>
      <c r="T87" s="1"/>
    </row>
    <row r="88" spans="1:20" customFormat="1" hidden="1">
      <c r="A88" s="8">
        <v>502</v>
      </c>
      <c r="B88" t="s">
        <v>31</v>
      </c>
      <c r="C88" s="1" t="s">
        <v>686</v>
      </c>
      <c r="D88" s="1">
        <v>200</v>
      </c>
      <c r="E88" s="1" t="s">
        <v>21</v>
      </c>
      <c r="F88" s="1">
        <v>18.7</v>
      </c>
      <c r="G88" s="1" t="s">
        <v>20</v>
      </c>
      <c r="H88" s="1">
        <v>1.06</v>
      </c>
      <c r="I88" s="1">
        <v>10.6</v>
      </c>
      <c r="J88" s="1">
        <v>8.8999999999999996E-2</v>
      </c>
      <c r="K88" s="1">
        <v>2.2599999999999998</v>
      </c>
      <c r="L88" s="1">
        <v>0.186</v>
      </c>
      <c r="M88" s="1">
        <v>4.7300000000000004</v>
      </c>
      <c r="N88" s="1">
        <v>3.5000000000000003E-2</v>
      </c>
      <c r="O88" s="2">
        <v>0.89</v>
      </c>
      <c r="P88" s="1">
        <v>7.9000000000000008E-3</v>
      </c>
      <c r="Q88" s="1">
        <v>0.79</v>
      </c>
      <c r="R88" s="1">
        <v>8.3000000000000001E-3</v>
      </c>
      <c r="S88" s="1">
        <v>8.3000000000000007</v>
      </c>
      <c r="T88" s="1"/>
    </row>
    <row r="89" spans="1:20" customFormat="1" hidden="1">
      <c r="A89" s="8">
        <v>502</v>
      </c>
      <c r="B89" t="s">
        <v>30</v>
      </c>
      <c r="C89" s="1" t="s">
        <v>686</v>
      </c>
      <c r="D89" s="1">
        <v>250</v>
      </c>
      <c r="E89" s="1" t="s">
        <v>21</v>
      </c>
      <c r="F89" s="1">
        <v>23.4</v>
      </c>
      <c r="G89" s="1" t="s">
        <v>20</v>
      </c>
      <c r="H89" s="1">
        <v>1.06</v>
      </c>
      <c r="I89" s="1">
        <v>10.6</v>
      </c>
      <c r="J89" s="1">
        <v>8.8999999999999996E-2</v>
      </c>
      <c r="K89" s="1">
        <v>2.2599999999999998</v>
      </c>
      <c r="L89" s="1">
        <v>0.186</v>
      </c>
      <c r="M89" s="1">
        <v>4.7300000000000004</v>
      </c>
      <c r="N89" s="1">
        <v>3.5000000000000003E-2</v>
      </c>
      <c r="O89" s="2">
        <v>0.89</v>
      </c>
      <c r="P89" s="1">
        <v>7.9000000000000008E-3</v>
      </c>
      <c r="Q89" s="1">
        <v>0.79</v>
      </c>
      <c r="R89" s="1">
        <v>8.3000000000000001E-3</v>
      </c>
      <c r="S89" s="1">
        <v>8.3000000000000007</v>
      </c>
      <c r="T89" s="1"/>
    </row>
    <row r="90" spans="1:20" customFormat="1" hidden="1">
      <c r="A90" s="8">
        <v>603</v>
      </c>
      <c r="B90" t="s">
        <v>29</v>
      </c>
      <c r="C90" s="1" t="s">
        <v>690</v>
      </c>
      <c r="D90" s="1">
        <v>125</v>
      </c>
      <c r="E90" s="1" t="s">
        <v>21</v>
      </c>
      <c r="F90" s="1">
        <v>14.9</v>
      </c>
      <c r="G90" s="1" t="s">
        <v>20</v>
      </c>
      <c r="H90" s="1">
        <v>1.36</v>
      </c>
      <c r="I90" s="1">
        <v>13.6</v>
      </c>
      <c r="J90" s="1">
        <v>0.105</v>
      </c>
      <c r="K90" s="1">
        <v>2.67</v>
      </c>
      <c r="L90" s="1">
        <v>0.255</v>
      </c>
      <c r="M90" s="1">
        <v>6.48</v>
      </c>
      <c r="N90" s="1">
        <v>3.5000000000000003E-2</v>
      </c>
      <c r="O90" s="2">
        <v>0.89</v>
      </c>
      <c r="P90" s="1">
        <v>1.2999999999999999E-2</v>
      </c>
      <c r="Q90" s="1">
        <v>1.3</v>
      </c>
      <c r="R90" s="1">
        <v>1.77E-2</v>
      </c>
      <c r="S90" s="1">
        <v>17.7</v>
      </c>
      <c r="T90" s="1"/>
    </row>
    <row r="91" spans="1:20" customFormat="1" hidden="1">
      <c r="A91" s="8">
        <v>603</v>
      </c>
      <c r="B91" t="s">
        <v>28</v>
      </c>
      <c r="C91" s="1" t="s">
        <v>690</v>
      </c>
      <c r="D91" s="1">
        <v>160</v>
      </c>
      <c r="E91" s="1" t="s">
        <v>21</v>
      </c>
      <c r="F91" s="1">
        <v>19.100000000000001</v>
      </c>
      <c r="G91" s="1" t="s">
        <v>20</v>
      </c>
      <c r="H91" s="1">
        <v>1.36</v>
      </c>
      <c r="I91" s="1">
        <v>13.6</v>
      </c>
      <c r="J91" s="1">
        <v>0.105</v>
      </c>
      <c r="K91" s="1">
        <v>2.67</v>
      </c>
      <c r="L91" s="1">
        <v>0.255</v>
      </c>
      <c r="M91" s="1">
        <v>6.48</v>
      </c>
      <c r="N91" s="1">
        <v>3.5000000000000003E-2</v>
      </c>
      <c r="O91" s="2">
        <v>0.89</v>
      </c>
      <c r="P91" s="1">
        <v>1.2999999999999999E-2</v>
      </c>
      <c r="Q91" s="1">
        <v>1.3</v>
      </c>
      <c r="R91" s="1">
        <v>1.77E-2</v>
      </c>
      <c r="S91" s="1">
        <v>17.7</v>
      </c>
      <c r="T91" s="1"/>
    </row>
    <row r="92" spans="1:20" customFormat="1" hidden="1">
      <c r="A92" s="8">
        <v>603</v>
      </c>
      <c r="B92" t="s">
        <v>27</v>
      </c>
      <c r="C92" s="1" t="s">
        <v>690</v>
      </c>
      <c r="D92" s="1">
        <v>200</v>
      </c>
      <c r="E92" s="1" t="s">
        <v>21</v>
      </c>
      <c r="F92" s="5">
        <v>24</v>
      </c>
      <c r="G92" s="1" t="s">
        <v>20</v>
      </c>
      <c r="H92" s="1">
        <v>1.36</v>
      </c>
      <c r="I92" s="1">
        <v>13.6</v>
      </c>
      <c r="J92" s="1">
        <v>0.105</v>
      </c>
      <c r="K92" s="1">
        <v>2.67</v>
      </c>
      <c r="L92" s="1">
        <v>0.255</v>
      </c>
      <c r="M92" s="1">
        <v>6.48</v>
      </c>
      <c r="N92" s="1">
        <v>3.5000000000000003E-2</v>
      </c>
      <c r="O92" s="2">
        <v>0.89</v>
      </c>
      <c r="P92" s="1">
        <v>1.2999999999999999E-2</v>
      </c>
      <c r="Q92" s="1">
        <v>1.3</v>
      </c>
      <c r="R92" s="1">
        <v>1.77E-2</v>
      </c>
      <c r="S92" s="1">
        <v>17.7</v>
      </c>
      <c r="T92" s="1"/>
    </row>
    <row r="93" spans="1:20" customFormat="1" hidden="1">
      <c r="A93" s="8">
        <v>603</v>
      </c>
      <c r="B93" t="s">
        <v>26</v>
      </c>
      <c r="C93" s="1" t="s">
        <v>690</v>
      </c>
      <c r="D93" s="1">
        <v>250</v>
      </c>
      <c r="E93" s="1" t="s">
        <v>21</v>
      </c>
      <c r="F93" s="5">
        <v>30</v>
      </c>
      <c r="G93" s="1" t="s">
        <v>20</v>
      </c>
      <c r="H93" s="1">
        <v>1.36</v>
      </c>
      <c r="I93" s="1">
        <v>13.6</v>
      </c>
      <c r="J93" s="1">
        <v>0.105</v>
      </c>
      <c r="K93" s="1">
        <v>2.67</v>
      </c>
      <c r="L93" s="1">
        <v>0.255</v>
      </c>
      <c r="M93" s="1">
        <v>6.48</v>
      </c>
      <c r="N93" s="1">
        <v>3.5000000000000003E-2</v>
      </c>
      <c r="O93" s="2">
        <v>0.89</v>
      </c>
      <c r="P93" s="1">
        <v>1.2999999999999999E-2</v>
      </c>
      <c r="Q93" s="1">
        <v>1.3</v>
      </c>
      <c r="R93" s="1">
        <v>1.77E-2</v>
      </c>
      <c r="S93" s="1">
        <v>17.7</v>
      </c>
      <c r="T93" s="1"/>
    </row>
    <row r="94" spans="1:20" customFormat="1" hidden="1">
      <c r="A94" s="8">
        <v>804</v>
      </c>
      <c r="B94" t="s">
        <v>25</v>
      </c>
      <c r="C94" s="1" t="s">
        <v>691</v>
      </c>
      <c r="D94" s="1">
        <v>125</v>
      </c>
      <c r="E94" s="1" t="s">
        <v>21</v>
      </c>
      <c r="F94" s="1">
        <v>12.6</v>
      </c>
      <c r="G94" s="1" t="s">
        <v>20</v>
      </c>
      <c r="H94" s="1">
        <v>1.79</v>
      </c>
      <c r="I94" s="1">
        <v>17.899999999999999</v>
      </c>
      <c r="J94" s="1">
        <v>0.151</v>
      </c>
      <c r="K94" s="1">
        <v>3.83</v>
      </c>
      <c r="L94" s="1">
        <v>0.316</v>
      </c>
      <c r="M94" s="1">
        <v>8.0299999999999994</v>
      </c>
      <c r="N94" s="1">
        <v>3.5000000000000003E-2</v>
      </c>
      <c r="O94" s="2">
        <v>0.89</v>
      </c>
      <c r="P94" s="1">
        <v>1.4500000000000001E-2</v>
      </c>
      <c r="Q94" s="1">
        <v>1.4500000000000002</v>
      </c>
      <c r="R94" s="1">
        <v>2.5899999999999999E-2</v>
      </c>
      <c r="S94" s="1">
        <v>25.9</v>
      </c>
      <c r="T94" s="1"/>
    </row>
    <row r="95" spans="1:20" customFormat="1" hidden="1">
      <c r="A95" s="8">
        <v>804</v>
      </c>
      <c r="B95" t="s">
        <v>24</v>
      </c>
      <c r="C95" s="1" t="s">
        <v>691</v>
      </c>
      <c r="D95" s="1">
        <v>160</v>
      </c>
      <c r="E95" s="1" t="s">
        <v>21</v>
      </c>
      <c r="F95" s="1">
        <v>16.2</v>
      </c>
      <c r="G95" s="1" t="s">
        <v>20</v>
      </c>
      <c r="H95" s="1">
        <v>1.79</v>
      </c>
      <c r="I95" s="1">
        <v>17.899999999999999</v>
      </c>
      <c r="J95" s="1">
        <v>0.151</v>
      </c>
      <c r="K95" s="1">
        <v>3.83</v>
      </c>
      <c r="L95" s="1">
        <v>0.316</v>
      </c>
      <c r="M95" s="1">
        <v>8.0299999999999994</v>
      </c>
      <c r="N95" s="1">
        <v>3.5000000000000003E-2</v>
      </c>
      <c r="O95" s="2">
        <v>0.89</v>
      </c>
      <c r="P95" s="1">
        <v>1.4500000000000001E-2</v>
      </c>
      <c r="Q95" s="1">
        <v>1.4500000000000002</v>
      </c>
      <c r="R95" s="1">
        <v>2.5899999999999999E-2</v>
      </c>
      <c r="S95" s="1">
        <v>25.9</v>
      </c>
      <c r="T95" s="1"/>
    </row>
    <row r="96" spans="1:20" customFormat="1" hidden="1">
      <c r="A96" s="8">
        <v>804</v>
      </c>
      <c r="B96" t="s">
        <v>23</v>
      </c>
      <c r="C96" s="1" t="s">
        <v>691</v>
      </c>
      <c r="D96" s="1">
        <v>200</v>
      </c>
      <c r="E96" s="1" t="s">
        <v>21</v>
      </c>
      <c r="F96" s="1">
        <v>20.2</v>
      </c>
      <c r="G96" s="1" t="s">
        <v>20</v>
      </c>
      <c r="H96" s="1">
        <v>1.79</v>
      </c>
      <c r="I96" s="1">
        <v>17.899999999999999</v>
      </c>
      <c r="J96" s="1">
        <v>0.151</v>
      </c>
      <c r="K96" s="1">
        <v>3.83</v>
      </c>
      <c r="L96" s="1">
        <v>0.316</v>
      </c>
      <c r="M96" s="1">
        <v>8.0299999999999994</v>
      </c>
      <c r="N96" s="1">
        <v>3.5000000000000003E-2</v>
      </c>
      <c r="O96" s="2">
        <v>0.89</v>
      </c>
      <c r="P96" s="1">
        <v>1.4500000000000001E-2</v>
      </c>
      <c r="Q96" s="1">
        <v>1.4500000000000002</v>
      </c>
      <c r="R96" s="1">
        <v>2.5899999999999999E-2</v>
      </c>
      <c r="S96" s="1">
        <v>25.9</v>
      </c>
      <c r="T96" s="1"/>
    </row>
    <row r="97" spans="1:20" customFormat="1" hidden="1">
      <c r="A97" s="8">
        <v>804</v>
      </c>
      <c r="B97" t="s">
        <v>22</v>
      </c>
      <c r="C97" s="1" t="s">
        <v>691</v>
      </c>
      <c r="D97" s="1">
        <v>250</v>
      </c>
      <c r="E97" s="1" t="s">
        <v>21</v>
      </c>
      <c r="F97" s="1">
        <v>25.3</v>
      </c>
      <c r="G97" s="1" t="s">
        <v>20</v>
      </c>
      <c r="H97" s="1">
        <v>1.79</v>
      </c>
      <c r="I97" s="1">
        <v>17.899999999999999</v>
      </c>
      <c r="J97" s="1">
        <v>0.151</v>
      </c>
      <c r="K97" s="1">
        <v>3.83</v>
      </c>
      <c r="L97" s="1">
        <v>0.316</v>
      </c>
      <c r="M97" s="1">
        <v>8.0299999999999994</v>
      </c>
      <c r="N97" s="1">
        <v>3.5000000000000003E-2</v>
      </c>
      <c r="O97" s="2">
        <v>0.89</v>
      </c>
      <c r="P97" s="1">
        <v>1.4500000000000001E-2</v>
      </c>
      <c r="Q97" s="1">
        <v>1.4500000000000002</v>
      </c>
      <c r="R97" s="1">
        <v>2.5899999999999999E-2</v>
      </c>
      <c r="S97" s="1">
        <v>25.9</v>
      </c>
      <c r="T97" s="1"/>
    </row>
    <row r="98" spans="1:20" customFormat="1" hidden="1">
      <c r="A98" s="7" t="s">
        <v>659</v>
      </c>
      <c r="B98" t="s">
        <v>368</v>
      </c>
      <c r="C98" s="1" t="s">
        <v>659</v>
      </c>
      <c r="D98" s="1">
        <v>26</v>
      </c>
      <c r="E98" s="1" t="s">
        <v>298</v>
      </c>
      <c r="F98" s="1">
        <v>30</v>
      </c>
      <c r="G98" s="1" t="s">
        <v>697</v>
      </c>
      <c r="H98" s="1">
        <v>35.700000000000003</v>
      </c>
      <c r="I98" s="1">
        <v>357</v>
      </c>
      <c r="J98" s="1">
        <v>2.25</v>
      </c>
      <c r="K98" s="1">
        <v>57.2</v>
      </c>
      <c r="L98" s="4">
        <v>6.25</v>
      </c>
      <c r="M98" s="1">
        <v>159</v>
      </c>
      <c r="N98" s="1">
        <v>0.65</v>
      </c>
      <c r="O98" s="1">
        <v>16.5</v>
      </c>
      <c r="P98" s="1">
        <v>3.56</v>
      </c>
      <c r="Q98" s="1">
        <v>356</v>
      </c>
      <c r="R98" s="1">
        <v>127</v>
      </c>
      <c r="S98" s="1">
        <v>127000</v>
      </c>
      <c r="T98" s="1"/>
    </row>
    <row r="99" spans="1:20" customFormat="1" hidden="1">
      <c r="A99" s="7" t="s">
        <v>660</v>
      </c>
      <c r="B99" t="s">
        <v>367</v>
      </c>
      <c r="C99" s="1" t="s">
        <v>660</v>
      </c>
      <c r="D99" s="1">
        <v>26</v>
      </c>
      <c r="E99" s="1" t="s">
        <v>298</v>
      </c>
      <c r="F99" s="1">
        <v>254</v>
      </c>
      <c r="G99" s="1" t="s">
        <v>297</v>
      </c>
      <c r="H99" s="1">
        <v>21.9</v>
      </c>
      <c r="I99" s="1">
        <v>219</v>
      </c>
      <c r="J99" s="1">
        <v>1.292</v>
      </c>
      <c r="K99" s="1">
        <v>32.82</v>
      </c>
      <c r="L99" s="2">
        <v>5.28</v>
      </c>
      <c r="M99" s="1">
        <v>134.1</v>
      </c>
      <c r="N99" s="2">
        <v>2.17</v>
      </c>
      <c r="O99" s="1">
        <v>55.12</v>
      </c>
      <c r="P99" s="1">
        <v>10.8</v>
      </c>
      <c r="Q99" s="1">
        <v>1080</v>
      </c>
      <c r="R99" s="1">
        <v>237</v>
      </c>
      <c r="S99" s="1">
        <v>237000</v>
      </c>
      <c r="T99" s="1"/>
    </row>
    <row r="100" spans="1:20" customFormat="1" hidden="1">
      <c r="A100" s="7" t="s">
        <v>661</v>
      </c>
      <c r="B100" t="s">
        <v>366</v>
      </c>
      <c r="C100" s="1" t="s">
        <v>661</v>
      </c>
      <c r="D100" s="1">
        <v>26</v>
      </c>
      <c r="E100" s="1" t="s">
        <v>298</v>
      </c>
      <c r="F100" s="1">
        <v>46</v>
      </c>
      <c r="G100" s="1" t="s">
        <v>697</v>
      </c>
      <c r="H100" s="1">
        <v>47.7</v>
      </c>
      <c r="I100" s="1">
        <v>477</v>
      </c>
      <c r="J100" s="1">
        <v>3.09</v>
      </c>
      <c r="K100" s="1">
        <v>78.599999999999994</v>
      </c>
      <c r="L100" s="1">
        <v>8.2200000000000006</v>
      </c>
      <c r="M100" s="1">
        <v>209</v>
      </c>
      <c r="N100" s="4">
        <v>1</v>
      </c>
      <c r="O100" s="1">
        <v>25.4</v>
      </c>
      <c r="P100" s="1">
        <v>6.69</v>
      </c>
      <c r="Q100" s="1">
        <v>669</v>
      </c>
      <c r="R100" s="1">
        <v>319</v>
      </c>
      <c r="S100" s="1">
        <v>319000</v>
      </c>
      <c r="T100" s="1"/>
    </row>
    <row r="101" spans="1:20" customFormat="1" hidden="1">
      <c r="A101" s="7" t="s">
        <v>662</v>
      </c>
      <c r="B101" t="s">
        <v>365</v>
      </c>
      <c r="C101" s="1" t="s">
        <v>662</v>
      </c>
      <c r="D101" s="1">
        <v>26</v>
      </c>
      <c r="E101" s="1" t="s">
        <v>298</v>
      </c>
      <c r="F101" s="1">
        <v>180</v>
      </c>
      <c r="G101" s="1" t="s">
        <v>297</v>
      </c>
      <c r="H101" s="1">
        <v>27.3</v>
      </c>
      <c r="I101" s="1">
        <v>273</v>
      </c>
      <c r="J101" s="1">
        <v>1.5249999999999999</v>
      </c>
      <c r="K101" s="1">
        <v>38.74</v>
      </c>
      <c r="L101" s="2">
        <v>6.4</v>
      </c>
      <c r="M101" s="1">
        <v>162.6</v>
      </c>
      <c r="N101" s="2">
        <v>1.61</v>
      </c>
      <c r="O101" s="1">
        <v>40.89</v>
      </c>
      <c r="P101" s="1">
        <v>7.78</v>
      </c>
      <c r="Q101" s="1">
        <v>778</v>
      </c>
      <c r="R101" s="1">
        <v>212</v>
      </c>
      <c r="S101" s="1">
        <v>212000</v>
      </c>
      <c r="T101" s="1"/>
    </row>
    <row r="102" spans="1:20" customFormat="1" hidden="1">
      <c r="A102" s="8">
        <v>1808</v>
      </c>
      <c r="B102" t="s">
        <v>364</v>
      </c>
      <c r="C102" s="1" t="s">
        <v>663</v>
      </c>
      <c r="D102" s="1">
        <v>26</v>
      </c>
      <c r="E102" s="1" t="s">
        <v>298</v>
      </c>
      <c r="F102" s="1">
        <v>26</v>
      </c>
      <c r="G102" s="1" t="s">
        <v>297</v>
      </c>
      <c r="H102" s="1">
        <v>4.01</v>
      </c>
      <c r="I102" s="1">
        <v>40.099999999999994</v>
      </c>
      <c r="J102" s="1">
        <v>0.32600000000000001</v>
      </c>
      <c r="K102" s="1">
        <v>8.2799999999999994</v>
      </c>
      <c r="L102" s="1">
        <v>0.77200000000000002</v>
      </c>
      <c r="M102" s="1">
        <v>19.600000000000001</v>
      </c>
      <c r="N102" s="1">
        <v>0.19400000000000001</v>
      </c>
      <c r="O102" s="1">
        <v>4.93</v>
      </c>
      <c r="P102" s="1">
        <v>0.22800000000000001</v>
      </c>
      <c r="Q102" s="1">
        <v>22.8</v>
      </c>
      <c r="R102" s="1">
        <v>0.91400000000000003</v>
      </c>
      <c r="S102" s="1">
        <v>914</v>
      </c>
      <c r="T102" s="1"/>
    </row>
    <row r="103" spans="1:20" customFormat="1" hidden="1">
      <c r="A103" s="8">
        <v>1808</v>
      </c>
      <c r="B103" t="s">
        <v>363</v>
      </c>
      <c r="C103" s="1" t="s">
        <v>663</v>
      </c>
      <c r="D103" s="1">
        <v>40</v>
      </c>
      <c r="E103" s="1" t="s">
        <v>298</v>
      </c>
      <c r="F103" s="1">
        <v>35</v>
      </c>
      <c r="G103" s="1" t="s">
        <v>297</v>
      </c>
      <c r="H103" s="1">
        <v>4.01</v>
      </c>
      <c r="I103" s="1">
        <v>40.099999999999994</v>
      </c>
      <c r="J103" s="1">
        <v>0.32600000000000001</v>
      </c>
      <c r="K103" s="1">
        <v>8.2799999999999994</v>
      </c>
      <c r="L103" s="1">
        <v>0.77200000000000002</v>
      </c>
      <c r="M103" s="1">
        <v>19.600000000000001</v>
      </c>
      <c r="N103" s="1">
        <v>0.19400000000000001</v>
      </c>
      <c r="O103" s="1">
        <v>4.93</v>
      </c>
      <c r="P103" s="1">
        <v>0.22800000000000001</v>
      </c>
      <c r="Q103" s="1">
        <v>22.8</v>
      </c>
      <c r="R103" s="1">
        <v>0.91400000000000003</v>
      </c>
      <c r="S103" s="1">
        <v>914</v>
      </c>
      <c r="T103" s="1"/>
    </row>
    <row r="104" spans="1:20" customFormat="1" hidden="1">
      <c r="A104" s="8">
        <v>1808</v>
      </c>
      <c r="B104" t="s">
        <v>362</v>
      </c>
      <c r="C104" s="1" t="s">
        <v>663</v>
      </c>
      <c r="D104" s="1">
        <v>60</v>
      </c>
      <c r="E104" s="1" t="s">
        <v>298</v>
      </c>
      <c r="F104" s="1">
        <v>48</v>
      </c>
      <c r="G104" s="1" t="s">
        <v>297</v>
      </c>
      <c r="H104" s="1">
        <v>4.01</v>
      </c>
      <c r="I104" s="1">
        <v>40.099999999999994</v>
      </c>
      <c r="J104" s="1">
        <v>0.32600000000000001</v>
      </c>
      <c r="K104" s="1">
        <v>8.2799999999999994</v>
      </c>
      <c r="L104" s="1">
        <v>0.77200000000000002</v>
      </c>
      <c r="M104" s="1">
        <v>19.600000000000001</v>
      </c>
      <c r="N104" s="1">
        <v>0.19400000000000001</v>
      </c>
      <c r="O104" s="1">
        <v>4.93</v>
      </c>
      <c r="P104" s="1">
        <v>0.22800000000000001</v>
      </c>
      <c r="Q104" s="1">
        <v>22.8</v>
      </c>
      <c r="R104" s="1">
        <v>0.91400000000000003</v>
      </c>
      <c r="S104" s="1">
        <v>914</v>
      </c>
      <c r="T104" s="1"/>
    </row>
    <row r="105" spans="1:20" customFormat="1" hidden="1">
      <c r="A105" s="8">
        <v>1808</v>
      </c>
      <c r="B105" t="s">
        <v>361</v>
      </c>
      <c r="C105" s="1" t="s">
        <v>663</v>
      </c>
      <c r="D105" s="1">
        <v>90</v>
      </c>
      <c r="E105" s="1" t="s">
        <v>298</v>
      </c>
      <c r="F105" s="1">
        <v>69</v>
      </c>
      <c r="G105" s="1" t="s">
        <v>297</v>
      </c>
      <c r="H105" s="1">
        <v>4.01</v>
      </c>
      <c r="I105" s="1">
        <v>40.099999999999994</v>
      </c>
      <c r="J105" s="1">
        <v>0.32600000000000001</v>
      </c>
      <c r="K105" s="1">
        <v>8.2799999999999994</v>
      </c>
      <c r="L105" s="1">
        <v>0.77200000000000002</v>
      </c>
      <c r="M105" s="1">
        <v>19.600000000000001</v>
      </c>
      <c r="N105" s="1">
        <v>0.19400000000000001</v>
      </c>
      <c r="O105" s="1">
        <v>4.93</v>
      </c>
      <c r="P105" s="1">
        <v>0.22800000000000001</v>
      </c>
      <c r="Q105" s="1">
        <v>22.8</v>
      </c>
      <c r="R105" s="1">
        <v>0.91400000000000003</v>
      </c>
      <c r="S105" s="1">
        <v>914</v>
      </c>
      <c r="T105" s="1"/>
    </row>
    <row r="106" spans="1:20" customFormat="1" hidden="1">
      <c r="A106" s="8">
        <v>2510</v>
      </c>
      <c r="B106" t="s">
        <v>360</v>
      </c>
      <c r="C106" s="1" t="s">
        <v>664</v>
      </c>
      <c r="D106" s="1">
        <v>26</v>
      </c>
      <c r="E106" s="1" t="s">
        <v>298</v>
      </c>
      <c r="F106" s="1">
        <v>39</v>
      </c>
      <c r="G106" s="1" t="s">
        <v>297</v>
      </c>
      <c r="H106" s="1">
        <v>4.8500000000000005</v>
      </c>
      <c r="I106" s="1">
        <v>48.500000000000007</v>
      </c>
      <c r="J106" s="1">
        <v>0.38200000000000001</v>
      </c>
      <c r="K106" s="4">
        <v>9.6999999999999993</v>
      </c>
      <c r="L106" s="1">
        <v>1.0149999999999999</v>
      </c>
      <c r="M106" s="1">
        <v>25.78</v>
      </c>
      <c r="N106" s="1">
        <v>0.254</v>
      </c>
      <c r="O106" s="1">
        <v>6.45</v>
      </c>
      <c r="P106" s="1">
        <v>0.38500000000000001</v>
      </c>
      <c r="Q106" s="1">
        <v>38.5</v>
      </c>
      <c r="R106" s="2">
        <v>1.87</v>
      </c>
      <c r="S106" s="1">
        <v>1870</v>
      </c>
      <c r="T106" s="1"/>
    </row>
    <row r="107" spans="1:20" customFormat="1" hidden="1">
      <c r="A107" s="8">
        <v>2510</v>
      </c>
      <c r="B107" t="s">
        <v>359</v>
      </c>
      <c r="C107" s="1" t="s">
        <v>664</v>
      </c>
      <c r="D107" s="1">
        <v>40</v>
      </c>
      <c r="E107" s="1" t="s">
        <v>298</v>
      </c>
      <c r="F107" s="1">
        <v>52</v>
      </c>
      <c r="G107" s="1" t="s">
        <v>297</v>
      </c>
      <c r="H107" s="1">
        <v>4.8500000000000005</v>
      </c>
      <c r="I107" s="1">
        <v>48.500000000000007</v>
      </c>
      <c r="J107" s="1">
        <v>0.38200000000000001</v>
      </c>
      <c r="K107" s="4">
        <v>9.6999999999999993</v>
      </c>
      <c r="L107" s="1">
        <v>1.0149999999999999</v>
      </c>
      <c r="M107" s="1">
        <v>25.78</v>
      </c>
      <c r="N107" s="1">
        <v>0.254</v>
      </c>
      <c r="O107" s="1">
        <v>6.45</v>
      </c>
      <c r="P107" s="1">
        <v>0.38500000000000001</v>
      </c>
      <c r="Q107" s="1">
        <v>38.5</v>
      </c>
      <c r="R107" s="2">
        <v>1.87</v>
      </c>
      <c r="S107" s="1">
        <v>1870</v>
      </c>
      <c r="T107" s="1"/>
    </row>
    <row r="108" spans="1:20" customFormat="1" hidden="1">
      <c r="A108" s="8">
        <v>2510</v>
      </c>
      <c r="B108" t="s">
        <v>358</v>
      </c>
      <c r="C108" s="1" t="s">
        <v>664</v>
      </c>
      <c r="D108" s="1">
        <v>60</v>
      </c>
      <c r="E108" s="1" t="s">
        <v>298</v>
      </c>
      <c r="F108" s="1">
        <v>70</v>
      </c>
      <c r="G108" s="1" t="s">
        <v>297</v>
      </c>
      <c r="H108" s="1">
        <v>4.8500000000000005</v>
      </c>
      <c r="I108" s="1">
        <v>48.500000000000007</v>
      </c>
      <c r="J108" s="1">
        <v>0.38200000000000001</v>
      </c>
      <c r="K108" s="4">
        <v>9.6999999999999993</v>
      </c>
      <c r="L108" s="1">
        <v>1.0149999999999999</v>
      </c>
      <c r="M108" s="1">
        <v>25.78</v>
      </c>
      <c r="N108" s="1">
        <v>0.254</v>
      </c>
      <c r="O108" s="1">
        <v>6.45</v>
      </c>
      <c r="P108" s="1">
        <v>0.38500000000000001</v>
      </c>
      <c r="Q108" s="1">
        <v>38.5</v>
      </c>
      <c r="R108" s="2">
        <v>1.87</v>
      </c>
      <c r="S108" s="1">
        <v>1870</v>
      </c>
      <c r="T108" s="1"/>
    </row>
    <row r="109" spans="1:20" customFormat="1" hidden="1">
      <c r="A109" s="8">
        <v>2510</v>
      </c>
      <c r="B109" t="s">
        <v>357</v>
      </c>
      <c r="C109" s="1" t="s">
        <v>664</v>
      </c>
      <c r="D109" s="1">
        <v>90</v>
      </c>
      <c r="E109" s="1" t="s">
        <v>298</v>
      </c>
      <c r="F109" s="1">
        <v>100</v>
      </c>
      <c r="G109" s="1" t="s">
        <v>297</v>
      </c>
      <c r="H109" s="1">
        <v>4.8500000000000005</v>
      </c>
      <c r="I109" s="1">
        <v>48.500000000000007</v>
      </c>
      <c r="J109" s="1">
        <v>0.38200000000000001</v>
      </c>
      <c r="K109" s="4">
        <v>9.6999999999999993</v>
      </c>
      <c r="L109" s="1">
        <v>1.0149999999999999</v>
      </c>
      <c r="M109" s="1">
        <v>25.78</v>
      </c>
      <c r="N109" s="1">
        <v>0.254</v>
      </c>
      <c r="O109" s="1">
        <v>6.45</v>
      </c>
      <c r="P109" s="1">
        <v>0.38500000000000001</v>
      </c>
      <c r="Q109" s="1">
        <v>38.5</v>
      </c>
      <c r="R109" s="2">
        <v>1.87</v>
      </c>
      <c r="S109" s="1">
        <v>1870</v>
      </c>
      <c r="T109" s="1"/>
    </row>
    <row r="110" spans="1:20" customFormat="1" hidden="1">
      <c r="A110" s="8">
        <v>3007</v>
      </c>
      <c r="B110" t="s">
        <v>356</v>
      </c>
      <c r="C110" s="1" t="s">
        <v>665</v>
      </c>
      <c r="D110" s="1">
        <v>26</v>
      </c>
      <c r="E110" s="1" t="s">
        <v>298</v>
      </c>
      <c r="F110" s="1">
        <v>33</v>
      </c>
      <c r="G110" s="1" t="s">
        <v>297</v>
      </c>
      <c r="H110" s="1">
        <v>6.56</v>
      </c>
      <c r="I110" s="1">
        <v>65.599999999999994</v>
      </c>
      <c r="J110" s="2">
        <v>0.6</v>
      </c>
      <c r="K110" s="1">
        <v>15.3</v>
      </c>
      <c r="L110" s="1">
        <v>1.2030000000000001</v>
      </c>
      <c r="M110" s="1">
        <v>30.56</v>
      </c>
      <c r="N110" s="1">
        <v>0.28399999999999997</v>
      </c>
      <c r="O110" s="1">
        <v>7.21</v>
      </c>
      <c r="P110" s="1">
        <v>0.60099999999999998</v>
      </c>
      <c r="Q110" s="1">
        <v>60.099999999999994</v>
      </c>
      <c r="R110" s="2">
        <v>3.94</v>
      </c>
      <c r="S110" s="1">
        <v>3940</v>
      </c>
      <c r="T110" s="1"/>
    </row>
    <row r="111" spans="1:20" customFormat="1" hidden="1">
      <c r="A111" s="8">
        <v>3007</v>
      </c>
      <c r="B111" t="s">
        <v>355</v>
      </c>
      <c r="C111" s="1" t="s">
        <v>665</v>
      </c>
      <c r="D111" s="1">
        <v>40</v>
      </c>
      <c r="E111" s="1" t="s">
        <v>298</v>
      </c>
      <c r="F111" s="1">
        <v>46</v>
      </c>
      <c r="G111" s="1" t="s">
        <v>297</v>
      </c>
      <c r="H111" s="1">
        <v>6.56</v>
      </c>
      <c r="I111" s="1">
        <v>65.599999999999994</v>
      </c>
      <c r="J111" s="2">
        <v>0.6</v>
      </c>
      <c r="K111" s="1">
        <v>15.3</v>
      </c>
      <c r="L111" s="1">
        <v>1.2030000000000001</v>
      </c>
      <c r="M111" s="1">
        <v>30.56</v>
      </c>
      <c r="N111" s="1">
        <v>0.28399999999999997</v>
      </c>
      <c r="O111" s="1">
        <v>7.21</v>
      </c>
      <c r="P111" s="1">
        <v>0.60099999999999998</v>
      </c>
      <c r="Q111" s="1">
        <v>60.099999999999994</v>
      </c>
      <c r="R111" s="2">
        <v>3.94</v>
      </c>
      <c r="S111" s="1">
        <v>3940</v>
      </c>
      <c r="T111" s="1"/>
    </row>
    <row r="112" spans="1:20" customFormat="1" hidden="1">
      <c r="A112" s="8">
        <v>3007</v>
      </c>
      <c r="B112" t="s">
        <v>354</v>
      </c>
      <c r="C112" s="1" t="s">
        <v>665</v>
      </c>
      <c r="D112" s="1">
        <v>60</v>
      </c>
      <c r="E112" s="1" t="s">
        <v>298</v>
      </c>
      <c r="F112" s="1">
        <v>71</v>
      </c>
      <c r="G112" s="1" t="s">
        <v>297</v>
      </c>
      <c r="H112" s="1">
        <v>6.56</v>
      </c>
      <c r="I112" s="1">
        <v>65.599999999999994</v>
      </c>
      <c r="J112" s="2">
        <v>0.6</v>
      </c>
      <c r="K112" s="1">
        <v>15.3</v>
      </c>
      <c r="L112" s="1">
        <v>1.2030000000000001</v>
      </c>
      <c r="M112" s="1">
        <v>30.56</v>
      </c>
      <c r="N112" s="1">
        <v>0.28399999999999997</v>
      </c>
      <c r="O112" s="1">
        <v>7.21</v>
      </c>
      <c r="P112" s="1">
        <v>0.60099999999999998</v>
      </c>
      <c r="Q112" s="1">
        <v>60.099999999999994</v>
      </c>
      <c r="R112" s="2">
        <v>3.94</v>
      </c>
      <c r="S112" s="1">
        <v>3940</v>
      </c>
      <c r="T112" s="1"/>
    </row>
    <row r="113" spans="1:20" customFormat="1" hidden="1">
      <c r="A113" s="8">
        <v>3007</v>
      </c>
      <c r="B113" t="s">
        <v>353</v>
      </c>
      <c r="C113" s="1" t="s">
        <v>665</v>
      </c>
      <c r="D113" s="1">
        <v>90</v>
      </c>
      <c r="E113" s="1" t="s">
        <v>298</v>
      </c>
      <c r="F113" s="1">
        <v>92</v>
      </c>
      <c r="G113" s="1" t="s">
        <v>297</v>
      </c>
      <c r="H113" s="1">
        <v>6.56</v>
      </c>
      <c r="I113" s="1">
        <v>65.599999999999994</v>
      </c>
      <c r="J113" s="2">
        <v>0.6</v>
      </c>
      <c r="K113" s="1">
        <v>15.3</v>
      </c>
      <c r="L113" s="1">
        <v>1.2030000000000001</v>
      </c>
      <c r="M113" s="1">
        <v>30.56</v>
      </c>
      <c r="N113" s="1">
        <v>0.28399999999999997</v>
      </c>
      <c r="O113" s="1">
        <v>7.21</v>
      </c>
      <c r="P113" s="1">
        <v>0.60099999999999998</v>
      </c>
      <c r="Q113" s="1">
        <v>60.099999999999994</v>
      </c>
      <c r="R113" s="2">
        <v>3.94</v>
      </c>
      <c r="S113" s="1">
        <v>3940</v>
      </c>
      <c r="T113" s="1"/>
    </row>
    <row r="114" spans="1:20" customFormat="1" hidden="1">
      <c r="A114" s="8">
        <v>3112</v>
      </c>
      <c r="B114" t="s">
        <v>352</v>
      </c>
      <c r="C114" s="1" t="s">
        <v>666</v>
      </c>
      <c r="D114" s="1">
        <v>60</v>
      </c>
      <c r="E114" s="1" t="s">
        <v>298</v>
      </c>
      <c r="F114" s="1">
        <v>111</v>
      </c>
      <c r="G114" s="1" t="s">
        <v>301</v>
      </c>
      <c r="H114" s="1">
        <v>6.56</v>
      </c>
      <c r="I114" s="1">
        <v>65.599999999999994</v>
      </c>
      <c r="J114" s="2">
        <v>0.45</v>
      </c>
      <c r="K114" s="1">
        <v>11.4</v>
      </c>
      <c r="L114" s="2">
        <v>1.25</v>
      </c>
      <c r="M114" s="1">
        <f>L114*25.4</f>
        <v>31.75</v>
      </c>
      <c r="N114" s="2">
        <v>0.49</v>
      </c>
      <c r="O114" s="1">
        <v>12.5</v>
      </c>
      <c r="P114" s="1">
        <v>1.01</v>
      </c>
      <c r="Q114" s="1">
        <v>101</v>
      </c>
      <c r="R114" s="1">
        <v>6.63</v>
      </c>
      <c r="S114" s="1">
        <v>6630</v>
      </c>
      <c r="T114" s="1"/>
    </row>
    <row r="115" spans="1:20" customFormat="1" hidden="1">
      <c r="A115" s="8">
        <v>3112</v>
      </c>
      <c r="B115" t="s">
        <v>758</v>
      </c>
      <c r="C115" s="1" t="s">
        <v>666</v>
      </c>
      <c r="D115" s="1">
        <v>40</v>
      </c>
      <c r="E115" s="1" t="s">
        <v>298</v>
      </c>
      <c r="F115" s="1">
        <v>92</v>
      </c>
      <c r="G115" s="1" t="s">
        <v>301</v>
      </c>
      <c r="H115" s="1">
        <v>6.56</v>
      </c>
      <c r="I115" s="1">
        <v>65.599999999999994</v>
      </c>
      <c r="J115" s="2">
        <v>0.45</v>
      </c>
      <c r="K115" s="1">
        <v>11.4</v>
      </c>
      <c r="L115" s="2">
        <v>1.25</v>
      </c>
      <c r="M115" s="1">
        <f>L115*25.4</f>
        <v>31.75</v>
      </c>
      <c r="N115" s="2">
        <v>0.49</v>
      </c>
      <c r="O115" s="1">
        <v>12.5</v>
      </c>
      <c r="P115" s="1">
        <v>1.01</v>
      </c>
      <c r="Q115" s="1">
        <v>101</v>
      </c>
      <c r="R115" s="1">
        <v>6.63</v>
      </c>
      <c r="S115" s="1">
        <v>6630</v>
      </c>
      <c r="T115" s="1"/>
    </row>
    <row r="116" spans="1:20" customFormat="1" hidden="1">
      <c r="A116" s="8">
        <v>3112</v>
      </c>
      <c r="B116" t="s">
        <v>759</v>
      </c>
      <c r="C116" s="1" t="s">
        <v>666</v>
      </c>
      <c r="D116" s="1">
        <v>90</v>
      </c>
      <c r="E116" s="1" t="s">
        <v>298</v>
      </c>
      <c r="F116" s="1">
        <v>179</v>
      </c>
      <c r="G116" s="1" t="s">
        <v>301</v>
      </c>
      <c r="H116" s="1">
        <v>6.56</v>
      </c>
      <c r="I116" s="1">
        <v>65.599999999999994</v>
      </c>
      <c r="J116" s="2">
        <v>0.45</v>
      </c>
      <c r="K116" s="1">
        <v>11.4</v>
      </c>
      <c r="L116" s="2">
        <v>1.25</v>
      </c>
      <c r="M116" s="1">
        <f>L116*25.4</f>
        <v>31.75</v>
      </c>
      <c r="N116" s="2">
        <v>0.49</v>
      </c>
      <c r="O116" s="1">
        <v>12.5</v>
      </c>
      <c r="P116" s="1">
        <v>1.01</v>
      </c>
      <c r="Q116" s="1">
        <v>101</v>
      </c>
      <c r="R116" s="1">
        <v>6.63</v>
      </c>
      <c r="S116" s="1">
        <v>6630</v>
      </c>
      <c r="T116" s="1"/>
    </row>
    <row r="117" spans="1:20" customFormat="1" hidden="1">
      <c r="A117" s="8">
        <v>3515</v>
      </c>
      <c r="B117" t="s">
        <v>351</v>
      </c>
      <c r="C117" s="1" t="s">
        <v>667</v>
      </c>
      <c r="D117" s="1">
        <v>26</v>
      </c>
      <c r="E117" s="1" t="s">
        <v>298</v>
      </c>
      <c r="F117" s="1">
        <v>56</v>
      </c>
      <c r="G117" s="1" t="s">
        <v>297</v>
      </c>
      <c r="H117" s="1">
        <v>6.94</v>
      </c>
      <c r="I117" s="1">
        <v>69.400000000000006</v>
      </c>
      <c r="J117" s="1">
        <v>0.56599999999999995</v>
      </c>
      <c r="K117" s="1">
        <v>14.4</v>
      </c>
      <c r="L117" s="2">
        <v>1.38</v>
      </c>
      <c r="M117" s="1">
        <v>35.049999999999997</v>
      </c>
      <c r="N117" s="1">
        <v>0.375</v>
      </c>
      <c r="O117" s="1">
        <v>9.5299999999999994</v>
      </c>
      <c r="P117" s="2">
        <v>0.84</v>
      </c>
      <c r="Q117" s="5">
        <v>84</v>
      </c>
      <c r="R117" s="2">
        <v>5.83</v>
      </c>
      <c r="S117" s="1">
        <v>5830</v>
      </c>
      <c r="T117" s="1"/>
    </row>
    <row r="118" spans="1:20" customFormat="1" hidden="1">
      <c r="A118" s="8">
        <v>3515</v>
      </c>
      <c r="B118" t="s">
        <v>350</v>
      </c>
      <c r="C118" s="1" t="s">
        <v>667</v>
      </c>
      <c r="D118" s="1">
        <v>40</v>
      </c>
      <c r="E118" s="1" t="s">
        <v>298</v>
      </c>
      <c r="F118" s="1">
        <v>75</v>
      </c>
      <c r="G118" s="1" t="s">
        <v>297</v>
      </c>
      <c r="H118" s="1">
        <v>6.94</v>
      </c>
      <c r="I118" s="1">
        <v>69.400000000000006</v>
      </c>
      <c r="J118" s="1">
        <v>0.56599999999999995</v>
      </c>
      <c r="K118" s="1">
        <v>14.4</v>
      </c>
      <c r="L118" s="2">
        <v>1.38</v>
      </c>
      <c r="M118" s="1">
        <v>35.049999999999997</v>
      </c>
      <c r="N118" s="1">
        <v>0.375</v>
      </c>
      <c r="O118" s="1">
        <v>9.5299999999999994</v>
      </c>
      <c r="P118" s="2">
        <v>0.84</v>
      </c>
      <c r="Q118" s="5">
        <v>84</v>
      </c>
      <c r="R118" s="2">
        <v>5.83</v>
      </c>
      <c r="S118" s="1">
        <v>5830</v>
      </c>
      <c r="T118" s="1"/>
    </row>
    <row r="119" spans="1:20" customFormat="1" hidden="1">
      <c r="A119" s="8">
        <v>3515</v>
      </c>
      <c r="B119" t="s">
        <v>349</v>
      </c>
      <c r="C119" s="1" t="s">
        <v>667</v>
      </c>
      <c r="D119" s="1">
        <v>60</v>
      </c>
      <c r="E119" s="1" t="s">
        <v>298</v>
      </c>
      <c r="F119" s="1">
        <v>102</v>
      </c>
      <c r="G119" s="1" t="s">
        <v>297</v>
      </c>
      <c r="H119" s="1">
        <v>6.94</v>
      </c>
      <c r="I119" s="1">
        <v>69.400000000000006</v>
      </c>
      <c r="J119" s="1">
        <v>0.56599999999999995</v>
      </c>
      <c r="K119" s="1">
        <v>14.4</v>
      </c>
      <c r="L119" s="2">
        <v>1.38</v>
      </c>
      <c r="M119" s="1">
        <v>35.049999999999997</v>
      </c>
      <c r="N119" s="1">
        <v>0.375</v>
      </c>
      <c r="O119" s="1">
        <v>9.5299999999999994</v>
      </c>
      <c r="P119" s="2">
        <v>0.84</v>
      </c>
      <c r="Q119" s="5">
        <v>84</v>
      </c>
      <c r="R119" s="2">
        <v>5.83</v>
      </c>
      <c r="S119" s="1">
        <v>5830</v>
      </c>
      <c r="T119" s="1"/>
    </row>
    <row r="120" spans="1:20" customFormat="1" hidden="1">
      <c r="A120" s="8">
        <v>3515</v>
      </c>
      <c r="B120" t="s">
        <v>348</v>
      </c>
      <c r="C120" s="1" t="s">
        <v>667</v>
      </c>
      <c r="D120" s="1">
        <v>90</v>
      </c>
      <c r="E120" s="1" t="s">
        <v>298</v>
      </c>
      <c r="F120" s="1">
        <v>146</v>
      </c>
      <c r="G120" s="1" t="s">
        <v>297</v>
      </c>
      <c r="H120" s="1">
        <v>6.94</v>
      </c>
      <c r="I120" s="1">
        <v>69.400000000000006</v>
      </c>
      <c r="J120" s="1">
        <v>0.56599999999999995</v>
      </c>
      <c r="K120" s="1">
        <v>14.4</v>
      </c>
      <c r="L120" s="2">
        <v>1.38</v>
      </c>
      <c r="M120" s="1">
        <v>35.049999999999997</v>
      </c>
      <c r="N120" s="1">
        <v>0.375</v>
      </c>
      <c r="O120" s="1">
        <v>9.5299999999999994</v>
      </c>
      <c r="P120" s="2">
        <v>0.84</v>
      </c>
      <c r="Q120" s="5">
        <v>84</v>
      </c>
      <c r="R120" s="2">
        <v>5.83</v>
      </c>
      <c r="S120" s="1">
        <v>5830</v>
      </c>
      <c r="T120" s="1"/>
    </row>
    <row r="121" spans="1:20" customFormat="1" hidden="1">
      <c r="A121" s="8">
        <v>4017</v>
      </c>
      <c r="B121" t="s">
        <v>347</v>
      </c>
      <c r="C121" s="1" t="s">
        <v>668</v>
      </c>
      <c r="D121" s="1">
        <v>26</v>
      </c>
      <c r="E121" s="1" t="s">
        <v>298</v>
      </c>
      <c r="F121" s="1">
        <v>56</v>
      </c>
      <c r="G121" s="1" t="s">
        <v>297</v>
      </c>
      <c r="H121" s="1">
        <v>9.84</v>
      </c>
      <c r="I121" s="1">
        <v>98.4</v>
      </c>
      <c r="J121" s="1">
        <v>0.84199999999999997</v>
      </c>
      <c r="K121" s="1">
        <v>21.4</v>
      </c>
      <c r="L121" s="1">
        <v>1.712</v>
      </c>
      <c r="M121" s="1">
        <v>43.48</v>
      </c>
      <c r="N121" s="1">
        <v>0.434</v>
      </c>
      <c r="O121" s="5">
        <v>11</v>
      </c>
      <c r="P121" s="1">
        <v>1.28</v>
      </c>
      <c r="Q121" s="1">
        <v>128</v>
      </c>
      <c r="R121" s="1">
        <v>12.6</v>
      </c>
      <c r="S121" s="1">
        <v>12600</v>
      </c>
      <c r="T121" s="1"/>
    </row>
    <row r="122" spans="1:20" customFormat="1" hidden="1">
      <c r="A122" s="8">
        <v>4017</v>
      </c>
      <c r="B122" t="s">
        <v>346</v>
      </c>
      <c r="C122" s="1" t="s">
        <v>668</v>
      </c>
      <c r="D122" s="1">
        <v>40</v>
      </c>
      <c r="E122" s="1" t="s">
        <v>298</v>
      </c>
      <c r="F122" s="1">
        <v>76</v>
      </c>
      <c r="G122" s="1" t="s">
        <v>297</v>
      </c>
      <c r="H122" s="1">
        <v>9.84</v>
      </c>
      <c r="I122" s="1">
        <v>98.4</v>
      </c>
      <c r="J122" s="1">
        <v>0.84199999999999997</v>
      </c>
      <c r="K122" s="1">
        <v>21.4</v>
      </c>
      <c r="L122" s="1">
        <v>1.712</v>
      </c>
      <c r="M122" s="1">
        <v>43.48</v>
      </c>
      <c r="N122" s="1">
        <v>0.434</v>
      </c>
      <c r="O122" s="5">
        <v>11</v>
      </c>
      <c r="P122" s="1">
        <v>1.28</v>
      </c>
      <c r="Q122" s="1">
        <v>128</v>
      </c>
      <c r="R122" s="1">
        <v>12.6</v>
      </c>
      <c r="S122" s="1">
        <v>12600</v>
      </c>
      <c r="T122" s="1"/>
    </row>
    <row r="123" spans="1:20" customFormat="1" hidden="1">
      <c r="A123" s="8">
        <v>4017</v>
      </c>
      <c r="B123" t="s">
        <v>345</v>
      </c>
      <c r="C123" s="1" t="s">
        <v>668</v>
      </c>
      <c r="D123" s="1">
        <v>60</v>
      </c>
      <c r="E123" s="1" t="s">
        <v>298</v>
      </c>
      <c r="F123" s="1">
        <v>105</v>
      </c>
      <c r="G123" s="1" t="s">
        <v>297</v>
      </c>
      <c r="H123" s="1">
        <v>9.84</v>
      </c>
      <c r="I123" s="1">
        <v>98.4</v>
      </c>
      <c r="J123" s="1">
        <v>0.84199999999999997</v>
      </c>
      <c r="K123" s="1">
        <v>21.4</v>
      </c>
      <c r="L123" s="1">
        <v>1.712</v>
      </c>
      <c r="M123" s="1">
        <v>43.48</v>
      </c>
      <c r="N123" s="1">
        <v>0.434</v>
      </c>
      <c r="O123" s="5">
        <v>11</v>
      </c>
      <c r="P123" s="1">
        <v>1.28</v>
      </c>
      <c r="Q123" s="1">
        <v>128</v>
      </c>
      <c r="R123" s="1">
        <v>12.6</v>
      </c>
      <c r="S123" s="1">
        <v>12600</v>
      </c>
      <c r="T123" s="1"/>
    </row>
    <row r="124" spans="1:20" customFormat="1" hidden="1">
      <c r="A124" s="8">
        <v>4017</v>
      </c>
      <c r="B124" t="s">
        <v>344</v>
      </c>
      <c r="C124" s="1" t="s">
        <v>668</v>
      </c>
      <c r="D124" s="1">
        <v>90</v>
      </c>
      <c r="E124" s="1" t="s">
        <v>298</v>
      </c>
      <c r="F124" s="1">
        <v>151</v>
      </c>
      <c r="G124" s="1" t="s">
        <v>297</v>
      </c>
      <c r="H124" s="1">
        <v>9.84</v>
      </c>
      <c r="I124" s="1">
        <v>98.4</v>
      </c>
      <c r="J124" s="1">
        <v>0.84199999999999997</v>
      </c>
      <c r="K124" s="1">
        <v>21.4</v>
      </c>
      <c r="L124" s="1">
        <v>1.712</v>
      </c>
      <c r="M124" s="1">
        <v>43.48</v>
      </c>
      <c r="N124" s="1">
        <v>0.434</v>
      </c>
      <c r="O124" s="5">
        <v>11</v>
      </c>
      <c r="P124" s="1">
        <v>1.28</v>
      </c>
      <c r="Q124" s="1">
        <v>128</v>
      </c>
      <c r="R124" s="1">
        <v>12.6</v>
      </c>
      <c r="S124" s="1">
        <v>12600</v>
      </c>
      <c r="T124" s="1"/>
    </row>
    <row r="125" spans="1:20" customFormat="1" hidden="1">
      <c r="A125" s="8">
        <v>4020</v>
      </c>
      <c r="B125" t="s">
        <v>343</v>
      </c>
      <c r="C125" s="1" t="s">
        <v>669</v>
      </c>
      <c r="D125" s="1">
        <v>26</v>
      </c>
      <c r="E125" s="1" t="s">
        <v>298</v>
      </c>
      <c r="F125" s="1">
        <v>80</v>
      </c>
      <c r="G125" s="1" t="s">
        <v>297</v>
      </c>
      <c r="H125" s="1">
        <v>9.84</v>
      </c>
      <c r="I125" s="1">
        <v>98.4</v>
      </c>
      <c r="J125" s="1">
        <v>0.84299999999999997</v>
      </c>
      <c r="K125" s="1">
        <v>21.4</v>
      </c>
      <c r="L125" s="1">
        <v>1.712</v>
      </c>
      <c r="M125" s="1">
        <v>43.49</v>
      </c>
      <c r="N125" s="1">
        <v>0.61799999999999999</v>
      </c>
      <c r="O125" s="1">
        <v>15.7</v>
      </c>
      <c r="P125" s="1">
        <v>1.83</v>
      </c>
      <c r="Q125" s="1">
        <v>183</v>
      </c>
      <c r="R125" s="5">
        <v>18</v>
      </c>
      <c r="S125" s="1">
        <v>18000</v>
      </c>
      <c r="T125" s="1"/>
    </row>
    <row r="126" spans="1:20" customFormat="1" hidden="1">
      <c r="A126" s="8">
        <v>4020</v>
      </c>
      <c r="B126" t="s">
        <v>342</v>
      </c>
      <c r="C126" s="1" t="s">
        <v>669</v>
      </c>
      <c r="D126" s="1">
        <v>40</v>
      </c>
      <c r="E126" s="1" t="s">
        <v>298</v>
      </c>
      <c r="F126" s="1">
        <v>108</v>
      </c>
      <c r="G126" s="1" t="s">
        <v>297</v>
      </c>
      <c r="H126" s="1">
        <v>9.84</v>
      </c>
      <c r="I126" s="1">
        <v>98.4</v>
      </c>
      <c r="J126" s="1">
        <v>0.84299999999999997</v>
      </c>
      <c r="K126" s="1">
        <v>21.4</v>
      </c>
      <c r="L126" s="1">
        <v>1.712</v>
      </c>
      <c r="M126" s="1">
        <v>43.49</v>
      </c>
      <c r="N126" s="1">
        <v>0.61799999999999999</v>
      </c>
      <c r="O126" s="1">
        <v>15.7</v>
      </c>
      <c r="P126" s="1">
        <v>1.83</v>
      </c>
      <c r="Q126" s="1">
        <v>183</v>
      </c>
      <c r="R126" s="5">
        <v>18</v>
      </c>
      <c r="S126" s="1">
        <v>18000</v>
      </c>
      <c r="T126" s="1"/>
    </row>
    <row r="127" spans="1:20" customFormat="1" hidden="1">
      <c r="A127" s="8">
        <v>4020</v>
      </c>
      <c r="B127" t="s">
        <v>341</v>
      </c>
      <c r="C127" s="1" t="s">
        <v>669</v>
      </c>
      <c r="D127" s="1">
        <v>60</v>
      </c>
      <c r="E127" s="1" t="s">
        <v>298</v>
      </c>
      <c r="F127" s="1">
        <v>150</v>
      </c>
      <c r="G127" s="1" t="s">
        <v>297</v>
      </c>
      <c r="H127" s="1">
        <v>9.84</v>
      </c>
      <c r="I127" s="1">
        <v>98.4</v>
      </c>
      <c r="J127" s="1">
        <v>0.84299999999999997</v>
      </c>
      <c r="K127" s="1">
        <v>21.4</v>
      </c>
      <c r="L127" s="1">
        <v>1.712</v>
      </c>
      <c r="M127" s="1">
        <v>43.49</v>
      </c>
      <c r="N127" s="1">
        <v>0.61799999999999999</v>
      </c>
      <c r="O127" s="1">
        <v>15.7</v>
      </c>
      <c r="P127" s="1">
        <v>1.83</v>
      </c>
      <c r="Q127" s="1">
        <v>183</v>
      </c>
      <c r="R127" s="5">
        <v>18</v>
      </c>
      <c r="S127" s="1">
        <v>18000</v>
      </c>
      <c r="T127" s="1"/>
    </row>
    <row r="128" spans="1:20" customFormat="1" hidden="1">
      <c r="A128" s="8">
        <v>4020</v>
      </c>
      <c r="B128" t="s">
        <v>340</v>
      </c>
      <c r="C128" s="1" t="s">
        <v>669</v>
      </c>
      <c r="D128" s="1">
        <v>90</v>
      </c>
      <c r="E128" s="1" t="s">
        <v>298</v>
      </c>
      <c r="F128" s="1">
        <v>217</v>
      </c>
      <c r="G128" s="1" t="s">
        <v>297</v>
      </c>
      <c r="H128" s="1">
        <v>9.84</v>
      </c>
      <c r="I128" s="1">
        <v>98.4</v>
      </c>
      <c r="J128" s="1">
        <v>0.84299999999999997</v>
      </c>
      <c r="K128" s="1">
        <v>21.4</v>
      </c>
      <c r="L128" s="1">
        <v>1.712</v>
      </c>
      <c r="M128" s="1">
        <v>43.49</v>
      </c>
      <c r="N128" s="1">
        <v>0.61799999999999999</v>
      </c>
      <c r="O128" s="1">
        <v>15.7</v>
      </c>
      <c r="P128" s="1">
        <v>1.83</v>
      </c>
      <c r="Q128" s="1">
        <v>183</v>
      </c>
      <c r="R128" s="5">
        <v>18</v>
      </c>
      <c r="S128" s="1">
        <v>18000</v>
      </c>
      <c r="T128" s="1"/>
    </row>
    <row r="129" spans="1:20" customFormat="1" hidden="1">
      <c r="A129" s="8">
        <v>4022</v>
      </c>
      <c r="B129" t="s">
        <v>339</v>
      </c>
      <c r="C129" s="1" t="s">
        <v>670</v>
      </c>
      <c r="D129" s="1">
        <v>26</v>
      </c>
      <c r="E129" s="1" t="s">
        <v>298</v>
      </c>
      <c r="F129" s="1">
        <v>104</v>
      </c>
      <c r="G129" s="1" t="s">
        <v>297</v>
      </c>
      <c r="H129" s="1">
        <v>9.84</v>
      </c>
      <c r="I129" s="1">
        <v>98.4</v>
      </c>
      <c r="J129" s="1">
        <v>0.84299999999999997</v>
      </c>
      <c r="K129" s="1">
        <v>21.4</v>
      </c>
      <c r="L129" s="1">
        <v>1.712</v>
      </c>
      <c r="M129" s="1">
        <v>43.49</v>
      </c>
      <c r="N129" s="1">
        <v>0.79800000000000004</v>
      </c>
      <c r="O129" s="1">
        <v>20.3</v>
      </c>
      <c r="P129" s="1">
        <v>2.37</v>
      </c>
      <c r="Q129" s="1">
        <v>237</v>
      </c>
      <c r="R129" s="1">
        <v>23.3</v>
      </c>
      <c r="S129" s="1">
        <v>23300</v>
      </c>
      <c r="T129" s="1"/>
    </row>
    <row r="130" spans="1:20" customFormat="1" hidden="1">
      <c r="A130" s="8">
        <v>4022</v>
      </c>
      <c r="B130" t="s">
        <v>338</v>
      </c>
      <c r="C130" s="1" t="s">
        <v>670</v>
      </c>
      <c r="D130" s="1">
        <v>40</v>
      </c>
      <c r="E130" s="1" t="s">
        <v>298</v>
      </c>
      <c r="F130" s="1">
        <v>140</v>
      </c>
      <c r="G130" s="1" t="s">
        <v>297</v>
      </c>
      <c r="H130" s="1">
        <v>9.84</v>
      </c>
      <c r="I130" s="1">
        <v>98.4</v>
      </c>
      <c r="J130" s="1">
        <v>0.84299999999999997</v>
      </c>
      <c r="K130" s="1">
        <v>21.4</v>
      </c>
      <c r="L130" s="1">
        <v>1.712</v>
      </c>
      <c r="M130" s="1">
        <v>43.49</v>
      </c>
      <c r="N130" s="1">
        <v>0.79800000000000004</v>
      </c>
      <c r="O130" s="1">
        <v>20.3</v>
      </c>
      <c r="P130" s="1">
        <v>2.37</v>
      </c>
      <c r="Q130" s="1">
        <v>237</v>
      </c>
      <c r="R130" s="1">
        <v>23.3</v>
      </c>
      <c r="S130" s="1">
        <v>23300</v>
      </c>
      <c r="T130" s="1"/>
    </row>
    <row r="131" spans="1:20" customFormat="1" hidden="1">
      <c r="A131" s="8">
        <v>4022</v>
      </c>
      <c r="B131" t="s">
        <v>337</v>
      </c>
      <c r="C131" s="1" t="s">
        <v>670</v>
      </c>
      <c r="D131" s="1">
        <v>60</v>
      </c>
      <c r="E131" s="1" t="s">
        <v>298</v>
      </c>
      <c r="F131" s="1">
        <v>194</v>
      </c>
      <c r="G131" s="1" t="s">
        <v>297</v>
      </c>
      <c r="H131" s="1">
        <v>9.84</v>
      </c>
      <c r="I131" s="1">
        <v>98.4</v>
      </c>
      <c r="J131" s="1">
        <v>0.84299999999999997</v>
      </c>
      <c r="K131" s="1">
        <v>21.4</v>
      </c>
      <c r="L131" s="1">
        <v>1.712</v>
      </c>
      <c r="M131" s="1">
        <v>43.49</v>
      </c>
      <c r="N131" s="1">
        <v>0.79800000000000004</v>
      </c>
      <c r="O131" s="1">
        <v>20.3</v>
      </c>
      <c r="P131" s="1">
        <v>2.37</v>
      </c>
      <c r="Q131" s="1">
        <v>237</v>
      </c>
      <c r="R131" s="1">
        <v>23.3</v>
      </c>
      <c r="S131" s="1">
        <v>23300</v>
      </c>
      <c r="T131" s="1"/>
    </row>
    <row r="132" spans="1:20" customFormat="1" hidden="1">
      <c r="A132" s="8">
        <v>4022</v>
      </c>
      <c r="B132" t="s">
        <v>336</v>
      </c>
      <c r="C132" s="1" t="s">
        <v>670</v>
      </c>
      <c r="D132" s="1">
        <v>90</v>
      </c>
      <c r="E132" s="1" t="s">
        <v>298</v>
      </c>
      <c r="F132" s="1">
        <v>281</v>
      </c>
      <c r="G132" s="1" t="s">
        <v>297</v>
      </c>
      <c r="H132" s="1">
        <v>9.84</v>
      </c>
      <c r="I132" s="1">
        <v>98.4</v>
      </c>
      <c r="J132" s="1">
        <v>0.84299999999999997</v>
      </c>
      <c r="K132" s="1">
        <v>21.4</v>
      </c>
      <c r="L132" s="1">
        <v>1.712</v>
      </c>
      <c r="M132" s="1">
        <v>43.49</v>
      </c>
      <c r="N132" s="1">
        <v>0.79800000000000004</v>
      </c>
      <c r="O132" s="1">
        <v>20.3</v>
      </c>
      <c r="P132" s="1">
        <v>2.37</v>
      </c>
      <c r="Q132" s="1">
        <v>237</v>
      </c>
      <c r="R132" s="1">
        <v>23.3</v>
      </c>
      <c r="S132" s="1">
        <v>23300</v>
      </c>
      <c r="T132" s="1"/>
    </row>
    <row r="133" spans="1:20" customFormat="1" hidden="1">
      <c r="A133" s="8">
        <v>4110</v>
      </c>
      <c r="B133" t="s">
        <v>335</v>
      </c>
      <c r="C133" s="1" t="s">
        <v>671</v>
      </c>
      <c r="D133" s="1">
        <v>60</v>
      </c>
      <c r="E133" s="1" t="s">
        <v>298</v>
      </c>
      <c r="F133" s="1">
        <v>78</v>
      </c>
      <c r="G133" s="1" t="s">
        <v>301</v>
      </c>
      <c r="H133" s="1">
        <v>8.52</v>
      </c>
      <c r="I133" s="1">
        <v>85.199999999999989</v>
      </c>
      <c r="J133" s="2">
        <v>0.46</v>
      </c>
      <c r="K133" s="1">
        <v>11.7</v>
      </c>
      <c r="L133" s="2">
        <v>1.62</v>
      </c>
      <c r="M133" s="1">
        <v>41.15</v>
      </c>
      <c r="N133" s="2">
        <v>0.39</v>
      </c>
      <c r="O133" s="1">
        <v>9.91</v>
      </c>
      <c r="P133" s="2">
        <v>0.8</v>
      </c>
      <c r="Q133" s="5">
        <v>80</v>
      </c>
      <c r="R133" s="1">
        <v>6.82</v>
      </c>
      <c r="S133" s="1">
        <v>6820</v>
      </c>
      <c r="T133" s="1"/>
    </row>
    <row r="134" spans="1:20" customFormat="1" hidden="1">
      <c r="A134" s="8">
        <v>4110</v>
      </c>
      <c r="B134" t="s">
        <v>760</v>
      </c>
      <c r="C134" s="1" t="s">
        <v>671</v>
      </c>
      <c r="D134" s="1">
        <v>40</v>
      </c>
      <c r="E134" s="1" t="s">
        <v>298</v>
      </c>
      <c r="F134" s="1">
        <v>56</v>
      </c>
      <c r="G134" s="1" t="s">
        <v>301</v>
      </c>
      <c r="H134" s="1">
        <v>8.52</v>
      </c>
      <c r="I134" s="1">
        <v>85.199999999999989</v>
      </c>
      <c r="J134" s="2">
        <v>0.46</v>
      </c>
      <c r="K134" s="1">
        <v>11.7</v>
      </c>
      <c r="L134" s="2">
        <v>1.62</v>
      </c>
      <c r="M134" s="1">
        <v>41.15</v>
      </c>
      <c r="N134" s="2">
        <v>0.39</v>
      </c>
      <c r="O134" s="1">
        <v>9.91</v>
      </c>
      <c r="P134" s="2">
        <v>0.8</v>
      </c>
      <c r="Q134" s="5">
        <v>80</v>
      </c>
      <c r="R134" s="1">
        <v>6.82</v>
      </c>
      <c r="S134" s="1">
        <v>6820</v>
      </c>
      <c r="T134" s="1"/>
    </row>
    <row r="135" spans="1:20" customFormat="1" hidden="1">
      <c r="A135" s="8">
        <v>4110</v>
      </c>
      <c r="B135" t="s">
        <v>761</v>
      </c>
      <c r="C135" s="1" t="s">
        <v>671</v>
      </c>
      <c r="D135" s="1">
        <v>90</v>
      </c>
      <c r="E135" s="1" t="s">
        <v>298</v>
      </c>
      <c r="F135" s="1">
        <v>109</v>
      </c>
      <c r="G135" s="1" t="s">
        <v>301</v>
      </c>
      <c r="H135" s="1">
        <v>8.52</v>
      </c>
      <c r="I135" s="1">
        <v>85.199999999999989</v>
      </c>
      <c r="J135" s="2">
        <v>0.46</v>
      </c>
      <c r="K135" s="1">
        <v>11.7</v>
      </c>
      <c r="L135" s="2">
        <v>1.62</v>
      </c>
      <c r="M135" s="1">
        <v>41.15</v>
      </c>
      <c r="N135" s="2">
        <v>0.39</v>
      </c>
      <c r="O135" s="1">
        <v>9.91</v>
      </c>
      <c r="P135" s="2">
        <v>0.8</v>
      </c>
      <c r="Q135" s="5">
        <v>80</v>
      </c>
      <c r="R135" s="1">
        <v>6.82</v>
      </c>
      <c r="S135" s="1">
        <v>6820</v>
      </c>
      <c r="T135" s="1"/>
    </row>
    <row r="136" spans="1:20" customFormat="1" hidden="1">
      <c r="A136" s="8">
        <v>4111</v>
      </c>
      <c r="B136" t="s">
        <v>334</v>
      </c>
      <c r="C136" s="1" t="s">
        <v>672</v>
      </c>
      <c r="D136" s="1">
        <v>60</v>
      </c>
      <c r="E136" s="1" t="s">
        <v>298</v>
      </c>
      <c r="F136" s="1">
        <v>95</v>
      </c>
      <c r="G136" s="1" t="s">
        <v>301</v>
      </c>
      <c r="H136" s="1">
        <v>8.52</v>
      </c>
      <c r="I136" s="1">
        <v>85.199999999999989</v>
      </c>
      <c r="J136" s="2">
        <v>0.46</v>
      </c>
      <c r="K136" s="1">
        <v>11.7</v>
      </c>
      <c r="L136" s="2">
        <v>1.62</v>
      </c>
      <c r="M136" s="1">
        <v>41.15</v>
      </c>
      <c r="N136" s="2">
        <v>0.49</v>
      </c>
      <c r="O136" s="1">
        <v>12.5</v>
      </c>
      <c r="P136" s="1">
        <v>1.01</v>
      </c>
      <c r="Q136" s="1">
        <v>101</v>
      </c>
      <c r="R136" s="4">
        <v>8.6</v>
      </c>
      <c r="S136" s="1">
        <v>8600</v>
      </c>
      <c r="T136" s="1"/>
    </row>
    <row r="137" spans="1:20" customFormat="1" hidden="1">
      <c r="A137" s="8">
        <v>4111</v>
      </c>
      <c r="B137" t="s">
        <v>762</v>
      </c>
      <c r="C137" s="1" t="s">
        <v>672</v>
      </c>
      <c r="D137" s="1">
        <v>40</v>
      </c>
      <c r="E137" s="1" t="s">
        <v>298</v>
      </c>
      <c r="F137" s="1">
        <v>72</v>
      </c>
      <c r="G137" s="1" t="s">
        <v>301</v>
      </c>
      <c r="H137" s="1">
        <v>8.52</v>
      </c>
      <c r="I137" s="1">
        <v>85.199999999999989</v>
      </c>
      <c r="J137" s="2">
        <v>0.46</v>
      </c>
      <c r="K137" s="1">
        <v>11.7</v>
      </c>
      <c r="L137" s="2">
        <v>1.62</v>
      </c>
      <c r="M137" s="1">
        <v>41.15</v>
      </c>
      <c r="N137" s="2">
        <v>0.49</v>
      </c>
      <c r="O137" s="1">
        <v>12.5</v>
      </c>
      <c r="P137" s="1">
        <v>1.01</v>
      </c>
      <c r="Q137" s="1">
        <v>101</v>
      </c>
      <c r="R137" s="4">
        <v>8.6</v>
      </c>
      <c r="S137" s="1">
        <v>8600</v>
      </c>
      <c r="T137" s="1"/>
    </row>
    <row r="138" spans="1:20" customFormat="1" hidden="1">
      <c r="A138" s="8">
        <v>4111</v>
      </c>
      <c r="B138" t="s">
        <v>763</v>
      </c>
      <c r="C138" s="1" t="s">
        <v>672</v>
      </c>
      <c r="D138" s="1">
        <v>90</v>
      </c>
      <c r="E138" s="1" t="s">
        <v>298</v>
      </c>
      <c r="F138" s="1">
        <v>138</v>
      </c>
      <c r="G138" s="1" t="s">
        <v>301</v>
      </c>
      <c r="H138" s="1">
        <v>8.52</v>
      </c>
      <c r="I138" s="1">
        <v>85.199999999999989</v>
      </c>
      <c r="J138" s="2">
        <v>0.46</v>
      </c>
      <c r="K138" s="1">
        <v>11.7</v>
      </c>
      <c r="L138" s="2">
        <v>1.62</v>
      </c>
      <c r="M138" s="1">
        <v>41.15</v>
      </c>
      <c r="N138" s="2">
        <v>0.49</v>
      </c>
      <c r="O138" s="1">
        <v>12.5</v>
      </c>
      <c r="P138" s="1">
        <v>1.01</v>
      </c>
      <c r="Q138" s="1">
        <v>101</v>
      </c>
      <c r="R138" s="4">
        <v>8.6</v>
      </c>
      <c r="S138" s="1">
        <v>8600</v>
      </c>
      <c r="T138" s="1"/>
    </row>
    <row r="139" spans="1:20" customFormat="1" hidden="1">
      <c r="A139" s="8">
        <v>4119</v>
      </c>
      <c r="B139" t="s">
        <v>333</v>
      </c>
      <c r="C139" s="1" t="s">
        <v>673</v>
      </c>
      <c r="D139" s="1">
        <v>40</v>
      </c>
      <c r="E139" s="1" t="s">
        <v>298</v>
      </c>
      <c r="F139" s="1">
        <v>110</v>
      </c>
      <c r="G139" s="1" t="s">
        <v>301</v>
      </c>
      <c r="H139" s="1">
        <v>8.52</v>
      </c>
      <c r="I139" s="1">
        <v>85.199999999999989</v>
      </c>
      <c r="J139" s="2">
        <v>0.46</v>
      </c>
      <c r="K139" s="1">
        <v>11.7</v>
      </c>
      <c r="L139" s="2">
        <v>1.62</v>
      </c>
      <c r="M139" s="1">
        <v>41.15</v>
      </c>
      <c r="N139" s="1">
        <v>0.76500000000000001</v>
      </c>
      <c r="O139" s="1">
        <v>19.5</v>
      </c>
      <c r="P139" s="1">
        <v>1.59</v>
      </c>
      <c r="Q139" s="1">
        <v>159</v>
      </c>
      <c r="R139" s="1">
        <v>13.6</v>
      </c>
      <c r="S139" s="1">
        <v>13600</v>
      </c>
      <c r="T139" s="1"/>
    </row>
    <row r="140" spans="1:20" customFormat="1" hidden="1">
      <c r="A140" s="8">
        <v>4119</v>
      </c>
      <c r="B140" t="s">
        <v>332</v>
      </c>
      <c r="C140" s="1" t="s">
        <v>673</v>
      </c>
      <c r="D140" s="1">
        <v>60</v>
      </c>
      <c r="E140" s="1" t="s">
        <v>298</v>
      </c>
      <c r="F140" s="1">
        <v>151</v>
      </c>
      <c r="G140" s="1" t="s">
        <v>301</v>
      </c>
      <c r="H140" s="1">
        <v>8.52</v>
      </c>
      <c r="I140" s="1">
        <v>85.199999999999989</v>
      </c>
      <c r="J140" s="2">
        <v>0.46</v>
      </c>
      <c r="K140" s="1">
        <v>11.7</v>
      </c>
      <c r="L140" s="2">
        <v>1.62</v>
      </c>
      <c r="M140" s="1">
        <v>41.15</v>
      </c>
      <c r="N140" s="1">
        <v>0.76500000000000001</v>
      </c>
      <c r="O140" s="1">
        <v>19.5</v>
      </c>
      <c r="P140" s="1">
        <v>1.59</v>
      </c>
      <c r="Q140" s="1">
        <v>159</v>
      </c>
      <c r="R140" s="1">
        <v>13.6</v>
      </c>
      <c r="S140" s="1">
        <v>13600</v>
      </c>
      <c r="T140" s="1"/>
    </row>
    <row r="141" spans="1:20" customFormat="1" hidden="1">
      <c r="A141" s="8">
        <v>4119</v>
      </c>
      <c r="B141" t="s">
        <v>331</v>
      </c>
      <c r="C141" s="1" t="s">
        <v>673</v>
      </c>
      <c r="D141" s="1">
        <v>90</v>
      </c>
      <c r="E141" s="1" t="s">
        <v>298</v>
      </c>
      <c r="F141" s="1">
        <v>218</v>
      </c>
      <c r="G141" s="1" t="s">
        <v>301</v>
      </c>
      <c r="H141" s="1">
        <v>8.52</v>
      </c>
      <c r="I141" s="1">
        <v>85.199999999999989</v>
      </c>
      <c r="J141" s="2">
        <v>0.46</v>
      </c>
      <c r="K141" s="1">
        <v>11.7</v>
      </c>
      <c r="L141" s="2">
        <v>1.62</v>
      </c>
      <c r="M141" s="1">
        <v>41.15</v>
      </c>
      <c r="N141" s="1">
        <v>0.76500000000000001</v>
      </c>
      <c r="O141" s="1">
        <v>19.5</v>
      </c>
      <c r="P141" s="1">
        <v>1.59</v>
      </c>
      <c r="Q141" s="1">
        <v>159</v>
      </c>
      <c r="R141" s="1">
        <v>13.6</v>
      </c>
      <c r="S141" s="1">
        <v>13600</v>
      </c>
      <c r="T141" s="1"/>
    </row>
    <row r="142" spans="1:20" customFormat="1" hidden="1">
      <c r="A142" s="8">
        <v>4317</v>
      </c>
      <c r="B142" t="s">
        <v>330</v>
      </c>
      <c r="C142" s="1" t="s">
        <v>674</v>
      </c>
      <c r="D142" s="1">
        <v>26</v>
      </c>
      <c r="E142" s="1" t="s">
        <v>298</v>
      </c>
      <c r="F142" s="1">
        <v>88</v>
      </c>
      <c r="G142" s="1" t="s">
        <v>297</v>
      </c>
      <c r="H142" s="1">
        <v>7.75</v>
      </c>
      <c r="I142" s="1">
        <v>77.5</v>
      </c>
      <c r="J142" s="1">
        <v>0.66100000000000003</v>
      </c>
      <c r="K142" s="1">
        <v>16.8</v>
      </c>
      <c r="L142" s="1">
        <v>1.633</v>
      </c>
      <c r="M142" s="1">
        <v>41.48</v>
      </c>
      <c r="N142" s="2">
        <v>0.5</v>
      </c>
      <c r="O142" s="1">
        <v>12.7</v>
      </c>
      <c r="P142" s="1">
        <v>1.52</v>
      </c>
      <c r="Q142" s="1">
        <v>152</v>
      </c>
      <c r="R142" s="1">
        <v>11.8</v>
      </c>
      <c r="S142" s="1">
        <v>11800</v>
      </c>
      <c r="T142" s="1"/>
    </row>
    <row r="143" spans="1:20" customFormat="1" hidden="1">
      <c r="A143" s="8">
        <v>4317</v>
      </c>
      <c r="B143" t="s">
        <v>329</v>
      </c>
      <c r="C143" s="1" t="s">
        <v>674</v>
      </c>
      <c r="D143" s="1">
        <v>40</v>
      </c>
      <c r="E143" s="1" t="s">
        <v>298</v>
      </c>
      <c r="F143" s="1">
        <v>119</v>
      </c>
      <c r="G143" s="1" t="s">
        <v>297</v>
      </c>
      <c r="H143" s="1">
        <v>7.75</v>
      </c>
      <c r="I143" s="1">
        <v>77.5</v>
      </c>
      <c r="J143" s="1">
        <v>0.66100000000000003</v>
      </c>
      <c r="K143" s="1">
        <v>16.8</v>
      </c>
      <c r="L143" s="1">
        <v>1.633</v>
      </c>
      <c r="M143" s="1">
        <v>41.48</v>
      </c>
      <c r="N143" s="2">
        <v>0.5</v>
      </c>
      <c r="O143" s="1">
        <v>12.7</v>
      </c>
      <c r="P143" s="1">
        <v>1.52</v>
      </c>
      <c r="Q143" s="1">
        <v>152</v>
      </c>
      <c r="R143" s="1">
        <v>11.8</v>
      </c>
      <c r="S143" s="1">
        <v>11800</v>
      </c>
      <c r="T143" s="1"/>
    </row>
    <row r="144" spans="1:20" customFormat="1" hidden="1">
      <c r="A144" s="8">
        <v>4317</v>
      </c>
      <c r="B144" t="s">
        <v>328</v>
      </c>
      <c r="C144" s="1" t="s">
        <v>674</v>
      </c>
      <c r="D144" s="1">
        <v>60</v>
      </c>
      <c r="E144" s="1" t="s">
        <v>298</v>
      </c>
      <c r="F144" s="1">
        <v>163</v>
      </c>
      <c r="G144" s="1" t="s">
        <v>297</v>
      </c>
      <c r="H144" s="1">
        <v>7.75</v>
      </c>
      <c r="I144" s="1">
        <v>77.5</v>
      </c>
      <c r="J144" s="1">
        <v>0.66100000000000003</v>
      </c>
      <c r="K144" s="1">
        <v>16.8</v>
      </c>
      <c r="L144" s="1">
        <v>1.633</v>
      </c>
      <c r="M144" s="1">
        <v>41.48</v>
      </c>
      <c r="N144" s="2">
        <v>0.5</v>
      </c>
      <c r="O144" s="1">
        <v>12.7</v>
      </c>
      <c r="P144" s="1">
        <v>1.52</v>
      </c>
      <c r="Q144" s="1">
        <v>152</v>
      </c>
      <c r="R144" s="1">
        <v>11.8</v>
      </c>
      <c r="S144" s="1">
        <v>11800</v>
      </c>
      <c r="T144" s="1"/>
    </row>
    <row r="145" spans="1:22" customFormat="1" hidden="1">
      <c r="A145" s="8">
        <v>4317</v>
      </c>
      <c r="B145" t="s">
        <v>327</v>
      </c>
      <c r="C145" s="1" t="s">
        <v>674</v>
      </c>
      <c r="D145" s="1">
        <v>90</v>
      </c>
      <c r="E145" s="1" t="s">
        <v>298</v>
      </c>
      <c r="F145" s="1">
        <v>234</v>
      </c>
      <c r="G145" s="1" t="s">
        <v>297</v>
      </c>
      <c r="H145" s="1">
        <v>7.75</v>
      </c>
      <c r="I145" s="1">
        <v>77.5</v>
      </c>
      <c r="J145" s="1">
        <v>0.66100000000000003</v>
      </c>
      <c r="K145" s="1">
        <v>16.8</v>
      </c>
      <c r="L145" s="1">
        <v>1.633</v>
      </c>
      <c r="M145" s="1">
        <v>41.48</v>
      </c>
      <c r="N145" s="2">
        <v>0.5</v>
      </c>
      <c r="O145" s="1">
        <v>12.7</v>
      </c>
      <c r="P145" s="1">
        <v>1.52</v>
      </c>
      <c r="Q145" s="1">
        <v>152</v>
      </c>
      <c r="R145" s="1">
        <v>11.8</v>
      </c>
      <c r="S145" s="1">
        <v>11800</v>
      </c>
      <c r="T145" s="1"/>
    </row>
    <row r="146" spans="1:22" hidden="1">
      <c r="A146" s="42">
        <v>55014</v>
      </c>
      <c r="B146" s="34" t="s">
        <v>244</v>
      </c>
      <c r="C146" s="158" t="s">
        <v>692</v>
      </c>
      <c r="D146" s="34">
        <v>173</v>
      </c>
      <c r="E146" s="34" t="s">
        <v>21</v>
      </c>
      <c r="F146" s="34">
        <v>69</v>
      </c>
      <c r="G146" s="34" t="s">
        <v>0</v>
      </c>
      <c r="H146" s="34">
        <v>1.36</v>
      </c>
      <c r="I146" s="34">
        <v>13.6</v>
      </c>
      <c r="J146" s="41">
        <v>0.09</v>
      </c>
      <c r="K146" s="34">
        <v>2.2799999999999998</v>
      </c>
      <c r="L146" s="34">
        <v>0.27500000000000002</v>
      </c>
      <c r="M146" s="34">
        <v>6.99</v>
      </c>
      <c r="N146" s="34">
        <v>0.13500000000000001</v>
      </c>
      <c r="O146" s="34">
        <v>3.43</v>
      </c>
      <c r="P146" s="34">
        <v>4.7E-2</v>
      </c>
      <c r="Q146" s="34">
        <v>4.7</v>
      </c>
      <c r="R146" s="41">
        <v>6.4000000000000001E-2</v>
      </c>
      <c r="S146" s="35">
        <v>64</v>
      </c>
      <c r="T146" s="34">
        <v>4.0800000000000003E-2</v>
      </c>
      <c r="U146" s="34">
        <f t="shared" ref="U146:U209" si="1">C146*1</f>
        <v>20</v>
      </c>
      <c r="V146" s="34">
        <f>VLOOKUP(U146,'Powder Core Toroid OD'!$A$2:$B$36,2,FALSE)</f>
        <v>6.35</v>
      </c>
    </row>
    <row r="147" spans="1:22" hidden="1">
      <c r="A147" s="42">
        <v>55015</v>
      </c>
      <c r="B147" s="34" t="s">
        <v>243</v>
      </c>
      <c r="C147" s="158" t="s">
        <v>692</v>
      </c>
      <c r="D147" s="34">
        <v>300</v>
      </c>
      <c r="E147" s="34" t="s">
        <v>21</v>
      </c>
      <c r="F147" s="34">
        <v>120</v>
      </c>
      <c r="G147" s="34" t="s">
        <v>0</v>
      </c>
      <c r="H147" s="34">
        <v>1.36</v>
      </c>
      <c r="I147" s="34">
        <v>13.6</v>
      </c>
      <c r="J147" s="41">
        <v>0.09</v>
      </c>
      <c r="K147" s="34">
        <v>2.2799999999999998</v>
      </c>
      <c r="L147" s="34">
        <v>0.27500000000000002</v>
      </c>
      <c r="M147" s="34">
        <v>6.99</v>
      </c>
      <c r="N147" s="34">
        <v>0.13500000000000001</v>
      </c>
      <c r="O147" s="34">
        <v>3.43</v>
      </c>
      <c r="P147" s="34">
        <v>4.7E-2</v>
      </c>
      <c r="Q147" s="34">
        <v>4.7</v>
      </c>
      <c r="R147" s="41">
        <v>6.4000000000000001E-2</v>
      </c>
      <c r="S147" s="35">
        <v>64</v>
      </c>
      <c r="T147" s="34">
        <v>4.0800000000000003E-2</v>
      </c>
      <c r="U147" s="34">
        <f t="shared" si="1"/>
        <v>20</v>
      </c>
      <c r="V147" s="34">
        <f>VLOOKUP(U147,'Powder Core Toroid OD'!$A$2:$B$36,2,FALSE)</f>
        <v>6.35</v>
      </c>
    </row>
    <row r="148" spans="1:22">
      <c r="A148" s="33">
        <v>78737</v>
      </c>
      <c r="B148" s="34" t="s">
        <v>857</v>
      </c>
      <c r="C148" s="158">
        <v>740</v>
      </c>
      <c r="D148" s="34">
        <v>60</v>
      </c>
      <c r="E148" s="34" t="s">
        <v>858</v>
      </c>
      <c r="F148" s="34">
        <v>204</v>
      </c>
      <c r="G148" s="34" t="s">
        <v>0</v>
      </c>
      <c r="H148" s="34">
        <v>18.399999999999999</v>
      </c>
      <c r="I148" s="34">
        <v>184</v>
      </c>
      <c r="J148" s="34">
        <v>1.748</v>
      </c>
      <c r="K148" s="40">
        <v>44.39</v>
      </c>
      <c r="L148" s="34">
        <v>2.9529999999999998</v>
      </c>
      <c r="M148" s="40">
        <v>75.010000000000005</v>
      </c>
      <c r="N148" s="41">
        <v>1.4139999999999999</v>
      </c>
      <c r="O148" s="40">
        <v>35.92</v>
      </c>
      <c r="P148" s="40">
        <v>4.97</v>
      </c>
      <c r="Q148" s="34">
        <v>497</v>
      </c>
      <c r="R148" s="34">
        <v>91.4</v>
      </c>
      <c r="S148" s="34">
        <v>91400</v>
      </c>
      <c r="T148" s="34">
        <v>15.5</v>
      </c>
      <c r="U148" s="34">
        <f t="shared" si="1"/>
        <v>740</v>
      </c>
      <c r="V148" s="34">
        <f>VLOOKUP(U148,'Powder Core Toroid OD'!$A$2:$B$36,2,FALSE)</f>
        <v>74.099999999999994</v>
      </c>
    </row>
    <row r="149" spans="1:22" hidden="1">
      <c r="A149" s="42">
        <v>55017</v>
      </c>
      <c r="B149" s="34" t="s">
        <v>242</v>
      </c>
      <c r="C149" s="158" t="s">
        <v>692</v>
      </c>
      <c r="D149" s="34">
        <v>200</v>
      </c>
      <c r="E149" s="34" t="s">
        <v>21</v>
      </c>
      <c r="F149" s="34">
        <v>80</v>
      </c>
      <c r="G149" s="34" t="s">
        <v>0</v>
      </c>
      <c r="H149" s="34">
        <v>1.36</v>
      </c>
      <c r="I149" s="34">
        <v>13.6</v>
      </c>
      <c r="J149" s="41">
        <v>0.09</v>
      </c>
      <c r="K149" s="34">
        <v>2.2799999999999998</v>
      </c>
      <c r="L149" s="34">
        <v>0.27500000000000002</v>
      </c>
      <c r="M149" s="34">
        <v>6.99</v>
      </c>
      <c r="N149" s="34">
        <v>0.13500000000000001</v>
      </c>
      <c r="O149" s="34">
        <v>3.43</v>
      </c>
      <c r="P149" s="34">
        <v>4.7E-2</v>
      </c>
      <c r="Q149" s="34">
        <v>4.7</v>
      </c>
      <c r="R149" s="41">
        <v>6.4000000000000001E-2</v>
      </c>
      <c r="S149" s="35">
        <v>64</v>
      </c>
      <c r="T149" s="34">
        <v>4.0800000000000003E-2</v>
      </c>
      <c r="U149" s="34">
        <f t="shared" si="1"/>
        <v>20</v>
      </c>
      <c r="V149" s="34">
        <f>VLOOKUP(U149,'Powder Core Toroid OD'!$A$2:$B$36,2,FALSE)</f>
        <v>6.35</v>
      </c>
    </row>
    <row r="150" spans="1:22" hidden="1">
      <c r="A150" s="42">
        <v>55018</v>
      </c>
      <c r="B150" s="34" t="s">
        <v>241</v>
      </c>
      <c r="C150" s="158" t="s">
        <v>692</v>
      </c>
      <c r="D150" s="34">
        <v>160</v>
      </c>
      <c r="E150" s="34" t="s">
        <v>21</v>
      </c>
      <c r="F150" s="34">
        <v>64</v>
      </c>
      <c r="G150" s="34" t="s">
        <v>0</v>
      </c>
      <c r="H150" s="34">
        <v>1.36</v>
      </c>
      <c r="I150" s="34">
        <v>13.6</v>
      </c>
      <c r="J150" s="41">
        <v>0.09</v>
      </c>
      <c r="K150" s="34">
        <v>2.2799999999999998</v>
      </c>
      <c r="L150" s="34">
        <v>0.27500000000000002</v>
      </c>
      <c r="M150" s="34">
        <v>6.99</v>
      </c>
      <c r="N150" s="34">
        <v>0.13500000000000001</v>
      </c>
      <c r="O150" s="34">
        <v>3.43</v>
      </c>
      <c r="P150" s="34">
        <v>4.7E-2</v>
      </c>
      <c r="Q150" s="34">
        <v>4.7</v>
      </c>
      <c r="R150" s="41">
        <v>6.4000000000000001E-2</v>
      </c>
      <c r="S150" s="35">
        <v>64</v>
      </c>
      <c r="T150" s="34">
        <v>4.0800000000000003E-2</v>
      </c>
      <c r="U150" s="34">
        <f t="shared" si="1"/>
        <v>20</v>
      </c>
      <c r="V150" s="34">
        <f>VLOOKUP(U150,'Powder Core Toroid OD'!$A$2:$B$36,2,FALSE)</f>
        <v>6.35</v>
      </c>
    </row>
    <row r="151" spans="1:22" hidden="1">
      <c r="A151" s="42">
        <v>55019</v>
      </c>
      <c r="B151" s="34" t="s">
        <v>240</v>
      </c>
      <c r="C151" s="158" t="s">
        <v>692</v>
      </c>
      <c r="D151" s="34">
        <v>147</v>
      </c>
      <c r="E151" s="34" t="s">
        <v>21</v>
      </c>
      <c r="F151" s="34">
        <v>59</v>
      </c>
      <c r="G151" s="34" t="s">
        <v>0</v>
      </c>
      <c r="H151" s="34">
        <v>1.36</v>
      </c>
      <c r="I151" s="34">
        <v>13.6</v>
      </c>
      <c r="J151" s="41">
        <v>0.09</v>
      </c>
      <c r="K151" s="34">
        <v>2.2799999999999998</v>
      </c>
      <c r="L151" s="34">
        <v>0.27500000000000002</v>
      </c>
      <c r="M151" s="34">
        <v>6.99</v>
      </c>
      <c r="N151" s="34">
        <v>0.13500000000000001</v>
      </c>
      <c r="O151" s="34">
        <v>3.43</v>
      </c>
      <c r="P151" s="34">
        <v>4.7E-2</v>
      </c>
      <c r="Q151" s="34">
        <v>4.7</v>
      </c>
      <c r="R151" s="41">
        <v>6.4000000000000001E-2</v>
      </c>
      <c r="S151" s="35">
        <v>64</v>
      </c>
      <c r="T151" s="34">
        <v>4.0800000000000003E-2</v>
      </c>
      <c r="U151" s="34">
        <f t="shared" si="1"/>
        <v>20</v>
      </c>
      <c r="V151" s="34">
        <f>VLOOKUP(U151,'Powder Core Toroid OD'!$A$2:$B$36,2,FALSE)</f>
        <v>6.35</v>
      </c>
    </row>
    <row r="152" spans="1:22" hidden="1">
      <c r="A152" s="42">
        <v>55020</v>
      </c>
      <c r="B152" s="34" t="s">
        <v>239</v>
      </c>
      <c r="C152" s="158" t="s">
        <v>692</v>
      </c>
      <c r="D152" s="34">
        <v>125</v>
      </c>
      <c r="E152" s="34" t="s">
        <v>21</v>
      </c>
      <c r="F152" s="34">
        <v>50</v>
      </c>
      <c r="G152" s="34" t="s">
        <v>0</v>
      </c>
      <c r="H152" s="34">
        <v>1.36</v>
      </c>
      <c r="I152" s="34">
        <v>13.6</v>
      </c>
      <c r="J152" s="41">
        <v>0.09</v>
      </c>
      <c r="K152" s="34">
        <v>2.2799999999999998</v>
      </c>
      <c r="L152" s="34">
        <v>0.27500000000000002</v>
      </c>
      <c r="M152" s="34">
        <v>6.99</v>
      </c>
      <c r="N152" s="34">
        <v>0.13500000000000001</v>
      </c>
      <c r="O152" s="34">
        <v>3.43</v>
      </c>
      <c r="P152" s="34">
        <v>4.7E-2</v>
      </c>
      <c r="Q152" s="34">
        <v>4.7</v>
      </c>
      <c r="R152" s="41">
        <v>6.4000000000000001E-2</v>
      </c>
      <c r="S152" s="35">
        <v>64</v>
      </c>
      <c r="T152" s="34">
        <v>4.0800000000000003E-2</v>
      </c>
      <c r="U152" s="34">
        <f t="shared" si="1"/>
        <v>20</v>
      </c>
      <c r="V152" s="34">
        <f>VLOOKUP(U152,'Powder Core Toroid OD'!$A$2:$B$36,2,FALSE)</f>
        <v>6.35</v>
      </c>
    </row>
    <row r="153" spans="1:22" hidden="1">
      <c r="A153" s="42">
        <v>55021</v>
      </c>
      <c r="B153" s="34" t="s">
        <v>238</v>
      </c>
      <c r="C153" s="158" t="s">
        <v>692</v>
      </c>
      <c r="D153" s="34">
        <v>60</v>
      </c>
      <c r="E153" s="34" t="s">
        <v>21</v>
      </c>
      <c r="F153" s="34">
        <v>24</v>
      </c>
      <c r="G153" s="34" t="s">
        <v>0</v>
      </c>
      <c r="H153" s="34">
        <v>1.36</v>
      </c>
      <c r="I153" s="34">
        <v>13.6</v>
      </c>
      <c r="J153" s="41">
        <v>0.09</v>
      </c>
      <c r="K153" s="34">
        <v>2.2799999999999998</v>
      </c>
      <c r="L153" s="34">
        <v>0.27500000000000002</v>
      </c>
      <c r="M153" s="34">
        <v>6.99</v>
      </c>
      <c r="N153" s="34">
        <v>0.13500000000000001</v>
      </c>
      <c r="O153" s="34">
        <v>3.43</v>
      </c>
      <c r="P153" s="34">
        <v>4.7E-2</v>
      </c>
      <c r="Q153" s="34">
        <v>4.7</v>
      </c>
      <c r="R153" s="41">
        <v>6.4000000000000001E-2</v>
      </c>
      <c r="S153" s="35">
        <v>64</v>
      </c>
      <c r="T153" s="34">
        <v>4.0800000000000003E-2</v>
      </c>
      <c r="U153" s="34">
        <f t="shared" si="1"/>
        <v>20</v>
      </c>
      <c r="V153" s="34">
        <f>VLOOKUP(U153,'Powder Core Toroid OD'!$A$2:$B$36,2,FALSE)</f>
        <v>6.35</v>
      </c>
    </row>
    <row r="154" spans="1:22" hidden="1">
      <c r="A154" s="42">
        <v>55022</v>
      </c>
      <c r="B154" s="34" t="s">
        <v>296</v>
      </c>
      <c r="C154" s="158" t="s">
        <v>692</v>
      </c>
      <c r="D154" s="34">
        <v>26</v>
      </c>
      <c r="E154" s="34" t="s">
        <v>21</v>
      </c>
      <c r="F154" s="34">
        <v>10</v>
      </c>
      <c r="G154" s="34" t="s">
        <v>0</v>
      </c>
      <c r="H154" s="34">
        <v>1.36</v>
      </c>
      <c r="I154" s="34">
        <v>13.6</v>
      </c>
      <c r="J154" s="41">
        <v>0.09</v>
      </c>
      <c r="K154" s="34">
        <v>2.2799999999999998</v>
      </c>
      <c r="L154" s="34">
        <v>0.27500000000000002</v>
      </c>
      <c r="M154" s="34">
        <v>6.99</v>
      </c>
      <c r="N154" s="34">
        <v>0.13500000000000001</v>
      </c>
      <c r="O154" s="34">
        <v>3.43</v>
      </c>
      <c r="P154" s="34">
        <v>4.7E-2</v>
      </c>
      <c r="Q154" s="34">
        <v>4.7</v>
      </c>
      <c r="R154" s="41">
        <v>6.4000000000000001E-2</v>
      </c>
      <c r="S154" s="35">
        <v>64</v>
      </c>
      <c r="T154" s="34">
        <v>4.0800000000000003E-2</v>
      </c>
      <c r="U154" s="34">
        <f t="shared" si="1"/>
        <v>20</v>
      </c>
      <c r="V154" s="34">
        <f>VLOOKUP(U154,'Powder Core Toroid OD'!$A$2:$B$36,2,FALSE)</f>
        <v>6.35</v>
      </c>
    </row>
    <row r="155" spans="1:22" hidden="1">
      <c r="A155" s="42">
        <v>55023</v>
      </c>
      <c r="B155" s="34" t="s">
        <v>295</v>
      </c>
      <c r="C155" s="158" t="s">
        <v>692</v>
      </c>
      <c r="D155" s="34">
        <v>14</v>
      </c>
      <c r="E155" s="34" t="s">
        <v>21</v>
      </c>
      <c r="F155" s="34">
        <v>6</v>
      </c>
      <c r="G155" s="34" t="s">
        <v>0</v>
      </c>
      <c r="H155" s="34">
        <v>1.36</v>
      </c>
      <c r="I155" s="34">
        <v>13.6</v>
      </c>
      <c r="J155" s="41">
        <v>0.09</v>
      </c>
      <c r="K155" s="34">
        <v>2.2799999999999998</v>
      </c>
      <c r="L155" s="34">
        <v>0.27500000000000002</v>
      </c>
      <c r="M155" s="34">
        <v>6.99</v>
      </c>
      <c r="N155" s="34">
        <v>0.13500000000000001</v>
      </c>
      <c r="O155" s="34">
        <v>3.43</v>
      </c>
      <c r="P155" s="34">
        <v>4.7E-2</v>
      </c>
      <c r="Q155" s="34">
        <v>4.7</v>
      </c>
      <c r="R155" s="41">
        <v>6.4000000000000001E-2</v>
      </c>
      <c r="S155" s="35">
        <v>64</v>
      </c>
      <c r="T155" s="34">
        <v>4.0800000000000003E-2</v>
      </c>
      <c r="U155" s="34">
        <f t="shared" si="1"/>
        <v>20</v>
      </c>
      <c r="V155" s="34">
        <f>VLOOKUP(U155,'Powder Core Toroid OD'!$A$2:$B$36,2,FALSE)</f>
        <v>6.35</v>
      </c>
    </row>
    <row r="156" spans="1:22" hidden="1">
      <c r="A156" s="42">
        <v>55024</v>
      </c>
      <c r="B156" s="34" t="s">
        <v>237</v>
      </c>
      <c r="C156" s="158" t="s">
        <v>693</v>
      </c>
      <c r="D156" s="34">
        <v>173</v>
      </c>
      <c r="E156" s="34" t="s">
        <v>21</v>
      </c>
      <c r="F156" s="34">
        <v>73</v>
      </c>
      <c r="G156" s="34" t="s">
        <v>0</v>
      </c>
      <c r="H156" s="34">
        <v>1.79</v>
      </c>
      <c r="I156" s="34">
        <v>17.899999999999999</v>
      </c>
      <c r="J156" s="34">
        <v>0.13600000000000001</v>
      </c>
      <c r="K156" s="34">
        <v>3.45</v>
      </c>
      <c r="L156" s="34">
        <v>0.33500000000000002</v>
      </c>
      <c r="M156" s="34">
        <v>8.51</v>
      </c>
      <c r="N156" s="41">
        <v>0.15</v>
      </c>
      <c r="O156" s="34">
        <v>3.8099999999999996</v>
      </c>
      <c r="P156" s="34">
        <v>5.9900000000000002E-2</v>
      </c>
      <c r="Q156" s="34">
        <v>5.99</v>
      </c>
      <c r="R156" s="34">
        <v>0.107</v>
      </c>
      <c r="S156" s="34">
        <v>107</v>
      </c>
      <c r="T156" s="34">
        <v>9.35E-2</v>
      </c>
      <c r="U156" s="34">
        <f t="shared" si="1"/>
        <v>30</v>
      </c>
      <c r="V156" s="34">
        <f>VLOOKUP(U156,'Powder Core Toroid OD'!$A$2:$B$36,2,FALSE)</f>
        <v>7.87</v>
      </c>
    </row>
    <row r="157" spans="1:22" hidden="1">
      <c r="A157" s="42">
        <v>55025</v>
      </c>
      <c r="B157" s="34" t="s">
        <v>236</v>
      </c>
      <c r="C157" s="158" t="s">
        <v>693</v>
      </c>
      <c r="D157" s="34">
        <v>300</v>
      </c>
      <c r="E157" s="34" t="s">
        <v>21</v>
      </c>
      <c r="F157" s="34">
        <v>124</v>
      </c>
      <c r="G157" s="34" t="s">
        <v>0</v>
      </c>
      <c r="H157" s="34">
        <v>1.79</v>
      </c>
      <c r="I157" s="34">
        <v>17.899999999999999</v>
      </c>
      <c r="J157" s="34">
        <v>0.13600000000000001</v>
      </c>
      <c r="K157" s="34">
        <v>3.45</v>
      </c>
      <c r="L157" s="34">
        <v>0.33500000000000002</v>
      </c>
      <c r="M157" s="34">
        <v>8.51</v>
      </c>
      <c r="N157" s="41">
        <v>0.15</v>
      </c>
      <c r="O157" s="34">
        <v>3.8099999999999996</v>
      </c>
      <c r="P157" s="34">
        <v>5.9900000000000002E-2</v>
      </c>
      <c r="Q157" s="34">
        <v>5.99</v>
      </c>
      <c r="R157" s="34">
        <v>0.107</v>
      </c>
      <c r="S157" s="34">
        <v>107</v>
      </c>
      <c r="T157" s="34">
        <v>9.35E-2</v>
      </c>
      <c r="U157" s="34">
        <f t="shared" si="1"/>
        <v>30</v>
      </c>
      <c r="V157" s="34">
        <f>VLOOKUP(U157,'Powder Core Toroid OD'!$A$2:$B$36,2,FALSE)</f>
        <v>7.87</v>
      </c>
    </row>
    <row r="158" spans="1:22">
      <c r="A158" s="33">
        <v>78617</v>
      </c>
      <c r="B158" s="34" t="s">
        <v>859</v>
      </c>
      <c r="C158" s="158">
        <v>620</v>
      </c>
      <c r="D158" s="34">
        <v>60</v>
      </c>
      <c r="E158" s="34" t="s">
        <v>1</v>
      </c>
      <c r="F158" s="34">
        <v>189</v>
      </c>
      <c r="G158" s="34" t="s">
        <v>0</v>
      </c>
      <c r="H158" s="34">
        <v>14.4</v>
      </c>
      <c r="I158" s="34">
        <v>144</v>
      </c>
      <c r="J158" s="34">
        <v>1.248</v>
      </c>
      <c r="K158" s="40">
        <v>31.69</v>
      </c>
      <c r="L158" s="34">
        <v>2.4769999999999999</v>
      </c>
      <c r="M158" s="40">
        <v>62.91</v>
      </c>
      <c r="N158" s="41">
        <v>1.02</v>
      </c>
      <c r="O158" s="40">
        <v>25.91</v>
      </c>
      <c r="P158" s="40">
        <v>3.6</v>
      </c>
      <c r="Q158" s="34">
        <v>360</v>
      </c>
      <c r="R158" s="34">
        <v>51.8</v>
      </c>
      <c r="S158" s="34">
        <v>51800</v>
      </c>
      <c r="T158" s="34">
        <v>7.89</v>
      </c>
      <c r="U158" s="34">
        <f t="shared" si="1"/>
        <v>620</v>
      </c>
      <c r="V158" s="34">
        <f>VLOOKUP(U158,'Powder Core Toroid OD'!$A$2:$B$36,2,FALSE)</f>
        <v>62</v>
      </c>
    </row>
    <row r="159" spans="1:22" hidden="1">
      <c r="A159" s="42">
        <v>55027</v>
      </c>
      <c r="B159" s="34" t="s">
        <v>235</v>
      </c>
      <c r="C159" s="158" t="s">
        <v>693</v>
      </c>
      <c r="D159" s="34">
        <v>200</v>
      </c>
      <c r="E159" s="34" t="s">
        <v>21</v>
      </c>
      <c r="F159" s="34">
        <v>83</v>
      </c>
      <c r="G159" s="34" t="s">
        <v>0</v>
      </c>
      <c r="H159" s="34">
        <v>1.79</v>
      </c>
      <c r="I159" s="34">
        <v>17.899999999999999</v>
      </c>
      <c r="J159" s="34">
        <v>0.13600000000000001</v>
      </c>
      <c r="K159" s="34">
        <v>3.45</v>
      </c>
      <c r="L159" s="34">
        <v>0.33500000000000002</v>
      </c>
      <c r="M159" s="34">
        <v>8.51</v>
      </c>
      <c r="N159" s="41">
        <v>0.15</v>
      </c>
      <c r="O159" s="34">
        <v>3.8099999999999996</v>
      </c>
      <c r="P159" s="34">
        <v>5.9900000000000002E-2</v>
      </c>
      <c r="Q159" s="34">
        <v>5.99</v>
      </c>
      <c r="R159" s="34">
        <v>0.107</v>
      </c>
      <c r="S159" s="34">
        <v>107</v>
      </c>
      <c r="T159" s="34">
        <v>9.35E-2</v>
      </c>
      <c r="U159" s="34">
        <f t="shared" si="1"/>
        <v>30</v>
      </c>
      <c r="V159" s="34">
        <f>VLOOKUP(U159,'Powder Core Toroid OD'!$A$2:$B$36,2,FALSE)</f>
        <v>7.87</v>
      </c>
    </row>
    <row r="160" spans="1:22" hidden="1">
      <c r="A160" s="42">
        <v>55028</v>
      </c>
      <c r="B160" s="34" t="s">
        <v>234</v>
      </c>
      <c r="C160" s="158" t="s">
        <v>693</v>
      </c>
      <c r="D160" s="34">
        <v>160</v>
      </c>
      <c r="E160" s="34" t="s">
        <v>21</v>
      </c>
      <c r="F160" s="34">
        <v>66</v>
      </c>
      <c r="G160" s="34" t="s">
        <v>0</v>
      </c>
      <c r="H160" s="34">
        <v>1.79</v>
      </c>
      <c r="I160" s="34">
        <v>17.899999999999999</v>
      </c>
      <c r="J160" s="34">
        <v>0.13600000000000001</v>
      </c>
      <c r="K160" s="34">
        <v>3.45</v>
      </c>
      <c r="L160" s="34">
        <v>0.33500000000000002</v>
      </c>
      <c r="M160" s="34">
        <v>8.51</v>
      </c>
      <c r="N160" s="41">
        <v>0.15</v>
      </c>
      <c r="O160" s="34">
        <v>3.8099999999999996</v>
      </c>
      <c r="P160" s="34">
        <v>5.9900000000000002E-2</v>
      </c>
      <c r="Q160" s="34">
        <v>5.99</v>
      </c>
      <c r="R160" s="34">
        <v>0.107</v>
      </c>
      <c r="S160" s="34">
        <v>107</v>
      </c>
      <c r="T160" s="34">
        <v>9.35E-2</v>
      </c>
      <c r="U160" s="34">
        <f t="shared" si="1"/>
        <v>30</v>
      </c>
      <c r="V160" s="34">
        <f>VLOOKUP(U160,'Powder Core Toroid OD'!$A$2:$B$36,2,FALSE)</f>
        <v>7.87</v>
      </c>
    </row>
    <row r="161" spans="1:22" hidden="1">
      <c r="A161" s="42">
        <v>55029</v>
      </c>
      <c r="B161" s="34" t="s">
        <v>233</v>
      </c>
      <c r="C161" s="158" t="s">
        <v>693</v>
      </c>
      <c r="D161" s="34">
        <v>147</v>
      </c>
      <c r="E161" s="34" t="s">
        <v>21</v>
      </c>
      <c r="F161" s="34">
        <v>62</v>
      </c>
      <c r="G161" s="34" t="s">
        <v>0</v>
      </c>
      <c r="H161" s="34">
        <v>1.79</v>
      </c>
      <c r="I161" s="34">
        <v>17.899999999999999</v>
      </c>
      <c r="J161" s="34">
        <v>0.13600000000000001</v>
      </c>
      <c r="K161" s="34">
        <v>3.45</v>
      </c>
      <c r="L161" s="34">
        <v>0.33500000000000002</v>
      </c>
      <c r="M161" s="34">
        <v>8.51</v>
      </c>
      <c r="N161" s="41">
        <v>0.15</v>
      </c>
      <c r="O161" s="34">
        <v>3.8099999999999996</v>
      </c>
      <c r="P161" s="34">
        <v>5.9900000000000002E-2</v>
      </c>
      <c r="Q161" s="34">
        <v>5.99</v>
      </c>
      <c r="R161" s="34">
        <v>0.107</v>
      </c>
      <c r="S161" s="34">
        <v>107</v>
      </c>
      <c r="T161" s="34">
        <v>9.35E-2</v>
      </c>
      <c r="U161" s="34">
        <f t="shared" si="1"/>
        <v>30</v>
      </c>
      <c r="V161" s="34">
        <f>VLOOKUP(U161,'Powder Core Toroid OD'!$A$2:$B$36,2,FALSE)</f>
        <v>7.87</v>
      </c>
    </row>
    <row r="162" spans="1:22" hidden="1">
      <c r="A162" s="42">
        <v>55030</v>
      </c>
      <c r="B162" s="34" t="s">
        <v>232</v>
      </c>
      <c r="C162" s="158" t="s">
        <v>693</v>
      </c>
      <c r="D162" s="34">
        <v>125</v>
      </c>
      <c r="E162" s="34" t="s">
        <v>21</v>
      </c>
      <c r="F162" s="34">
        <v>52</v>
      </c>
      <c r="G162" s="34" t="s">
        <v>0</v>
      </c>
      <c r="H162" s="34">
        <v>1.79</v>
      </c>
      <c r="I162" s="34">
        <v>17.899999999999999</v>
      </c>
      <c r="J162" s="34">
        <v>0.13600000000000001</v>
      </c>
      <c r="K162" s="34">
        <v>3.45</v>
      </c>
      <c r="L162" s="34">
        <v>0.33500000000000002</v>
      </c>
      <c r="M162" s="34">
        <v>8.51</v>
      </c>
      <c r="N162" s="41">
        <v>0.15</v>
      </c>
      <c r="O162" s="34">
        <v>3.8099999999999996</v>
      </c>
      <c r="P162" s="34">
        <v>5.9900000000000002E-2</v>
      </c>
      <c r="Q162" s="34">
        <v>5.99</v>
      </c>
      <c r="R162" s="34">
        <v>0.107</v>
      </c>
      <c r="S162" s="34">
        <v>107</v>
      </c>
      <c r="T162" s="34">
        <v>9.35E-2</v>
      </c>
      <c r="U162" s="34">
        <f t="shared" si="1"/>
        <v>30</v>
      </c>
      <c r="V162" s="34">
        <f>VLOOKUP(U162,'Powder Core Toroid OD'!$A$2:$B$36,2,FALSE)</f>
        <v>7.87</v>
      </c>
    </row>
    <row r="163" spans="1:22" hidden="1">
      <c r="A163" s="42">
        <v>55031</v>
      </c>
      <c r="B163" s="34" t="s">
        <v>231</v>
      </c>
      <c r="C163" s="158" t="s">
        <v>693</v>
      </c>
      <c r="D163" s="34">
        <v>60</v>
      </c>
      <c r="E163" s="34" t="s">
        <v>21</v>
      </c>
      <c r="F163" s="34">
        <v>25</v>
      </c>
      <c r="G163" s="34" t="s">
        <v>0</v>
      </c>
      <c r="H163" s="34">
        <v>1.79</v>
      </c>
      <c r="I163" s="34">
        <v>17.899999999999999</v>
      </c>
      <c r="J163" s="34">
        <v>0.13600000000000001</v>
      </c>
      <c r="K163" s="34">
        <v>3.45</v>
      </c>
      <c r="L163" s="34">
        <v>0.33500000000000002</v>
      </c>
      <c r="M163" s="34">
        <v>8.51</v>
      </c>
      <c r="N163" s="41">
        <v>0.15</v>
      </c>
      <c r="O163" s="34">
        <v>3.8099999999999996</v>
      </c>
      <c r="P163" s="34">
        <v>5.9900000000000002E-2</v>
      </c>
      <c r="Q163" s="34">
        <v>5.99</v>
      </c>
      <c r="R163" s="34">
        <v>0.107</v>
      </c>
      <c r="S163" s="34">
        <v>107</v>
      </c>
      <c r="T163" s="34">
        <v>9.35E-2</v>
      </c>
      <c r="U163" s="34">
        <f t="shared" si="1"/>
        <v>30</v>
      </c>
      <c r="V163" s="34">
        <f>VLOOKUP(U163,'Powder Core Toroid OD'!$A$2:$B$36,2,FALSE)</f>
        <v>7.87</v>
      </c>
    </row>
    <row r="164" spans="1:22" hidden="1">
      <c r="A164" s="42">
        <v>55032</v>
      </c>
      <c r="B164" s="34" t="s">
        <v>294</v>
      </c>
      <c r="C164" s="158" t="s">
        <v>693</v>
      </c>
      <c r="D164" s="34">
        <v>26</v>
      </c>
      <c r="E164" s="34" t="s">
        <v>21</v>
      </c>
      <c r="F164" s="34">
        <v>11</v>
      </c>
      <c r="G164" s="34" t="s">
        <v>0</v>
      </c>
      <c r="H164" s="34">
        <v>1.79</v>
      </c>
      <c r="I164" s="34">
        <v>17.899999999999999</v>
      </c>
      <c r="J164" s="34">
        <v>0.13600000000000001</v>
      </c>
      <c r="K164" s="34">
        <v>3.45</v>
      </c>
      <c r="L164" s="34">
        <v>0.33500000000000002</v>
      </c>
      <c r="M164" s="34">
        <v>8.51</v>
      </c>
      <c r="N164" s="41">
        <v>0.15</v>
      </c>
      <c r="O164" s="34">
        <v>3.8099999999999996</v>
      </c>
      <c r="P164" s="34">
        <v>5.9900000000000002E-2</v>
      </c>
      <c r="Q164" s="34">
        <v>5.99</v>
      </c>
      <c r="R164" s="34">
        <v>0.107</v>
      </c>
      <c r="S164" s="34">
        <v>107</v>
      </c>
      <c r="T164" s="34">
        <v>9.35E-2</v>
      </c>
      <c r="U164" s="34">
        <f t="shared" si="1"/>
        <v>30</v>
      </c>
      <c r="V164" s="34">
        <f>VLOOKUP(U164,'Powder Core Toroid OD'!$A$2:$B$36,2,FALSE)</f>
        <v>7.87</v>
      </c>
    </row>
    <row r="165" spans="1:22" hidden="1">
      <c r="A165" s="42">
        <v>55033</v>
      </c>
      <c r="B165" s="34" t="s">
        <v>293</v>
      </c>
      <c r="C165" s="158" t="s">
        <v>693</v>
      </c>
      <c r="D165" s="34">
        <v>14</v>
      </c>
      <c r="E165" s="34" t="s">
        <v>21</v>
      </c>
      <c r="F165" s="34">
        <v>6</v>
      </c>
      <c r="G165" s="34" t="s">
        <v>0</v>
      </c>
      <c r="H165" s="34">
        <v>1.79</v>
      </c>
      <c r="I165" s="34">
        <v>17.899999999999999</v>
      </c>
      <c r="J165" s="34">
        <v>0.13600000000000001</v>
      </c>
      <c r="K165" s="34">
        <v>3.45</v>
      </c>
      <c r="L165" s="34">
        <v>0.33500000000000002</v>
      </c>
      <c r="M165" s="34">
        <v>8.51</v>
      </c>
      <c r="N165" s="41">
        <v>0.15</v>
      </c>
      <c r="O165" s="34">
        <v>3.8099999999999996</v>
      </c>
      <c r="P165" s="34">
        <v>5.9900000000000002E-2</v>
      </c>
      <c r="Q165" s="34">
        <v>5.99</v>
      </c>
      <c r="R165" s="34">
        <v>0.107</v>
      </c>
      <c r="S165" s="34">
        <v>107</v>
      </c>
      <c r="T165" s="34">
        <v>9.35E-2</v>
      </c>
      <c r="U165" s="34">
        <f t="shared" si="1"/>
        <v>30</v>
      </c>
      <c r="V165" s="34">
        <f>VLOOKUP(U165,'Powder Core Toroid OD'!$A$2:$B$36,2,FALSE)</f>
        <v>7.87</v>
      </c>
    </row>
    <row r="166" spans="1:22" hidden="1">
      <c r="A166" s="42">
        <v>55034</v>
      </c>
      <c r="B166" s="34" t="s">
        <v>230</v>
      </c>
      <c r="C166" s="158" t="s">
        <v>694</v>
      </c>
      <c r="D166" s="34">
        <v>173</v>
      </c>
      <c r="E166" s="34" t="s">
        <v>21</v>
      </c>
      <c r="F166" s="34">
        <v>92</v>
      </c>
      <c r="G166" s="34" t="s">
        <v>0</v>
      </c>
      <c r="H166" s="40">
        <v>2.2999999999999998</v>
      </c>
      <c r="I166" s="35">
        <v>23</v>
      </c>
      <c r="J166" s="41">
        <v>0.18</v>
      </c>
      <c r="K166" s="34">
        <v>4.57</v>
      </c>
      <c r="L166" s="34">
        <v>0.42499999999999999</v>
      </c>
      <c r="M166" s="34">
        <v>10.8</v>
      </c>
      <c r="N166" s="34">
        <v>0.18099999999999999</v>
      </c>
      <c r="O166" s="34">
        <v>4.5999999999999996</v>
      </c>
      <c r="P166" s="34">
        <v>9.5699999999999993E-2</v>
      </c>
      <c r="Q166" s="34">
        <v>9.5699999999999985</v>
      </c>
      <c r="R166" s="34">
        <v>0.22</v>
      </c>
      <c r="S166" s="34">
        <v>220</v>
      </c>
      <c r="T166" s="34">
        <v>0.16400000000000001</v>
      </c>
      <c r="U166" s="34">
        <f t="shared" si="1"/>
        <v>40</v>
      </c>
      <c r="V166" s="34">
        <f>VLOOKUP(U166,'Powder Core Toroid OD'!$A$2:$B$36,2,FALSE)</f>
        <v>10.199999999999999</v>
      </c>
    </row>
    <row r="167" spans="1:22" hidden="1">
      <c r="A167" s="42">
        <v>55035</v>
      </c>
      <c r="B167" s="34" t="s">
        <v>229</v>
      </c>
      <c r="C167" s="158" t="s">
        <v>694</v>
      </c>
      <c r="D167" s="34">
        <v>300</v>
      </c>
      <c r="E167" s="34" t="s">
        <v>21</v>
      </c>
      <c r="F167" s="34">
        <v>159</v>
      </c>
      <c r="G167" s="34" t="s">
        <v>0</v>
      </c>
      <c r="H167" s="40">
        <v>2.2999999999999998</v>
      </c>
      <c r="I167" s="35">
        <v>23</v>
      </c>
      <c r="J167" s="41">
        <v>0.18</v>
      </c>
      <c r="K167" s="34">
        <v>4.57</v>
      </c>
      <c r="L167" s="34">
        <v>0.42499999999999999</v>
      </c>
      <c r="M167" s="34">
        <v>10.8</v>
      </c>
      <c r="N167" s="34">
        <v>0.18099999999999999</v>
      </c>
      <c r="O167" s="34">
        <v>4.5999999999999996</v>
      </c>
      <c r="P167" s="34">
        <v>9.5699999999999993E-2</v>
      </c>
      <c r="Q167" s="34">
        <v>9.5699999999999985</v>
      </c>
      <c r="R167" s="34">
        <v>0.22</v>
      </c>
      <c r="S167" s="34">
        <v>220</v>
      </c>
      <c r="T167" s="34">
        <v>0.16400000000000001</v>
      </c>
      <c r="U167" s="34">
        <f t="shared" si="1"/>
        <v>40</v>
      </c>
      <c r="V167" s="34">
        <f>VLOOKUP(U167,'Powder Core Toroid OD'!$A$2:$B$36,2,FALSE)</f>
        <v>10.199999999999999</v>
      </c>
    </row>
    <row r="168" spans="1:22" hidden="1">
      <c r="A168" s="42">
        <v>55036</v>
      </c>
      <c r="B168" s="34" t="s">
        <v>228</v>
      </c>
      <c r="C168" s="158" t="s">
        <v>694</v>
      </c>
      <c r="D168" s="34">
        <v>550</v>
      </c>
      <c r="E168" s="34" t="s">
        <v>21</v>
      </c>
      <c r="F168" s="34">
        <v>290</v>
      </c>
      <c r="G168" s="34" t="s">
        <v>0</v>
      </c>
      <c r="H168" s="40">
        <v>2.2999999999999998</v>
      </c>
      <c r="I168" s="35">
        <v>23</v>
      </c>
      <c r="J168" s="41">
        <v>0.18</v>
      </c>
      <c r="K168" s="34">
        <v>4.57</v>
      </c>
      <c r="L168" s="34">
        <v>0.42499999999999999</v>
      </c>
      <c r="M168" s="34">
        <v>10.8</v>
      </c>
      <c r="N168" s="34">
        <v>0.18099999999999999</v>
      </c>
      <c r="O168" s="34">
        <v>4.5999999999999996</v>
      </c>
      <c r="P168" s="34">
        <v>9.5699999999999993E-2</v>
      </c>
      <c r="Q168" s="34">
        <v>9.5699999999999985</v>
      </c>
      <c r="R168" s="34">
        <v>0.22</v>
      </c>
      <c r="S168" s="34">
        <v>220</v>
      </c>
      <c r="T168" s="34">
        <v>0.16400000000000001</v>
      </c>
      <c r="U168" s="34">
        <f t="shared" si="1"/>
        <v>40</v>
      </c>
      <c r="V168" s="34">
        <f>VLOOKUP(U168,'Powder Core Toroid OD'!$A$2:$B$36,2,FALSE)</f>
        <v>10.199999999999999</v>
      </c>
    </row>
    <row r="169" spans="1:22" hidden="1">
      <c r="A169" s="42">
        <v>55037</v>
      </c>
      <c r="B169" s="34" t="s">
        <v>227</v>
      </c>
      <c r="C169" s="158" t="s">
        <v>694</v>
      </c>
      <c r="D169" s="34">
        <v>200</v>
      </c>
      <c r="E169" s="34" t="s">
        <v>21</v>
      </c>
      <c r="F169" s="34">
        <v>105</v>
      </c>
      <c r="G169" s="34" t="s">
        <v>0</v>
      </c>
      <c r="H169" s="40">
        <v>2.2999999999999998</v>
      </c>
      <c r="I169" s="35">
        <v>23</v>
      </c>
      <c r="J169" s="41">
        <v>0.18</v>
      </c>
      <c r="K169" s="34">
        <v>4.57</v>
      </c>
      <c r="L169" s="34">
        <v>0.42499999999999999</v>
      </c>
      <c r="M169" s="34">
        <v>10.8</v>
      </c>
      <c r="N169" s="34">
        <v>0.18099999999999999</v>
      </c>
      <c r="O169" s="34">
        <v>4.5999999999999996</v>
      </c>
      <c r="P169" s="34">
        <v>9.5699999999999993E-2</v>
      </c>
      <c r="Q169" s="34">
        <v>9.5699999999999985</v>
      </c>
      <c r="R169" s="34">
        <v>0.22</v>
      </c>
      <c r="S169" s="34">
        <v>220</v>
      </c>
      <c r="T169" s="34">
        <v>0.16400000000000001</v>
      </c>
      <c r="U169" s="34">
        <f t="shared" si="1"/>
        <v>40</v>
      </c>
      <c r="V169" s="34">
        <f>VLOOKUP(U169,'Powder Core Toroid OD'!$A$2:$B$36,2,FALSE)</f>
        <v>10.199999999999999</v>
      </c>
    </row>
    <row r="170" spans="1:22" hidden="1">
      <c r="A170" s="42">
        <v>55038</v>
      </c>
      <c r="B170" s="34" t="s">
        <v>226</v>
      </c>
      <c r="C170" s="158" t="s">
        <v>694</v>
      </c>
      <c r="D170" s="34">
        <v>160</v>
      </c>
      <c r="E170" s="34" t="s">
        <v>21</v>
      </c>
      <c r="F170" s="34">
        <v>84</v>
      </c>
      <c r="G170" s="34" t="s">
        <v>0</v>
      </c>
      <c r="H170" s="40">
        <v>2.2999999999999998</v>
      </c>
      <c r="I170" s="35">
        <v>23</v>
      </c>
      <c r="J170" s="41">
        <v>0.18</v>
      </c>
      <c r="K170" s="34">
        <v>4.57</v>
      </c>
      <c r="L170" s="34">
        <v>0.42499999999999999</v>
      </c>
      <c r="M170" s="34">
        <v>10.8</v>
      </c>
      <c r="N170" s="34">
        <v>0.18099999999999999</v>
      </c>
      <c r="O170" s="34">
        <v>4.5999999999999996</v>
      </c>
      <c r="P170" s="34">
        <v>9.5699999999999993E-2</v>
      </c>
      <c r="Q170" s="34">
        <v>9.5699999999999985</v>
      </c>
      <c r="R170" s="34">
        <v>0.22</v>
      </c>
      <c r="S170" s="34">
        <v>220</v>
      </c>
      <c r="T170" s="34">
        <v>0.16400000000000001</v>
      </c>
      <c r="U170" s="34">
        <f t="shared" si="1"/>
        <v>40</v>
      </c>
      <c r="V170" s="34">
        <f>VLOOKUP(U170,'Powder Core Toroid OD'!$A$2:$B$36,2,FALSE)</f>
        <v>10.199999999999999</v>
      </c>
    </row>
    <row r="171" spans="1:22" hidden="1">
      <c r="A171" s="42">
        <v>55039</v>
      </c>
      <c r="B171" s="34" t="s">
        <v>225</v>
      </c>
      <c r="C171" s="158" t="s">
        <v>694</v>
      </c>
      <c r="D171" s="34">
        <v>147</v>
      </c>
      <c r="E171" s="34" t="s">
        <v>21</v>
      </c>
      <c r="F171" s="34">
        <v>78</v>
      </c>
      <c r="G171" s="34" t="s">
        <v>0</v>
      </c>
      <c r="H171" s="40">
        <v>2.2999999999999998</v>
      </c>
      <c r="I171" s="35">
        <v>23</v>
      </c>
      <c r="J171" s="41">
        <v>0.18</v>
      </c>
      <c r="K171" s="34">
        <v>4.57</v>
      </c>
      <c r="L171" s="34">
        <v>0.42499999999999999</v>
      </c>
      <c r="M171" s="34">
        <v>10.8</v>
      </c>
      <c r="N171" s="34">
        <v>0.18099999999999999</v>
      </c>
      <c r="O171" s="34">
        <v>4.5999999999999996</v>
      </c>
      <c r="P171" s="34">
        <v>9.5699999999999993E-2</v>
      </c>
      <c r="Q171" s="34">
        <v>9.5699999999999985</v>
      </c>
      <c r="R171" s="34">
        <v>0.22</v>
      </c>
      <c r="S171" s="34">
        <v>220</v>
      </c>
      <c r="T171" s="34">
        <v>0.16400000000000001</v>
      </c>
      <c r="U171" s="34">
        <f t="shared" si="1"/>
        <v>40</v>
      </c>
      <c r="V171" s="34">
        <f>VLOOKUP(U171,'Powder Core Toroid OD'!$A$2:$B$36,2,FALSE)</f>
        <v>10.199999999999999</v>
      </c>
    </row>
    <row r="172" spans="1:22" hidden="1">
      <c r="A172" s="42">
        <v>55040</v>
      </c>
      <c r="B172" s="34" t="s">
        <v>224</v>
      </c>
      <c r="C172" s="158" t="s">
        <v>694</v>
      </c>
      <c r="D172" s="34">
        <v>125</v>
      </c>
      <c r="E172" s="34" t="s">
        <v>21</v>
      </c>
      <c r="F172" s="34">
        <v>66</v>
      </c>
      <c r="G172" s="34" t="s">
        <v>0</v>
      </c>
      <c r="H172" s="40">
        <v>2.2999999999999998</v>
      </c>
      <c r="I172" s="35">
        <v>23</v>
      </c>
      <c r="J172" s="41">
        <v>0.18</v>
      </c>
      <c r="K172" s="34">
        <v>4.57</v>
      </c>
      <c r="L172" s="34">
        <v>0.42499999999999999</v>
      </c>
      <c r="M172" s="34">
        <v>10.8</v>
      </c>
      <c r="N172" s="34">
        <v>0.18099999999999999</v>
      </c>
      <c r="O172" s="34">
        <v>4.5999999999999996</v>
      </c>
      <c r="P172" s="34">
        <v>9.5699999999999993E-2</v>
      </c>
      <c r="Q172" s="34">
        <v>9.5699999999999985</v>
      </c>
      <c r="R172" s="34">
        <v>0.22</v>
      </c>
      <c r="S172" s="34">
        <v>220</v>
      </c>
      <c r="T172" s="34">
        <v>0.16400000000000001</v>
      </c>
      <c r="U172" s="34">
        <f t="shared" si="1"/>
        <v>40</v>
      </c>
      <c r="V172" s="34">
        <f>VLOOKUP(U172,'Powder Core Toroid OD'!$A$2:$B$36,2,FALSE)</f>
        <v>10.199999999999999</v>
      </c>
    </row>
    <row r="173" spans="1:22" hidden="1">
      <c r="A173" s="42">
        <v>55041</v>
      </c>
      <c r="B173" s="34" t="s">
        <v>223</v>
      </c>
      <c r="C173" s="158" t="s">
        <v>694</v>
      </c>
      <c r="D173" s="34">
        <v>60</v>
      </c>
      <c r="E173" s="34" t="s">
        <v>21</v>
      </c>
      <c r="F173" s="34">
        <v>32</v>
      </c>
      <c r="G173" s="34" t="s">
        <v>0</v>
      </c>
      <c r="H173" s="40">
        <v>2.2999999999999998</v>
      </c>
      <c r="I173" s="35">
        <v>23</v>
      </c>
      <c r="J173" s="41">
        <v>0.18</v>
      </c>
      <c r="K173" s="34">
        <v>4.57</v>
      </c>
      <c r="L173" s="34">
        <v>0.42499999999999999</v>
      </c>
      <c r="M173" s="34">
        <v>10.8</v>
      </c>
      <c r="N173" s="34">
        <v>0.18099999999999999</v>
      </c>
      <c r="O173" s="34">
        <v>4.5999999999999996</v>
      </c>
      <c r="P173" s="34">
        <v>9.5699999999999993E-2</v>
      </c>
      <c r="Q173" s="34">
        <v>9.5699999999999985</v>
      </c>
      <c r="R173" s="34">
        <v>0.22</v>
      </c>
      <c r="S173" s="34">
        <v>220</v>
      </c>
      <c r="T173" s="34">
        <v>0.16400000000000001</v>
      </c>
      <c r="U173" s="34">
        <f t="shared" si="1"/>
        <v>40</v>
      </c>
      <c r="V173" s="34">
        <f>VLOOKUP(U173,'Powder Core Toroid OD'!$A$2:$B$36,2,FALSE)</f>
        <v>10.199999999999999</v>
      </c>
    </row>
    <row r="174" spans="1:22" hidden="1">
      <c r="A174" s="42">
        <v>55042</v>
      </c>
      <c r="B174" s="34" t="s">
        <v>292</v>
      </c>
      <c r="C174" s="158" t="s">
        <v>694</v>
      </c>
      <c r="D174" s="34">
        <v>26</v>
      </c>
      <c r="E174" s="34" t="s">
        <v>21</v>
      </c>
      <c r="F174" s="34">
        <v>14</v>
      </c>
      <c r="G174" s="34" t="s">
        <v>0</v>
      </c>
      <c r="H174" s="40">
        <v>2.2999999999999998</v>
      </c>
      <c r="I174" s="35">
        <v>23</v>
      </c>
      <c r="J174" s="41">
        <v>0.18</v>
      </c>
      <c r="K174" s="34">
        <v>4.57</v>
      </c>
      <c r="L174" s="34">
        <v>0.42499999999999999</v>
      </c>
      <c r="M174" s="34">
        <v>10.8</v>
      </c>
      <c r="N174" s="34">
        <v>0.18099999999999999</v>
      </c>
      <c r="O174" s="34">
        <v>4.5999999999999996</v>
      </c>
      <c r="P174" s="34">
        <v>9.5699999999999993E-2</v>
      </c>
      <c r="Q174" s="34">
        <v>9.5699999999999985</v>
      </c>
      <c r="R174" s="34">
        <v>0.22</v>
      </c>
      <c r="S174" s="34">
        <v>220</v>
      </c>
      <c r="T174" s="34">
        <v>0.16400000000000001</v>
      </c>
      <c r="U174" s="34">
        <f t="shared" si="1"/>
        <v>40</v>
      </c>
      <c r="V174" s="34">
        <f>VLOOKUP(U174,'Powder Core Toroid OD'!$A$2:$B$36,2,FALSE)</f>
        <v>10.199999999999999</v>
      </c>
    </row>
    <row r="175" spans="1:22" hidden="1">
      <c r="A175" s="42">
        <v>55043</v>
      </c>
      <c r="B175" s="34" t="s">
        <v>291</v>
      </c>
      <c r="C175" s="158" t="s">
        <v>694</v>
      </c>
      <c r="D175" s="34">
        <v>14</v>
      </c>
      <c r="E175" s="34" t="s">
        <v>21</v>
      </c>
      <c r="F175" s="34">
        <v>7</v>
      </c>
      <c r="G175" s="34" t="s">
        <v>0</v>
      </c>
      <c r="H175" s="40">
        <v>2.2999999999999998</v>
      </c>
      <c r="I175" s="35">
        <v>23</v>
      </c>
      <c r="J175" s="41">
        <v>0.18</v>
      </c>
      <c r="K175" s="34">
        <v>4.57</v>
      </c>
      <c r="L175" s="34">
        <v>0.42499999999999999</v>
      </c>
      <c r="M175" s="34">
        <v>10.8</v>
      </c>
      <c r="N175" s="34">
        <v>0.18099999999999999</v>
      </c>
      <c r="O175" s="34">
        <v>4.5999999999999996</v>
      </c>
      <c r="P175" s="34">
        <v>9.5699999999999993E-2</v>
      </c>
      <c r="Q175" s="34">
        <v>9.5699999999999985</v>
      </c>
      <c r="R175" s="34">
        <v>0.22</v>
      </c>
      <c r="S175" s="34">
        <v>220</v>
      </c>
      <c r="T175" s="34">
        <v>0.16400000000000001</v>
      </c>
      <c r="U175" s="34">
        <f t="shared" si="1"/>
        <v>40</v>
      </c>
      <c r="V175" s="34">
        <f>VLOOKUP(U175,'Powder Core Toroid OD'!$A$2:$B$36,2,FALSE)</f>
        <v>10.199999999999999</v>
      </c>
    </row>
    <row r="176" spans="1:22" hidden="1">
      <c r="A176" s="42">
        <v>55044</v>
      </c>
      <c r="B176" s="34" t="s">
        <v>222</v>
      </c>
      <c r="C176" s="158" t="s">
        <v>695</v>
      </c>
      <c r="D176" s="34">
        <v>173</v>
      </c>
      <c r="E176" s="34" t="s">
        <v>21</v>
      </c>
      <c r="F176" s="34">
        <v>79</v>
      </c>
      <c r="G176" s="34" t="s">
        <v>0</v>
      </c>
      <c r="H176" s="34">
        <v>3.12</v>
      </c>
      <c r="I176" s="34">
        <v>31.200000000000003</v>
      </c>
      <c r="J176" s="34">
        <v>0.27500000000000002</v>
      </c>
      <c r="K176" s="34">
        <v>6.98</v>
      </c>
      <c r="L176" s="41">
        <v>0.53</v>
      </c>
      <c r="M176" s="34">
        <v>13.5</v>
      </c>
      <c r="N176" s="34">
        <v>0.217</v>
      </c>
      <c r="O176" s="34">
        <v>5.52</v>
      </c>
      <c r="P176" s="34">
        <v>0.109</v>
      </c>
      <c r="Q176" s="34">
        <v>10.9</v>
      </c>
      <c r="R176" s="34">
        <v>0.34</v>
      </c>
      <c r="S176" s="34">
        <v>340</v>
      </c>
      <c r="T176" s="34">
        <v>0.38300000000000001</v>
      </c>
      <c r="U176" s="34">
        <f t="shared" si="1"/>
        <v>50</v>
      </c>
      <c r="V176" s="34">
        <f>VLOOKUP(U176,'Powder Core Toroid OD'!$A$2:$B$36,2,FALSE)</f>
        <v>12.7</v>
      </c>
    </row>
    <row r="177" spans="1:22" hidden="1">
      <c r="A177" s="42">
        <v>55045</v>
      </c>
      <c r="B177" s="34" t="s">
        <v>221</v>
      </c>
      <c r="C177" s="158" t="s">
        <v>695</v>
      </c>
      <c r="D177" s="34">
        <v>300</v>
      </c>
      <c r="E177" s="34" t="s">
        <v>21</v>
      </c>
      <c r="F177" s="34">
        <v>134</v>
      </c>
      <c r="G177" s="34" t="s">
        <v>0</v>
      </c>
      <c r="H177" s="34">
        <v>3.12</v>
      </c>
      <c r="I177" s="34">
        <v>31.200000000000003</v>
      </c>
      <c r="J177" s="34">
        <v>0.27500000000000002</v>
      </c>
      <c r="K177" s="34">
        <v>6.98</v>
      </c>
      <c r="L177" s="41">
        <v>0.53</v>
      </c>
      <c r="M177" s="34">
        <v>13.5</v>
      </c>
      <c r="N177" s="34">
        <v>0.217</v>
      </c>
      <c r="O177" s="34">
        <v>5.52</v>
      </c>
      <c r="P177" s="34">
        <v>0.109</v>
      </c>
      <c r="Q177" s="34">
        <v>10.9</v>
      </c>
      <c r="R177" s="34">
        <v>0.34</v>
      </c>
      <c r="S177" s="34">
        <v>340</v>
      </c>
      <c r="T177" s="34">
        <v>0.38300000000000001</v>
      </c>
      <c r="U177" s="34">
        <f t="shared" si="1"/>
        <v>50</v>
      </c>
      <c r="V177" s="34">
        <f>VLOOKUP(U177,'Powder Core Toroid OD'!$A$2:$B$36,2,FALSE)</f>
        <v>12.7</v>
      </c>
    </row>
    <row r="178" spans="1:22" hidden="1">
      <c r="A178" s="42">
        <v>55046</v>
      </c>
      <c r="B178" s="34" t="s">
        <v>220</v>
      </c>
      <c r="C178" s="158" t="s">
        <v>695</v>
      </c>
      <c r="D178" s="34">
        <v>550</v>
      </c>
      <c r="E178" s="34" t="s">
        <v>21</v>
      </c>
      <c r="F178" s="34">
        <v>255</v>
      </c>
      <c r="G178" s="34" t="s">
        <v>0</v>
      </c>
      <c r="H178" s="34">
        <v>3.12</v>
      </c>
      <c r="I178" s="34">
        <v>31.200000000000003</v>
      </c>
      <c r="J178" s="34">
        <v>0.27500000000000002</v>
      </c>
      <c r="K178" s="34">
        <v>6.98</v>
      </c>
      <c r="L178" s="41">
        <v>0.53</v>
      </c>
      <c r="M178" s="34">
        <v>13.5</v>
      </c>
      <c r="N178" s="34">
        <v>0.217</v>
      </c>
      <c r="O178" s="34">
        <v>5.52</v>
      </c>
      <c r="P178" s="34">
        <v>0.109</v>
      </c>
      <c r="Q178" s="34">
        <v>10.9</v>
      </c>
      <c r="R178" s="34">
        <v>0.34</v>
      </c>
      <c r="S178" s="34">
        <v>340</v>
      </c>
      <c r="T178" s="34">
        <v>0.38300000000000001</v>
      </c>
      <c r="U178" s="34">
        <f t="shared" si="1"/>
        <v>50</v>
      </c>
      <c r="V178" s="34">
        <f>VLOOKUP(U178,'Powder Core Toroid OD'!$A$2:$B$36,2,FALSE)</f>
        <v>12.7</v>
      </c>
    </row>
    <row r="179" spans="1:22" hidden="1">
      <c r="A179" s="42">
        <v>55047</v>
      </c>
      <c r="B179" s="34" t="s">
        <v>219</v>
      </c>
      <c r="C179" s="158" t="s">
        <v>695</v>
      </c>
      <c r="D179" s="34">
        <v>200</v>
      </c>
      <c r="E179" s="34" t="s">
        <v>21</v>
      </c>
      <c r="F179" s="34">
        <v>90</v>
      </c>
      <c r="G179" s="34" t="s">
        <v>0</v>
      </c>
      <c r="H179" s="34">
        <v>3.12</v>
      </c>
      <c r="I179" s="34">
        <v>31.200000000000003</v>
      </c>
      <c r="J179" s="34">
        <v>0.27500000000000002</v>
      </c>
      <c r="K179" s="34">
        <v>6.98</v>
      </c>
      <c r="L179" s="41">
        <v>0.53</v>
      </c>
      <c r="M179" s="34">
        <v>13.5</v>
      </c>
      <c r="N179" s="34">
        <v>0.217</v>
      </c>
      <c r="O179" s="34">
        <v>5.52</v>
      </c>
      <c r="P179" s="34">
        <v>0.109</v>
      </c>
      <c r="Q179" s="34">
        <v>10.9</v>
      </c>
      <c r="R179" s="34">
        <v>0.34</v>
      </c>
      <c r="S179" s="34">
        <v>340</v>
      </c>
      <c r="T179" s="34">
        <v>0.38300000000000001</v>
      </c>
      <c r="U179" s="34">
        <f t="shared" si="1"/>
        <v>50</v>
      </c>
      <c r="V179" s="34">
        <f>VLOOKUP(U179,'Powder Core Toroid OD'!$A$2:$B$36,2,FALSE)</f>
        <v>12.7</v>
      </c>
    </row>
    <row r="180" spans="1:22" hidden="1">
      <c r="A180" s="42">
        <v>55048</v>
      </c>
      <c r="B180" s="34" t="s">
        <v>218</v>
      </c>
      <c r="C180" s="158" t="s">
        <v>695</v>
      </c>
      <c r="D180" s="34">
        <v>160</v>
      </c>
      <c r="E180" s="34" t="s">
        <v>21</v>
      </c>
      <c r="F180" s="34">
        <v>72</v>
      </c>
      <c r="G180" s="34" t="s">
        <v>0</v>
      </c>
      <c r="H180" s="34">
        <v>3.12</v>
      </c>
      <c r="I180" s="34">
        <v>31.200000000000003</v>
      </c>
      <c r="J180" s="34">
        <v>0.27500000000000002</v>
      </c>
      <c r="K180" s="34">
        <v>6.98</v>
      </c>
      <c r="L180" s="41">
        <v>0.53</v>
      </c>
      <c r="M180" s="34">
        <v>13.5</v>
      </c>
      <c r="N180" s="34">
        <v>0.217</v>
      </c>
      <c r="O180" s="34">
        <v>5.52</v>
      </c>
      <c r="P180" s="34">
        <v>0.109</v>
      </c>
      <c r="Q180" s="34">
        <v>10.9</v>
      </c>
      <c r="R180" s="34">
        <v>0.34</v>
      </c>
      <c r="S180" s="34">
        <v>340</v>
      </c>
      <c r="T180" s="34">
        <v>0.38300000000000001</v>
      </c>
      <c r="U180" s="34">
        <f t="shared" si="1"/>
        <v>50</v>
      </c>
      <c r="V180" s="34">
        <f>VLOOKUP(U180,'Powder Core Toroid OD'!$A$2:$B$36,2,FALSE)</f>
        <v>12.7</v>
      </c>
    </row>
    <row r="181" spans="1:22" hidden="1">
      <c r="A181" s="42">
        <v>55049</v>
      </c>
      <c r="B181" s="34" t="s">
        <v>217</v>
      </c>
      <c r="C181" s="158" t="s">
        <v>695</v>
      </c>
      <c r="D181" s="34">
        <v>147</v>
      </c>
      <c r="E181" s="34" t="s">
        <v>21</v>
      </c>
      <c r="F181" s="34">
        <v>67</v>
      </c>
      <c r="G181" s="34" t="s">
        <v>0</v>
      </c>
      <c r="H181" s="34">
        <v>3.12</v>
      </c>
      <c r="I181" s="34">
        <v>31.200000000000003</v>
      </c>
      <c r="J181" s="34">
        <v>0.27500000000000002</v>
      </c>
      <c r="K181" s="34">
        <v>6.98</v>
      </c>
      <c r="L181" s="41">
        <v>0.53</v>
      </c>
      <c r="M181" s="34">
        <v>13.5</v>
      </c>
      <c r="N181" s="34">
        <v>0.217</v>
      </c>
      <c r="O181" s="34">
        <v>5.52</v>
      </c>
      <c r="P181" s="34">
        <v>0.109</v>
      </c>
      <c r="Q181" s="34">
        <v>10.9</v>
      </c>
      <c r="R181" s="34">
        <v>0.34</v>
      </c>
      <c r="S181" s="34">
        <v>340</v>
      </c>
      <c r="T181" s="34">
        <v>0.38300000000000001</v>
      </c>
      <c r="U181" s="34">
        <f t="shared" si="1"/>
        <v>50</v>
      </c>
      <c r="V181" s="34">
        <f>VLOOKUP(U181,'Powder Core Toroid OD'!$A$2:$B$36,2,FALSE)</f>
        <v>12.7</v>
      </c>
    </row>
    <row r="182" spans="1:22" hidden="1">
      <c r="A182" s="42">
        <v>55050</v>
      </c>
      <c r="B182" s="34" t="s">
        <v>216</v>
      </c>
      <c r="C182" s="158" t="s">
        <v>695</v>
      </c>
      <c r="D182" s="34">
        <v>125</v>
      </c>
      <c r="E182" s="34" t="s">
        <v>21</v>
      </c>
      <c r="F182" s="34">
        <v>56</v>
      </c>
      <c r="G182" s="34" t="s">
        <v>0</v>
      </c>
      <c r="H182" s="34">
        <v>3.12</v>
      </c>
      <c r="I182" s="34">
        <v>31.200000000000003</v>
      </c>
      <c r="J182" s="34">
        <v>0.27500000000000002</v>
      </c>
      <c r="K182" s="34">
        <v>6.98</v>
      </c>
      <c r="L182" s="41">
        <v>0.53</v>
      </c>
      <c r="M182" s="34">
        <v>13.5</v>
      </c>
      <c r="N182" s="34">
        <v>0.217</v>
      </c>
      <c r="O182" s="34">
        <v>5.52</v>
      </c>
      <c r="P182" s="34">
        <v>0.109</v>
      </c>
      <c r="Q182" s="34">
        <v>10.9</v>
      </c>
      <c r="R182" s="34">
        <v>0.34</v>
      </c>
      <c r="S182" s="34">
        <v>340</v>
      </c>
      <c r="T182" s="34">
        <v>0.38300000000000001</v>
      </c>
      <c r="U182" s="34">
        <f t="shared" si="1"/>
        <v>50</v>
      </c>
      <c r="V182" s="34">
        <f>VLOOKUP(U182,'Powder Core Toroid OD'!$A$2:$B$36,2,FALSE)</f>
        <v>12.7</v>
      </c>
    </row>
    <row r="183" spans="1:22" hidden="1">
      <c r="A183" s="42">
        <v>55051</v>
      </c>
      <c r="B183" s="34" t="s">
        <v>215</v>
      </c>
      <c r="C183" s="158" t="s">
        <v>695</v>
      </c>
      <c r="D183" s="34">
        <v>60</v>
      </c>
      <c r="E183" s="34" t="s">
        <v>21</v>
      </c>
      <c r="F183" s="34">
        <v>27</v>
      </c>
      <c r="G183" s="34" t="s">
        <v>0</v>
      </c>
      <c r="H183" s="34">
        <v>3.12</v>
      </c>
      <c r="I183" s="34">
        <v>31.200000000000003</v>
      </c>
      <c r="J183" s="34">
        <v>0.27500000000000002</v>
      </c>
      <c r="K183" s="34">
        <v>6.98</v>
      </c>
      <c r="L183" s="41">
        <v>0.53</v>
      </c>
      <c r="M183" s="34">
        <v>13.5</v>
      </c>
      <c r="N183" s="34">
        <v>0.217</v>
      </c>
      <c r="O183" s="34">
        <v>5.52</v>
      </c>
      <c r="P183" s="34">
        <v>0.109</v>
      </c>
      <c r="Q183" s="34">
        <v>10.9</v>
      </c>
      <c r="R183" s="34">
        <v>0.34</v>
      </c>
      <c r="S183" s="34">
        <v>340</v>
      </c>
      <c r="T183" s="34">
        <v>0.38300000000000001</v>
      </c>
      <c r="U183" s="34">
        <f t="shared" si="1"/>
        <v>50</v>
      </c>
      <c r="V183" s="34">
        <f>VLOOKUP(U183,'Powder Core Toroid OD'!$A$2:$B$36,2,FALSE)</f>
        <v>12.7</v>
      </c>
    </row>
    <row r="184" spans="1:22" hidden="1">
      <c r="A184" s="42">
        <v>55052</v>
      </c>
      <c r="B184" s="34" t="s">
        <v>290</v>
      </c>
      <c r="C184" s="158" t="s">
        <v>695</v>
      </c>
      <c r="D184" s="34">
        <v>26</v>
      </c>
      <c r="E184" s="34" t="s">
        <v>21</v>
      </c>
      <c r="F184" s="34">
        <v>12</v>
      </c>
      <c r="G184" s="34" t="s">
        <v>0</v>
      </c>
      <c r="H184" s="34">
        <v>3.12</v>
      </c>
      <c r="I184" s="34">
        <v>31.200000000000003</v>
      </c>
      <c r="J184" s="34">
        <v>0.27500000000000002</v>
      </c>
      <c r="K184" s="34">
        <v>6.98</v>
      </c>
      <c r="L184" s="41">
        <v>0.53</v>
      </c>
      <c r="M184" s="34">
        <v>13.5</v>
      </c>
      <c r="N184" s="34">
        <v>0.217</v>
      </c>
      <c r="O184" s="34">
        <v>5.52</v>
      </c>
      <c r="P184" s="34">
        <v>0.109</v>
      </c>
      <c r="Q184" s="34">
        <v>10.9</v>
      </c>
      <c r="R184" s="34">
        <v>0.34</v>
      </c>
      <c r="S184" s="34">
        <v>340</v>
      </c>
      <c r="T184" s="34">
        <v>0.38300000000000001</v>
      </c>
      <c r="U184" s="34">
        <f t="shared" si="1"/>
        <v>50</v>
      </c>
      <c r="V184" s="34">
        <f>VLOOKUP(U184,'Powder Core Toroid OD'!$A$2:$B$36,2,FALSE)</f>
        <v>12.7</v>
      </c>
    </row>
    <row r="185" spans="1:22" hidden="1">
      <c r="A185" s="42">
        <v>55053</v>
      </c>
      <c r="B185" s="34" t="s">
        <v>289</v>
      </c>
      <c r="C185" s="158" t="s">
        <v>695</v>
      </c>
      <c r="D185" s="34">
        <v>14</v>
      </c>
      <c r="E185" s="34" t="s">
        <v>21</v>
      </c>
      <c r="F185" s="34">
        <v>6.4</v>
      </c>
      <c r="G185" s="34" t="s">
        <v>0</v>
      </c>
      <c r="H185" s="34">
        <v>3.12</v>
      </c>
      <c r="I185" s="34">
        <v>31.200000000000003</v>
      </c>
      <c r="J185" s="34">
        <v>0.27500000000000002</v>
      </c>
      <c r="K185" s="34">
        <v>6.98</v>
      </c>
      <c r="L185" s="41">
        <v>0.53</v>
      </c>
      <c r="M185" s="34">
        <v>13.5</v>
      </c>
      <c r="N185" s="34">
        <v>0.217</v>
      </c>
      <c r="O185" s="34">
        <v>5.52</v>
      </c>
      <c r="P185" s="34">
        <v>0.109</v>
      </c>
      <c r="Q185" s="34">
        <v>10.9</v>
      </c>
      <c r="R185" s="34">
        <v>0.34</v>
      </c>
      <c r="S185" s="34">
        <v>340</v>
      </c>
      <c r="T185" s="34">
        <v>0.38300000000000001</v>
      </c>
      <c r="U185" s="34">
        <f t="shared" si="1"/>
        <v>50</v>
      </c>
      <c r="V185" s="34">
        <f>VLOOKUP(U185,'Powder Core Toroid OD'!$A$2:$B$36,2,FALSE)</f>
        <v>12.7</v>
      </c>
    </row>
    <row r="186" spans="1:22" hidden="1">
      <c r="A186" s="42">
        <v>55059</v>
      </c>
      <c r="B186" s="34" t="s">
        <v>214</v>
      </c>
      <c r="C186" s="158">
        <v>310</v>
      </c>
      <c r="D186" s="34">
        <v>60</v>
      </c>
      <c r="E186" s="34" t="s">
        <v>21</v>
      </c>
      <c r="F186" s="34">
        <v>43</v>
      </c>
      <c r="G186" s="34" t="s">
        <v>0</v>
      </c>
      <c r="H186" s="34">
        <v>5.67</v>
      </c>
      <c r="I186" s="34">
        <v>56.7</v>
      </c>
      <c r="J186" s="34">
        <v>0.52500000000000002</v>
      </c>
      <c r="K186" s="34">
        <v>13.3</v>
      </c>
      <c r="L186" s="41">
        <v>0.93</v>
      </c>
      <c r="M186" s="34">
        <v>23.7</v>
      </c>
      <c r="N186" s="41">
        <v>0.33</v>
      </c>
      <c r="O186" s="34">
        <v>8.39</v>
      </c>
      <c r="P186" s="34">
        <v>0.317</v>
      </c>
      <c r="Q186" s="34">
        <v>31.7</v>
      </c>
      <c r="R186" s="40">
        <v>1.8</v>
      </c>
      <c r="S186" s="34">
        <v>1800</v>
      </c>
      <c r="T186" s="34">
        <v>1.39</v>
      </c>
      <c r="U186" s="34">
        <f t="shared" si="1"/>
        <v>310</v>
      </c>
      <c r="V186" s="34">
        <f>VLOOKUP(U186,'Powder Core Toroid OD'!$A$2:$B$36,2,FALSE)</f>
        <v>22.9</v>
      </c>
    </row>
    <row r="187" spans="1:22" hidden="1">
      <c r="A187" s="42">
        <v>55071</v>
      </c>
      <c r="B187" s="34" t="s">
        <v>213</v>
      </c>
      <c r="C187" s="158">
        <v>548</v>
      </c>
      <c r="D187" s="34">
        <v>60</v>
      </c>
      <c r="E187" s="34" t="s">
        <v>21</v>
      </c>
      <c r="F187" s="34">
        <v>61</v>
      </c>
      <c r="G187" s="34" t="s">
        <v>0</v>
      </c>
      <c r="H187" s="34">
        <v>8.14</v>
      </c>
      <c r="I187" s="34">
        <v>81.400000000000006</v>
      </c>
      <c r="J187" s="34">
        <v>0.76600000000000001</v>
      </c>
      <c r="K187" s="34">
        <v>19.399999999999999</v>
      </c>
      <c r="L187" s="34">
        <v>1.325</v>
      </c>
      <c r="M187" s="34">
        <v>33.659999999999997</v>
      </c>
      <c r="N187" s="41">
        <v>0.45</v>
      </c>
      <c r="O187" s="34">
        <v>11.5</v>
      </c>
      <c r="P187" s="34">
        <v>0.65600000000000003</v>
      </c>
      <c r="Q187" s="34">
        <v>65.600000000000009</v>
      </c>
      <c r="R187" s="40">
        <v>5.34</v>
      </c>
      <c r="S187" s="34">
        <v>5340</v>
      </c>
      <c r="T187" s="34">
        <v>2.97</v>
      </c>
      <c r="U187" s="34">
        <f t="shared" si="1"/>
        <v>548</v>
      </c>
      <c r="V187" s="34">
        <f>VLOOKUP(U187,'Powder Core Toroid OD'!$A$2:$B$36,2,FALSE)</f>
        <v>32.799999999999997</v>
      </c>
    </row>
    <row r="188" spans="1:22" hidden="1">
      <c r="A188" s="42">
        <v>55076</v>
      </c>
      <c r="B188" s="34" t="s">
        <v>212</v>
      </c>
      <c r="C188" s="158">
        <v>324</v>
      </c>
      <c r="D188" s="34">
        <v>60</v>
      </c>
      <c r="E188" s="34" t="s">
        <v>21</v>
      </c>
      <c r="F188" s="34">
        <v>56</v>
      </c>
      <c r="G188" s="34" t="s">
        <v>0</v>
      </c>
      <c r="H188" s="34">
        <v>8.98</v>
      </c>
      <c r="I188" s="34">
        <v>89.800000000000011</v>
      </c>
      <c r="J188" s="34">
        <v>0.84799999999999998</v>
      </c>
      <c r="K188" s="34">
        <v>21.5</v>
      </c>
      <c r="L188" s="34">
        <v>1.4450000000000001</v>
      </c>
      <c r="M188" s="34">
        <v>36.71</v>
      </c>
      <c r="N188" s="34">
        <v>0.44700000000000001</v>
      </c>
      <c r="O188" s="34">
        <v>11.4</v>
      </c>
      <c r="P188" s="34">
        <v>0.67800000000000005</v>
      </c>
      <c r="Q188" s="34">
        <v>67.800000000000011</v>
      </c>
      <c r="R188" s="40">
        <v>6.09</v>
      </c>
      <c r="S188" s="34">
        <v>6090</v>
      </c>
      <c r="T188" s="34">
        <v>3.64</v>
      </c>
      <c r="U188" s="34">
        <f t="shared" si="1"/>
        <v>324</v>
      </c>
      <c r="V188" s="34">
        <f>VLOOKUP(U188,'Powder Core Toroid OD'!$A$2:$B$36,2,FALSE)</f>
        <v>35.799999999999997</v>
      </c>
    </row>
    <row r="189" spans="1:22" hidden="1">
      <c r="A189" s="42">
        <v>55083</v>
      </c>
      <c r="B189" s="34" t="s">
        <v>211</v>
      </c>
      <c r="C189" s="158">
        <v>254</v>
      </c>
      <c r="D189" s="34">
        <v>60</v>
      </c>
      <c r="E189" s="34" t="s">
        <v>21</v>
      </c>
      <c r="F189" s="34">
        <v>81</v>
      </c>
      <c r="G189" s="34" t="s">
        <v>0</v>
      </c>
      <c r="H189" s="34">
        <v>9.84</v>
      </c>
      <c r="I189" s="34">
        <v>98.4</v>
      </c>
      <c r="J189" s="34">
        <v>0.91800000000000004</v>
      </c>
      <c r="K189" s="34">
        <v>23.3</v>
      </c>
      <c r="L189" s="34">
        <v>1.605</v>
      </c>
      <c r="M189" s="34">
        <v>40.770000000000003</v>
      </c>
      <c r="N189" s="34">
        <v>0.60499999999999998</v>
      </c>
      <c r="O189" s="34">
        <v>15.4</v>
      </c>
      <c r="P189" s="34">
        <v>1.07</v>
      </c>
      <c r="Q189" s="34">
        <v>107</v>
      </c>
      <c r="R189" s="35">
        <v>10.6</v>
      </c>
      <c r="S189" s="34">
        <v>10600</v>
      </c>
      <c r="T189" s="34">
        <v>4.2699999999999996</v>
      </c>
      <c r="U189" s="34">
        <f t="shared" si="1"/>
        <v>254</v>
      </c>
      <c r="V189" s="34">
        <f>VLOOKUP(U189,'Powder Core Toroid OD'!$A$2:$B$36,2,FALSE)</f>
        <v>39.9</v>
      </c>
    </row>
    <row r="190" spans="1:22" hidden="1">
      <c r="A190" s="42">
        <v>55084</v>
      </c>
      <c r="B190" s="34" t="s">
        <v>210</v>
      </c>
      <c r="C190" s="158" t="s">
        <v>696</v>
      </c>
      <c r="D190" s="34">
        <v>300</v>
      </c>
      <c r="E190" s="34" t="s">
        <v>21</v>
      </c>
      <c r="F190" s="34">
        <v>427</v>
      </c>
      <c r="G190" s="34" t="s">
        <v>0</v>
      </c>
      <c r="H190" s="34">
        <v>11.6</v>
      </c>
      <c r="I190" s="34">
        <v>116</v>
      </c>
      <c r="J190" s="34">
        <v>1.0980000000000001</v>
      </c>
      <c r="K190" s="34">
        <v>27.88</v>
      </c>
      <c r="L190" s="34">
        <v>1.875</v>
      </c>
      <c r="M190" s="34">
        <v>47.63</v>
      </c>
      <c r="N190" s="34">
        <v>0.63500000000000001</v>
      </c>
      <c r="O190" s="34">
        <v>16.100000000000001</v>
      </c>
      <c r="P190" s="34">
        <v>1.34</v>
      </c>
      <c r="Q190" s="34">
        <v>134</v>
      </c>
      <c r="R190" s="34">
        <v>15.6</v>
      </c>
      <c r="S190" s="34">
        <v>15600</v>
      </c>
      <c r="T190" s="34">
        <v>6.1</v>
      </c>
      <c r="U190" s="34">
        <f t="shared" si="1"/>
        <v>89</v>
      </c>
      <c r="V190" s="34">
        <f>VLOOKUP(U190,'Powder Core Toroid OD'!$A$2:$B$36,2,FALSE)</f>
        <v>46.7</v>
      </c>
    </row>
    <row r="191" spans="1:22" hidden="1">
      <c r="A191" s="42">
        <v>55086</v>
      </c>
      <c r="B191" s="34" t="s">
        <v>209</v>
      </c>
      <c r="C191" s="158" t="s">
        <v>696</v>
      </c>
      <c r="D191" s="34">
        <v>200</v>
      </c>
      <c r="E191" s="34" t="s">
        <v>21</v>
      </c>
      <c r="F191" s="34">
        <v>285</v>
      </c>
      <c r="G191" s="34" t="s">
        <v>0</v>
      </c>
      <c r="H191" s="34">
        <v>11.6</v>
      </c>
      <c r="I191" s="34">
        <v>116</v>
      </c>
      <c r="J191" s="34">
        <v>1.0980000000000001</v>
      </c>
      <c r="K191" s="34">
        <v>27.88</v>
      </c>
      <c r="L191" s="34">
        <v>1.875</v>
      </c>
      <c r="M191" s="34">
        <v>47.63</v>
      </c>
      <c r="N191" s="34">
        <v>0.63500000000000001</v>
      </c>
      <c r="O191" s="34">
        <v>16.100000000000001</v>
      </c>
      <c r="P191" s="34">
        <v>1.34</v>
      </c>
      <c r="Q191" s="34">
        <v>134</v>
      </c>
      <c r="R191" s="34">
        <v>15.6</v>
      </c>
      <c r="S191" s="34">
        <v>15600</v>
      </c>
      <c r="T191" s="34">
        <v>6.1</v>
      </c>
      <c r="U191" s="34">
        <f t="shared" si="1"/>
        <v>89</v>
      </c>
      <c r="V191" s="34">
        <f>VLOOKUP(U191,'Powder Core Toroid OD'!$A$2:$B$36,2,FALSE)</f>
        <v>46.7</v>
      </c>
    </row>
    <row r="192" spans="1:22" hidden="1">
      <c r="A192" s="42">
        <v>55087</v>
      </c>
      <c r="B192" s="34" t="s">
        <v>208</v>
      </c>
      <c r="C192" s="158" t="s">
        <v>696</v>
      </c>
      <c r="D192" s="34">
        <v>160</v>
      </c>
      <c r="E192" s="34" t="s">
        <v>21</v>
      </c>
      <c r="F192" s="34">
        <v>228</v>
      </c>
      <c r="G192" s="34" t="s">
        <v>0</v>
      </c>
      <c r="H192" s="34">
        <v>11.6</v>
      </c>
      <c r="I192" s="34">
        <v>116</v>
      </c>
      <c r="J192" s="34">
        <v>1.0980000000000001</v>
      </c>
      <c r="K192" s="34">
        <v>27.88</v>
      </c>
      <c r="L192" s="34">
        <v>1.875</v>
      </c>
      <c r="M192" s="34">
        <v>47.63</v>
      </c>
      <c r="N192" s="34">
        <v>0.63500000000000001</v>
      </c>
      <c r="O192" s="34">
        <v>16.100000000000001</v>
      </c>
      <c r="P192" s="34">
        <v>1.34</v>
      </c>
      <c r="Q192" s="34">
        <v>134</v>
      </c>
      <c r="R192" s="34">
        <v>15.6</v>
      </c>
      <c r="S192" s="34">
        <v>15600</v>
      </c>
      <c r="T192" s="34">
        <v>6.1</v>
      </c>
      <c r="U192" s="34">
        <f t="shared" si="1"/>
        <v>89</v>
      </c>
      <c r="V192" s="34">
        <f>VLOOKUP(U192,'Powder Core Toroid OD'!$A$2:$B$36,2,FALSE)</f>
        <v>46.7</v>
      </c>
    </row>
    <row r="193" spans="1:22" hidden="1">
      <c r="A193" s="42">
        <v>55088</v>
      </c>
      <c r="B193" s="34" t="s">
        <v>207</v>
      </c>
      <c r="C193" s="158" t="s">
        <v>696</v>
      </c>
      <c r="D193" s="34">
        <v>147</v>
      </c>
      <c r="E193" s="34" t="s">
        <v>21</v>
      </c>
      <c r="F193" s="34">
        <v>210</v>
      </c>
      <c r="G193" s="34" t="s">
        <v>0</v>
      </c>
      <c r="H193" s="34">
        <v>11.6</v>
      </c>
      <c r="I193" s="34">
        <v>116</v>
      </c>
      <c r="J193" s="34">
        <v>1.0980000000000001</v>
      </c>
      <c r="K193" s="34">
        <v>27.88</v>
      </c>
      <c r="L193" s="34">
        <v>1.875</v>
      </c>
      <c r="M193" s="34">
        <v>47.63</v>
      </c>
      <c r="N193" s="34">
        <v>0.63500000000000001</v>
      </c>
      <c r="O193" s="34">
        <v>16.100000000000001</v>
      </c>
      <c r="P193" s="34">
        <v>1.34</v>
      </c>
      <c r="Q193" s="34">
        <v>134</v>
      </c>
      <c r="R193" s="34">
        <v>15.6</v>
      </c>
      <c r="S193" s="34">
        <v>15600</v>
      </c>
      <c r="T193" s="34">
        <v>6.1</v>
      </c>
      <c r="U193" s="34">
        <f t="shared" si="1"/>
        <v>89</v>
      </c>
      <c r="V193" s="34">
        <f>VLOOKUP(U193,'Powder Core Toroid OD'!$A$2:$B$36,2,FALSE)</f>
        <v>46.7</v>
      </c>
    </row>
    <row r="194" spans="1:22" hidden="1">
      <c r="A194" s="42">
        <v>55089</v>
      </c>
      <c r="B194" s="34" t="s">
        <v>206</v>
      </c>
      <c r="C194" s="158" t="s">
        <v>696</v>
      </c>
      <c r="D194" s="34">
        <v>125</v>
      </c>
      <c r="E194" s="34" t="s">
        <v>21</v>
      </c>
      <c r="F194" s="34">
        <v>178</v>
      </c>
      <c r="G194" s="34" t="s">
        <v>0</v>
      </c>
      <c r="H194" s="34">
        <v>11.6</v>
      </c>
      <c r="I194" s="34">
        <v>116</v>
      </c>
      <c r="J194" s="34">
        <v>1.0980000000000001</v>
      </c>
      <c r="K194" s="34">
        <v>27.88</v>
      </c>
      <c r="L194" s="34">
        <v>1.875</v>
      </c>
      <c r="M194" s="34">
        <v>47.63</v>
      </c>
      <c r="N194" s="34">
        <v>0.63500000000000001</v>
      </c>
      <c r="O194" s="34">
        <v>16.100000000000001</v>
      </c>
      <c r="P194" s="34">
        <v>1.34</v>
      </c>
      <c r="Q194" s="34">
        <v>134</v>
      </c>
      <c r="R194" s="34">
        <v>15.6</v>
      </c>
      <c r="S194" s="34">
        <v>15600</v>
      </c>
      <c r="T194" s="34">
        <v>6.1</v>
      </c>
      <c r="U194" s="34">
        <f t="shared" si="1"/>
        <v>89</v>
      </c>
      <c r="V194" s="34">
        <f>VLOOKUP(U194,'Powder Core Toroid OD'!$A$2:$B$36,2,FALSE)</f>
        <v>46.7</v>
      </c>
    </row>
    <row r="195" spans="1:22" hidden="1">
      <c r="A195" s="42">
        <v>55090</v>
      </c>
      <c r="B195" s="34" t="s">
        <v>205</v>
      </c>
      <c r="C195" s="158" t="s">
        <v>696</v>
      </c>
      <c r="D195" s="34">
        <v>60</v>
      </c>
      <c r="E195" s="34" t="s">
        <v>21</v>
      </c>
      <c r="F195" s="34">
        <v>86</v>
      </c>
      <c r="G195" s="34" t="s">
        <v>0</v>
      </c>
      <c r="H195" s="34">
        <v>11.6</v>
      </c>
      <c r="I195" s="34">
        <v>116</v>
      </c>
      <c r="J195" s="34">
        <v>1.0980000000000001</v>
      </c>
      <c r="K195" s="34">
        <v>27.88</v>
      </c>
      <c r="L195" s="34">
        <v>1.875</v>
      </c>
      <c r="M195" s="34">
        <v>47.63</v>
      </c>
      <c r="N195" s="34">
        <v>0.63500000000000001</v>
      </c>
      <c r="O195" s="34">
        <v>16.100000000000001</v>
      </c>
      <c r="P195" s="34">
        <v>1.34</v>
      </c>
      <c r="Q195" s="34">
        <v>134</v>
      </c>
      <c r="R195" s="34">
        <v>15.6</v>
      </c>
      <c r="S195" s="34">
        <v>15600</v>
      </c>
      <c r="T195" s="34">
        <v>6.1</v>
      </c>
      <c r="U195" s="34">
        <f t="shared" si="1"/>
        <v>89</v>
      </c>
      <c r="V195" s="34">
        <f>VLOOKUP(U195,'Powder Core Toroid OD'!$A$2:$B$36,2,FALSE)</f>
        <v>46.7</v>
      </c>
    </row>
    <row r="196" spans="1:22" hidden="1">
      <c r="A196" s="42">
        <v>55091</v>
      </c>
      <c r="B196" s="34" t="s">
        <v>288</v>
      </c>
      <c r="C196" s="158" t="s">
        <v>696</v>
      </c>
      <c r="D196" s="34">
        <v>26</v>
      </c>
      <c r="E196" s="34" t="s">
        <v>21</v>
      </c>
      <c r="F196" s="34">
        <v>37</v>
      </c>
      <c r="G196" s="34" t="s">
        <v>0</v>
      </c>
      <c r="H196" s="34">
        <v>11.6</v>
      </c>
      <c r="I196" s="34">
        <v>116</v>
      </c>
      <c r="J196" s="34">
        <v>1.0980000000000001</v>
      </c>
      <c r="K196" s="34">
        <v>27.88</v>
      </c>
      <c r="L196" s="34">
        <v>1.875</v>
      </c>
      <c r="M196" s="34">
        <v>47.63</v>
      </c>
      <c r="N196" s="34">
        <v>0.63500000000000001</v>
      </c>
      <c r="O196" s="34">
        <v>16.100000000000001</v>
      </c>
      <c r="P196" s="34">
        <v>1.34</v>
      </c>
      <c r="Q196" s="34">
        <v>134</v>
      </c>
      <c r="R196" s="34">
        <v>15.6</v>
      </c>
      <c r="S196" s="34">
        <v>15600</v>
      </c>
      <c r="T196" s="34">
        <v>6.1</v>
      </c>
      <c r="U196" s="34">
        <f t="shared" si="1"/>
        <v>89</v>
      </c>
      <c r="V196" s="34">
        <f>VLOOKUP(U196,'Powder Core Toroid OD'!$A$2:$B$36,2,FALSE)</f>
        <v>46.7</v>
      </c>
    </row>
    <row r="197" spans="1:22" hidden="1">
      <c r="A197" s="42">
        <v>55092</v>
      </c>
      <c r="B197" s="34" t="s">
        <v>287</v>
      </c>
      <c r="C197" s="158" t="s">
        <v>696</v>
      </c>
      <c r="D197" s="34">
        <v>14</v>
      </c>
      <c r="E197" s="34" t="s">
        <v>21</v>
      </c>
      <c r="F197" s="34">
        <v>20</v>
      </c>
      <c r="G197" s="34" t="s">
        <v>0</v>
      </c>
      <c r="H197" s="34">
        <v>11.6</v>
      </c>
      <c r="I197" s="34">
        <v>116</v>
      </c>
      <c r="J197" s="34">
        <v>1.0980000000000001</v>
      </c>
      <c r="K197" s="34">
        <v>27.88</v>
      </c>
      <c r="L197" s="34">
        <v>1.875</v>
      </c>
      <c r="M197" s="34">
        <v>47.63</v>
      </c>
      <c r="N197" s="34">
        <v>0.63500000000000001</v>
      </c>
      <c r="O197" s="34">
        <v>16.100000000000001</v>
      </c>
      <c r="P197" s="34">
        <v>1.34</v>
      </c>
      <c r="Q197" s="34">
        <v>134</v>
      </c>
      <c r="R197" s="34">
        <v>15.6</v>
      </c>
      <c r="S197" s="34">
        <v>15600</v>
      </c>
      <c r="T197" s="34">
        <v>6.1</v>
      </c>
      <c r="U197" s="34">
        <f t="shared" si="1"/>
        <v>89</v>
      </c>
      <c r="V197" s="34">
        <f>VLOOKUP(U197,'Powder Core Toroid OD'!$A$2:$B$36,2,FALSE)</f>
        <v>46.7</v>
      </c>
    </row>
    <row r="198" spans="1:22" hidden="1">
      <c r="A198" s="42">
        <v>55103</v>
      </c>
      <c r="B198" s="34" t="s">
        <v>204</v>
      </c>
      <c r="C198" s="158">
        <v>109</v>
      </c>
      <c r="D198" s="34">
        <v>173</v>
      </c>
      <c r="E198" s="34" t="s">
        <v>21</v>
      </c>
      <c r="F198" s="34">
        <v>218</v>
      </c>
      <c r="G198" s="34" t="s">
        <v>0</v>
      </c>
      <c r="H198" s="34">
        <v>14.3</v>
      </c>
      <c r="I198" s="34">
        <v>143</v>
      </c>
      <c r="J198" s="34">
        <v>1.3680000000000001</v>
      </c>
      <c r="K198" s="34">
        <v>34.74</v>
      </c>
      <c r="L198" s="34">
        <v>2.2850000000000001</v>
      </c>
      <c r="M198" s="34">
        <v>58.04</v>
      </c>
      <c r="N198" s="34">
        <v>0.58499999999999996</v>
      </c>
      <c r="O198" s="34">
        <v>14.9</v>
      </c>
      <c r="P198" s="34">
        <v>1.44</v>
      </c>
      <c r="Q198" s="34">
        <v>144</v>
      </c>
      <c r="R198" s="34">
        <v>20.7</v>
      </c>
      <c r="S198" s="34">
        <v>20700</v>
      </c>
      <c r="T198" s="34">
        <v>9.48</v>
      </c>
      <c r="U198" s="34">
        <f t="shared" si="1"/>
        <v>109</v>
      </c>
      <c r="V198" s="34">
        <f>VLOOKUP(U198,'Powder Core Toroid OD'!$A$2:$B$36,2,FALSE)</f>
        <v>57.2</v>
      </c>
    </row>
    <row r="199" spans="1:22" hidden="1">
      <c r="A199" s="42">
        <v>55104</v>
      </c>
      <c r="B199" s="34" t="s">
        <v>203</v>
      </c>
      <c r="C199" s="158">
        <v>109</v>
      </c>
      <c r="D199" s="34">
        <v>300</v>
      </c>
      <c r="E199" s="34" t="s">
        <v>21</v>
      </c>
      <c r="F199" s="34">
        <v>374</v>
      </c>
      <c r="G199" s="34" t="s">
        <v>0</v>
      </c>
      <c r="H199" s="34">
        <v>14.3</v>
      </c>
      <c r="I199" s="34">
        <v>143</v>
      </c>
      <c r="J199" s="34">
        <v>1.3680000000000001</v>
      </c>
      <c r="K199" s="34">
        <v>34.74</v>
      </c>
      <c r="L199" s="34">
        <v>2.2850000000000001</v>
      </c>
      <c r="M199" s="34">
        <v>58.04</v>
      </c>
      <c r="N199" s="34">
        <v>0.58499999999999996</v>
      </c>
      <c r="O199" s="34">
        <v>14.9</v>
      </c>
      <c r="P199" s="34">
        <v>1.44</v>
      </c>
      <c r="Q199" s="34">
        <v>144</v>
      </c>
      <c r="R199" s="34">
        <v>20.7</v>
      </c>
      <c r="S199" s="34">
        <v>20700</v>
      </c>
      <c r="T199" s="34">
        <v>9.48</v>
      </c>
      <c r="U199" s="34">
        <f t="shared" si="1"/>
        <v>109</v>
      </c>
      <c r="V199" s="34">
        <f>VLOOKUP(U199,'Powder Core Toroid OD'!$A$2:$B$36,2,FALSE)</f>
        <v>57.2</v>
      </c>
    </row>
    <row r="200" spans="1:22" hidden="1">
      <c r="A200" s="42">
        <v>55106</v>
      </c>
      <c r="B200" s="34" t="s">
        <v>202</v>
      </c>
      <c r="C200" s="158">
        <v>109</v>
      </c>
      <c r="D200" s="34">
        <v>200</v>
      </c>
      <c r="E200" s="34" t="s">
        <v>21</v>
      </c>
      <c r="F200" s="34">
        <v>250</v>
      </c>
      <c r="G200" s="34" t="s">
        <v>0</v>
      </c>
      <c r="H200" s="34">
        <v>14.3</v>
      </c>
      <c r="I200" s="34">
        <v>143</v>
      </c>
      <c r="J200" s="34">
        <v>1.3680000000000001</v>
      </c>
      <c r="K200" s="34">
        <v>34.74</v>
      </c>
      <c r="L200" s="34">
        <v>2.2850000000000001</v>
      </c>
      <c r="M200" s="34">
        <v>58.04</v>
      </c>
      <c r="N200" s="34">
        <v>0.58499999999999996</v>
      </c>
      <c r="O200" s="34">
        <v>14.9</v>
      </c>
      <c r="P200" s="34">
        <v>1.44</v>
      </c>
      <c r="Q200" s="34">
        <v>144</v>
      </c>
      <c r="R200" s="34">
        <v>20.7</v>
      </c>
      <c r="S200" s="34">
        <v>20700</v>
      </c>
      <c r="T200" s="34">
        <v>9.48</v>
      </c>
      <c r="U200" s="34">
        <f t="shared" si="1"/>
        <v>109</v>
      </c>
      <c r="V200" s="34">
        <f>VLOOKUP(U200,'Powder Core Toroid OD'!$A$2:$B$36,2,FALSE)</f>
        <v>57.2</v>
      </c>
    </row>
    <row r="201" spans="1:22" hidden="1">
      <c r="A201" s="42">
        <v>55107</v>
      </c>
      <c r="B201" s="34" t="s">
        <v>201</v>
      </c>
      <c r="C201" s="158">
        <v>109</v>
      </c>
      <c r="D201" s="34">
        <v>160</v>
      </c>
      <c r="E201" s="34" t="s">
        <v>21</v>
      </c>
      <c r="F201" s="34">
        <v>200</v>
      </c>
      <c r="G201" s="34" t="s">
        <v>0</v>
      </c>
      <c r="H201" s="34">
        <v>14.3</v>
      </c>
      <c r="I201" s="34">
        <v>143</v>
      </c>
      <c r="J201" s="34">
        <v>1.3680000000000001</v>
      </c>
      <c r="K201" s="34">
        <v>34.74</v>
      </c>
      <c r="L201" s="34">
        <v>2.2850000000000001</v>
      </c>
      <c r="M201" s="34">
        <v>58.04</v>
      </c>
      <c r="N201" s="34">
        <v>0.58499999999999996</v>
      </c>
      <c r="O201" s="34">
        <v>14.9</v>
      </c>
      <c r="P201" s="34">
        <v>1.44</v>
      </c>
      <c r="Q201" s="34">
        <v>144</v>
      </c>
      <c r="R201" s="34">
        <v>20.7</v>
      </c>
      <c r="S201" s="34">
        <v>20700</v>
      </c>
      <c r="T201" s="34">
        <v>9.48</v>
      </c>
      <c r="U201" s="34">
        <f t="shared" si="1"/>
        <v>109</v>
      </c>
      <c r="V201" s="34">
        <f>VLOOKUP(U201,'Powder Core Toroid OD'!$A$2:$B$36,2,FALSE)</f>
        <v>57.2</v>
      </c>
    </row>
    <row r="202" spans="1:22" hidden="1">
      <c r="A202" s="42">
        <v>55108</v>
      </c>
      <c r="B202" s="34" t="s">
        <v>200</v>
      </c>
      <c r="C202" s="158">
        <v>109</v>
      </c>
      <c r="D202" s="34">
        <v>147</v>
      </c>
      <c r="E202" s="34" t="s">
        <v>21</v>
      </c>
      <c r="F202" s="34">
        <v>185</v>
      </c>
      <c r="G202" s="34" t="s">
        <v>0</v>
      </c>
      <c r="H202" s="34">
        <v>14.3</v>
      </c>
      <c r="I202" s="34">
        <v>143</v>
      </c>
      <c r="J202" s="34">
        <v>1.3680000000000001</v>
      </c>
      <c r="K202" s="34">
        <v>34.74</v>
      </c>
      <c r="L202" s="34">
        <v>2.2850000000000001</v>
      </c>
      <c r="M202" s="34">
        <v>58.04</v>
      </c>
      <c r="N202" s="34">
        <v>0.58499999999999996</v>
      </c>
      <c r="O202" s="34">
        <v>14.9</v>
      </c>
      <c r="P202" s="34">
        <v>1.44</v>
      </c>
      <c r="Q202" s="34">
        <v>144</v>
      </c>
      <c r="R202" s="34">
        <v>20.7</v>
      </c>
      <c r="S202" s="34">
        <v>20700</v>
      </c>
      <c r="T202" s="34">
        <v>9.48</v>
      </c>
      <c r="U202" s="34">
        <f t="shared" si="1"/>
        <v>109</v>
      </c>
      <c r="V202" s="34">
        <f>VLOOKUP(U202,'Powder Core Toroid OD'!$A$2:$B$36,2,FALSE)</f>
        <v>57.2</v>
      </c>
    </row>
    <row r="203" spans="1:22" hidden="1">
      <c r="A203" s="42">
        <v>55109</v>
      </c>
      <c r="B203" s="34" t="s">
        <v>199</v>
      </c>
      <c r="C203" s="158">
        <v>109</v>
      </c>
      <c r="D203" s="34">
        <v>125</v>
      </c>
      <c r="E203" s="34" t="s">
        <v>21</v>
      </c>
      <c r="F203" s="34">
        <v>156</v>
      </c>
      <c r="G203" s="34" t="s">
        <v>0</v>
      </c>
      <c r="H203" s="34">
        <v>14.3</v>
      </c>
      <c r="I203" s="34">
        <v>143</v>
      </c>
      <c r="J203" s="34">
        <v>1.3680000000000001</v>
      </c>
      <c r="K203" s="34">
        <v>34.74</v>
      </c>
      <c r="L203" s="34">
        <v>2.2850000000000001</v>
      </c>
      <c r="M203" s="34">
        <v>58.04</v>
      </c>
      <c r="N203" s="34">
        <v>0.58499999999999996</v>
      </c>
      <c r="O203" s="34">
        <v>14.9</v>
      </c>
      <c r="P203" s="34">
        <v>1.44</v>
      </c>
      <c r="Q203" s="34">
        <v>144</v>
      </c>
      <c r="R203" s="34">
        <v>20.7</v>
      </c>
      <c r="S203" s="34">
        <v>20700</v>
      </c>
      <c r="T203" s="34">
        <v>9.48</v>
      </c>
      <c r="U203" s="34">
        <f t="shared" si="1"/>
        <v>109</v>
      </c>
      <c r="V203" s="34">
        <f>VLOOKUP(U203,'Powder Core Toroid OD'!$A$2:$B$36,2,FALSE)</f>
        <v>57.2</v>
      </c>
    </row>
    <row r="204" spans="1:22" hidden="1">
      <c r="A204" s="42">
        <v>55110</v>
      </c>
      <c r="B204" s="34" t="s">
        <v>198</v>
      </c>
      <c r="C204" s="158">
        <v>109</v>
      </c>
      <c r="D204" s="34">
        <v>60</v>
      </c>
      <c r="E204" s="34" t="s">
        <v>21</v>
      </c>
      <c r="F204" s="34">
        <v>75</v>
      </c>
      <c r="G204" s="34" t="s">
        <v>0</v>
      </c>
      <c r="H204" s="34">
        <v>14.3</v>
      </c>
      <c r="I204" s="34">
        <v>143</v>
      </c>
      <c r="J204" s="34">
        <v>1.3680000000000001</v>
      </c>
      <c r="K204" s="34">
        <v>34.74</v>
      </c>
      <c r="L204" s="34">
        <v>2.2850000000000001</v>
      </c>
      <c r="M204" s="34">
        <v>58.04</v>
      </c>
      <c r="N204" s="34">
        <v>0.58499999999999996</v>
      </c>
      <c r="O204" s="34">
        <v>14.9</v>
      </c>
      <c r="P204" s="34">
        <v>1.44</v>
      </c>
      <c r="Q204" s="34">
        <v>144</v>
      </c>
      <c r="R204" s="34">
        <v>20.7</v>
      </c>
      <c r="S204" s="34">
        <v>20700</v>
      </c>
      <c r="T204" s="34">
        <v>9.48</v>
      </c>
      <c r="U204" s="34">
        <f t="shared" si="1"/>
        <v>109</v>
      </c>
      <c r="V204" s="34">
        <f>VLOOKUP(U204,'Powder Core Toroid OD'!$A$2:$B$36,2,FALSE)</f>
        <v>57.2</v>
      </c>
    </row>
    <row r="205" spans="1:22" hidden="1">
      <c r="A205" s="42">
        <v>55111</v>
      </c>
      <c r="B205" s="34" t="s">
        <v>286</v>
      </c>
      <c r="C205" s="158">
        <v>109</v>
      </c>
      <c r="D205" s="34">
        <v>26</v>
      </c>
      <c r="E205" s="34" t="s">
        <v>21</v>
      </c>
      <c r="F205" s="34">
        <v>33</v>
      </c>
      <c r="G205" s="34" t="s">
        <v>0</v>
      </c>
      <c r="H205" s="34">
        <v>14.3</v>
      </c>
      <c r="I205" s="34">
        <v>143</v>
      </c>
      <c r="J205" s="34">
        <v>1.3680000000000001</v>
      </c>
      <c r="K205" s="34">
        <v>34.74</v>
      </c>
      <c r="L205" s="34">
        <v>2.2850000000000001</v>
      </c>
      <c r="M205" s="34">
        <v>58.04</v>
      </c>
      <c r="N205" s="34">
        <v>0.58499999999999996</v>
      </c>
      <c r="O205" s="34">
        <v>14.9</v>
      </c>
      <c r="P205" s="34">
        <v>1.44</v>
      </c>
      <c r="Q205" s="34">
        <v>144</v>
      </c>
      <c r="R205" s="34">
        <v>20.7</v>
      </c>
      <c r="S205" s="34">
        <v>20700</v>
      </c>
      <c r="T205" s="34">
        <v>9.48</v>
      </c>
      <c r="U205" s="34">
        <f t="shared" si="1"/>
        <v>109</v>
      </c>
      <c r="V205" s="34">
        <f>VLOOKUP(U205,'Powder Core Toroid OD'!$A$2:$B$36,2,FALSE)</f>
        <v>57.2</v>
      </c>
    </row>
    <row r="206" spans="1:22" hidden="1">
      <c r="A206" s="42">
        <v>55112</v>
      </c>
      <c r="B206" s="34" t="s">
        <v>285</v>
      </c>
      <c r="C206" s="158">
        <v>109</v>
      </c>
      <c r="D206" s="34">
        <v>14</v>
      </c>
      <c r="E206" s="34" t="s">
        <v>21</v>
      </c>
      <c r="F206" s="34">
        <v>18</v>
      </c>
      <c r="G206" s="34" t="s">
        <v>0</v>
      </c>
      <c r="H206" s="34">
        <v>14.3</v>
      </c>
      <c r="I206" s="34">
        <v>143</v>
      </c>
      <c r="J206" s="34">
        <v>1.3680000000000001</v>
      </c>
      <c r="K206" s="34">
        <v>34.74</v>
      </c>
      <c r="L206" s="34">
        <v>2.2850000000000001</v>
      </c>
      <c r="M206" s="34">
        <v>58.04</v>
      </c>
      <c r="N206" s="34">
        <v>0.58499999999999996</v>
      </c>
      <c r="O206" s="34">
        <v>14.9</v>
      </c>
      <c r="P206" s="34">
        <v>1.44</v>
      </c>
      <c r="Q206" s="34">
        <v>144</v>
      </c>
      <c r="R206" s="34">
        <v>20.7</v>
      </c>
      <c r="S206" s="34">
        <v>20700</v>
      </c>
      <c r="T206" s="34">
        <v>9.48</v>
      </c>
      <c r="U206" s="34">
        <f t="shared" si="1"/>
        <v>109</v>
      </c>
      <c r="V206" s="34">
        <f>VLOOKUP(U206,'Powder Core Toroid OD'!$A$2:$B$36,2,FALSE)</f>
        <v>57.2</v>
      </c>
    </row>
    <row r="207" spans="1:22" hidden="1">
      <c r="A207" s="42">
        <v>55114</v>
      </c>
      <c r="B207" s="34" t="s">
        <v>197</v>
      </c>
      <c r="C207" s="158">
        <v>120</v>
      </c>
      <c r="D207" s="34">
        <v>173</v>
      </c>
      <c r="E207" s="34" t="s">
        <v>21</v>
      </c>
      <c r="F207" s="34">
        <v>104</v>
      </c>
      <c r="G207" s="34" t="s">
        <v>0</v>
      </c>
      <c r="H207" s="34">
        <v>4.12</v>
      </c>
      <c r="I207" s="34">
        <v>41.2</v>
      </c>
      <c r="J207" s="34">
        <v>0.375</v>
      </c>
      <c r="K207" s="34">
        <v>9.52</v>
      </c>
      <c r="L207" s="41">
        <v>0.68</v>
      </c>
      <c r="M207" s="34">
        <v>17.3</v>
      </c>
      <c r="N207" s="41">
        <v>0.28000000000000003</v>
      </c>
      <c r="O207" s="34">
        <v>7.12</v>
      </c>
      <c r="P207" s="34">
        <v>0.192</v>
      </c>
      <c r="Q207" s="34">
        <v>19.2</v>
      </c>
      <c r="R207" s="34">
        <v>0.79100000000000004</v>
      </c>
      <c r="S207" s="34">
        <v>791</v>
      </c>
      <c r="T207" s="34">
        <v>0.71199999999999997</v>
      </c>
      <c r="U207" s="34">
        <f t="shared" si="1"/>
        <v>120</v>
      </c>
      <c r="V207" s="34">
        <f>VLOOKUP(U207,'Powder Core Toroid OD'!$A$2:$B$36,2,FALSE)</f>
        <v>16.600000000000001</v>
      </c>
    </row>
    <row r="208" spans="1:22" hidden="1">
      <c r="A208" s="42">
        <v>55115</v>
      </c>
      <c r="B208" s="34" t="s">
        <v>196</v>
      </c>
      <c r="C208" s="158">
        <v>120</v>
      </c>
      <c r="D208" s="34">
        <v>300</v>
      </c>
      <c r="E208" s="34" t="s">
        <v>21</v>
      </c>
      <c r="F208" s="34">
        <v>173</v>
      </c>
      <c r="G208" s="34" t="s">
        <v>0</v>
      </c>
      <c r="H208" s="34">
        <v>4.12</v>
      </c>
      <c r="I208" s="34">
        <v>41.2</v>
      </c>
      <c r="J208" s="34">
        <v>0.375</v>
      </c>
      <c r="K208" s="34">
        <v>9.52</v>
      </c>
      <c r="L208" s="41">
        <v>0.68</v>
      </c>
      <c r="M208" s="34">
        <v>17.3</v>
      </c>
      <c r="N208" s="41">
        <v>0.28000000000000003</v>
      </c>
      <c r="O208" s="34">
        <v>7.12</v>
      </c>
      <c r="P208" s="34">
        <v>0.192</v>
      </c>
      <c r="Q208" s="34">
        <v>19.2</v>
      </c>
      <c r="R208" s="34">
        <v>0.79100000000000004</v>
      </c>
      <c r="S208" s="34">
        <v>791</v>
      </c>
      <c r="T208" s="34">
        <v>0.71199999999999997</v>
      </c>
      <c r="U208" s="34">
        <f t="shared" si="1"/>
        <v>120</v>
      </c>
      <c r="V208" s="34">
        <f>VLOOKUP(U208,'Powder Core Toroid OD'!$A$2:$B$36,2,FALSE)</f>
        <v>16.600000000000001</v>
      </c>
    </row>
    <row r="209" spans="1:22" hidden="1">
      <c r="A209" s="42">
        <v>55116</v>
      </c>
      <c r="B209" s="34" t="s">
        <v>195</v>
      </c>
      <c r="C209" s="158">
        <v>120</v>
      </c>
      <c r="D209" s="34">
        <v>550</v>
      </c>
      <c r="E209" s="34" t="s">
        <v>21</v>
      </c>
      <c r="F209" s="34">
        <v>317</v>
      </c>
      <c r="G209" s="34" t="s">
        <v>0</v>
      </c>
      <c r="H209" s="34">
        <v>4.12</v>
      </c>
      <c r="I209" s="34">
        <v>41.2</v>
      </c>
      <c r="J209" s="34">
        <v>0.375</v>
      </c>
      <c r="K209" s="34">
        <v>9.52</v>
      </c>
      <c r="L209" s="41">
        <v>0.68</v>
      </c>
      <c r="M209" s="34">
        <v>17.3</v>
      </c>
      <c r="N209" s="41">
        <v>0.28000000000000003</v>
      </c>
      <c r="O209" s="34">
        <v>7.12</v>
      </c>
      <c r="P209" s="34">
        <v>0.192</v>
      </c>
      <c r="Q209" s="34">
        <v>19.2</v>
      </c>
      <c r="R209" s="34">
        <v>0.79100000000000004</v>
      </c>
      <c r="S209" s="34">
        <v>791</v>
      </c>
      <c r="T209" s="34">
        <v>0.71199999999999997</v>
      </c>
      <c r="U209" s="34">
        <f t="shared" si="1"/>
        <v>120</v>
      </c>
      <c r="V209" s="34">
        <f>VLOOKUP(U209,'Powder Core Toroid OD'!$A$2:$B$36,2,FALSE)</f>
        <v>16.600000000000001</v>
      </c>
    </row>
    <row r="210" spans="1:22" hidden="1">
      <c r="A210" s="42">
        <v>55117</v>
      </c>
      <c r="B210" s="34" t="s">
        <v>194</v>
      </c>
      <c r="C210" s="158">
        <v>120</v>
      </c>
      <c r="D210" s="34">
        <v>200</v>
      </c>
      <c r="E210" s="34" t="s">
        <v>21</v>
      </c>
      <c r="F210" s="34">
        <v>115</v>
      </c>
      <c r="G210" s="34" t="s">
        <v>0</v>
      </c>
      <c r="H210" s="34">
        <v>4.12</v>
      </c>
      <c r="I210" s="34">
        <v>41.2</v>
      </c>
      <c r="J210" s="34">
        <v>0.375</v>
      </c>
      <c r="K210" s="34">
        <v>9.52</v>
      </c>
      <c r="L210" s="41">
        <v>0.68</v>
      </c>
      <c r="M210" s="34">
        <v>17.3</v>
      </c>
      <c r="N210" s="41">
        <v>0.28000000000000003</v>
      </c>
      <c r="O210" s="34">
        <v>7.12</v>
      </c>
      <c r="P210" s="34">
        <v>0.192</v>
      </c>
      <c r="Q210" s="34">
        <v>19.2</v>
      </c>
      <c r="R210" s="34">
        <v>0.79100000000000004</v>
      </c>
      <c r="S210" s="34">
        <v>791</v>
      </c>
      <c r="T210" s="34">
        <v>0.71199999999999997</v>
      </c>
      <c r="U210" s="34">
        <f t="shared" ref="U210:U273" si="2">C210*1</f>
        <v>120</v>
      </c>
      <c r="V210" s="34">
        <f>VLOOKUP(U210,'Powder Core Toroid OD'!$A$2:$B$36,2,FALSE)</f>
        <v>16.600000000000001</v>
      </c>
    </row>
    <row r="211" spans="1:22" hidden="1">
      <c r="A211" s="42">
        <v>55118</v>
      </c>
      <c r="B211" s="34" t="s">
        <v>193</v>
      </c>
      <c r="C211" s="158">
        <v>120</v>
      </c>
      <c r="D211" s="34">
        <v>160</v>
      </c>
      <c r="E211" s="34" t="s">
        <v>21</v>
      </c>
      <c r="F211" s="34">
        <v>92</v>
      </c>
      <c r="G211" s="34" t="s">
        <v>0</v>
      </c>
      <c r="H211" s="34">
        <v>4.12</v>
      </c>
      <c r="I211" s="34">
        <v>41.2</v>
      </c>
      <c r="J211" s="34">
        <v>0.375</v>
      </c>
      <c r="K211" s="34">
        <v>9.52</v>
      </c>
      <c r="L211" s="41">
        <v>0.68</v>
      </c>
      <c r="M211" s="34">
        <v>17.3</v>
      </c>
      <c r="N211" s="41">
        <v>0.28000000000000003</v>
      </c>
      <c r="O211" s="34">
        <v>7.12</v>
      </c>
      <c r="P211" s="34">
        <v>0.192</v>
      </c>
      <c r="Q211" s="34">
        <v>19.2</v>
      </c>
      <c r="R211" s="34">
        <v>0.79100000000000004</v>
      </c>
      <c r="S211" s="34">
        <v>791</v>
      </c>
      <c r="T211" s="34">
        <v>0.71199999999999997</v>
      </c>
      <c r="U211" s="34">
        <f t="shared" si="2"/>
        <v>120</v>
      </c>
      <c r="V211" s="34">
        <f>VLOOKUP(U211,'Powder Core Toroid OD'!$A$2:$B$36,2,FALSE)</f>
        <v>16.600000000000001</v>
      </c>
    </row>
    <row r="212" spans="1:22" hidden="1">
      <c r="A212" s="42">
        <v>55119</v>
      </c>
      <c r="B212" s="34" t="s">
        <v>192</v>
      </c>
      <c r="C212" s="158">
        <v>120</v>
      </c>
      <c r="D212" s="34">
        <v>147</v>
      </c>
      <c r="E212" s="34" t="s">
        <v>21</v>
      </c>
      <c r="F212" s="34">
        <v>88</v>
      </c>
      <c r="G212" s="34" t="s">
        <v>0</v>
      </c>
      <c r="H212" s="34">
        <v>4.12</v>
      </c>
      <c r="I212" s="34">
        <v>41.2</v>
      </c>
      <c r="J212" s="34">
        <v>0.375</v>
      </c>
      <c r="K212" s="34">
        <v>9.52</v>
      </c>
      <c r="L212" s="41">
        <v>0.68</v>
      </c>
      <c r="M212" s="34">
        <v>17.3</v>
      </c>
      <c r="N212" s="41">
        <v>0.28000000000000003</v>
      </c>
      <c r="O212" s="34">
        <v>7.12</v>
      </c>
      <c r="P212" s="34">
        <v>0.192</v>
      </c>
      <c r="Q212" s="34">
        <v>19.2</v>
      </c>
      <c r="R212" s="34">
        <v>0.79100000000000004</v>
      </c>
      <c r="S212" s="34">
        <v>791</v>
      </c>
      <c r="T212" s="34">
        <v>0.71199999999999997</v>
      </c>
      <c r="U212" s="34">
        <f t="shared" si="2"/>
        <v>120</v>
      </c>
      <c r="V212" s="34">
        <f>VLOOKUP(U212,'Powder Core Toroid OD'!$A$2:$B$36,2,FALSE)</f>
        <v>16.600000000000001</v>
      </c>
    </row>
    <row r="213" spans="1:22" hidden="1">
      <c r="A213" s="42">
        <v>55120</v>
      </c>
      <c r="B213" s="34" t="s">
        <v>191</v>
      </c>
      <c r="C213" s="158">
        <v>120</v>
      </c>
      <c r="D213" s="34">
        <v>125</v>
      </c>
      <c r="E213" s="34" t="s">
        <v>21</v>
      </c>
      <c r="F213" s="34">
        <v>72</v>
      </c>
      <c r="G213" s="34" t="s">
        <v>0</v>
      </c>
      <c r="H213" s="34">
        <v>4.12</v>
      </c>
      <c r="I213" s="34">
        <v>41.2</v>
      </c>
      <c r="J213" s="34">
        <v>0.375</v>
      </c>
      <c r="K213" s="34">
        <v>9.52</v>
      </c>
      <c r="L213" s="41">
        <v>0.68</v>
      </c>
      <c r="M213" s="34">
        <v>17.3</v>
      </c>
      <c r="N213" s="41">
        <v>0.28000000000000003</v>
      </c>
      <c r="O213" s="34">
        <v>7.12</v>
      </c>
      <c r="P213" s="34">
        <v>0.192</v>
      </c>
      <c r="Q213" s="34">
        <v>19.2</v>
      </c>
      <c r="R213" s="34">
        <v>0.79100000000000004</v>
      </c>
      <c r="S213" s="34">
        <v>791</v>
      </c>
      <c r="T213" s="34">
        <v>0.71199999999999997</v>
      </c>
      <c r="U213" s="34">
        <f t="shared" si="2"/>
        <v>120</v>
      </c>
      <c r="V213" s="34">
        <f>VLOOKUP(U213,'Powder Core Toroid OD'!$A$2:$B$36,2,FALSE)</f>
        <v>16.600000000000001</v>
      </c>
    </row>
    <row r="214" spans="1:22" hidden="1">
      <c r="A214" s="42">
        <v>55121</v>
      </c>
      <c r="B214" s="34" t="s">
        <v>190</v>
      </c>
      <c r="C214" s="158">
        <v>120</v>
      </c>
      <c r="D214" s="34">
        <v>60</v>
      </c>
      <c r="E214" s="34" t="s">
        <v>21</v>
      </c>
      <c r="F214" s="34">
        <v>35</v>
      </c>
      <c r="G214" s="34" t="s">
        <v>0</v>
      </c>
      <c r="H214" s="34">
        <v>4.12</v>
      </c>
      <c r="I214" s="34">
        <v>41.2</v>
      </c>
      <c r="J214" s="34">
        <v>0.375</v>
      </c>
      <c r="K214" s="34">
        <v>9.52</v>
      </c>
      <c r="L214" s="41">
        <v>0.68</v>
      </c>
      <c r="M214" s="34">
        <v>17.3</v>
      </c>
      <c r="N214" s="41">
        <v>0.28000000000000003</v>
      </c>
      <c r="O214" s="34">
        <v>7.12</v>
      </c>
      <c r="P214" s="34">
        <v>0.192</v>
      </c>
      <c r="Q214" s="34">
        <v>19.2</v>
      </c>
      <c r="R214" s="34">
        <v>0.79100000000000004</v>
      </c>
      <c r="S214" s="34">
        <v>791</v>
      </c>
      <c r="T214" s="34">
        <v>0.71199999999999997</v>
      </c>
      <c r="U214" s="34">
        <f t="shared" si="2"/>
        <v>120</v>
      </c>
      <c r="V214" s="34">
        <f>VLOOKUP(U214,'Powder Core Toroid OD'!$A$2:$B$36,2,FALSE)</f>
        <v>16.600000000000001</v>
      </c>
    </row>
    <row r="215" spans="1:22" hidden="1">
      <c r="A215" s="42">
        <v>55122</v>
      </c>
      <c r="B215" s="34" t="s">
        <v>284</v>
      </c>
      <c r="C215" s="158">
        <v>120</v>
      </c>
      <c r="D215" s="34">
        <v>26</v>
      </c>
      <c r="E215" s="34" t="s">
        <v>21</v>
      </c>
      <c r="F215" s="34">
        <v>15</v>
      </c>
      <c r="G215" s="34" t="s">
        <v>0</v>
      </c>
      <c r="H215" s="34">
        <v>4.12</v>
      </c>
      <c r="I215" s="34">
        <v>41.2</v>
      </c>
      <c r="J215" s="34">
        <v>0.375</v>
      </c>
      <c r="K215" s="34">
        <v>9.52</v>
      </c>
      <c r="L215" s="41">
        <v>0.68</v>
      </c>
      <c r="M215" s="34">
        <v>17.3</v>
      </c>
      <c r="N215" s="41">
        <v>0.28000000000000003</v>
      </c>
      <c r="O215" s="34">
        <v>7.12</v>
      </c>
      <c r="P215" s="34">
        <v>0.192</v>
      </c>
      <c r="Q215" s="34">
        <v>19.2</v>
      </c>
      <c r="R215" s="34">
        <v>0.79100000000000004</v>
      </c>
      <c r="S215" s="34">
        <v>791</v>
      </c>
      <c r="T215" s="34">
        <v>0.71199999999999997</v>
      </c>
      <c r="U215" s="34">
        <f t="shared" si="2"/>
        <v>120</v>
      </c>
      <c r="V215" s="34">
        <f>VLOOKUP(U215,'Powder Core Toroid OD'!$A$2:$B$36,2,FALSE)</f>
        <v>16.600000000000001</v>
      </c>
    </row>
    <row r="216" spans="1:22" hidden="1">
      <c r="A216" s="42">
        <v>55123</v>
      </c>
      <c r="B216" s="34" t="s">
        <v>283</v>
      </c>
      <c r="C216" s="158">
        <v>120</v>
      </c>
      <c r="D216" s="34">
        <v>14</v>
      </c>
      <c r="E216" s="34" t="s">
        <v>21</v>
      </c>
      <c r="F216" s="34">
        <v>8</v>
      </c>
      <c r="G216" s="34" t="s">
        <v>0</v>
      </c>
      <c r="H216" s="34">
        <v>4.12</v>
      </c>
      <c r="I216" s="34">
        <v>41.2</v>
      </c>
      <c r="J216" s="34">
        <v>0.375</v>
      </c>
      <c r="K216" s="34">
        <v>9.52</v>
      </c>
      <c r="L216" s="41">
        <v>0.68</v>
      </c>
      <c r="M216" s="34">
        <v>17.3</v>
      </c>
      <c r="N216" s="41">
        <v>0.28000000000000003</v>
      </c>
      <c r="O216" s="34">
        <v>7.12</v>
      </c>
      <c r="P216" s="34">
        <v>0.192</v>
      </c>
      <c r="Q216" s="34">
        <v>19.2</v>
      </c>
      <c r="R216" s="34">
        <v>0.79100000000000004</v>
      </c>
      <c r="S216" s="34">
        <v>791</v>
      </c>
      <c r="T216" s="34">
        <v>0.71199999999999997</v>
      </c>
      <c r="U216" s="34">
        <f t="shared" si="2"/>
        <v>120</v>
      </c>
      <c r="V216" s="34">
        <f>VLOOKUP(U216,'Powder Core Toroid OD'!$A$2:$B$36,2,FALSE)</f>
        <v>16.600000000000001</v>
      </c>
    </row>
    <row r="217" spans="1:22" hidden="1">
      <c r="A217" s="42">
        <v>55124</v>
      </c>
      <c r="B217" s="34" t="s">
        <v>189</v>
      </c>
      <c r="C217" s="158">
        <v>130</v>
      </c>
      <c r="D217" s="34">
        <v>173</v>
      </c>
      <c r="E217" s="34" t="s">
        <v>21</v>
      </c>
      <c r="F217" s="34">
        <v>74</v>
      </c>
      <c r="G217" s="34" t="s">
        <v>0</v>
      </c>
      <c r="H217" s="34">
        <v>2.69</v>
      </c>
      <c r="I217" s="34">
        <v>26.9</v>
      </c>
      <c r="J217" s="41">
        <v>0.23</v>
      </c>
      <c r="K217" s="34">
        <v>5.84</v>
      </c>
      <c r="L217" s="34">
        <v>0.46500000000000002</v>
      </c>
      <c r="M217" s="34">
        <v>11.9</v>
      </c>
      <c r="N217" s="34">
        <v>0.18099999999999999</v>
      </c>
      <c r="O217" s="41">
        <v>4.5999999999999996</v>
      </c>
      <c r="P217" s="34">
        <v>9.06E-2</v>
      </c>
      <c r="Q217" s="34">
        <v>9.06</v>
      </c>
      <c r="R217" s="34">
        <v>0.24399999999999999</v>
      </c>
      <c r="S217" s="34">
        <v>244</v>
      </c>
      <c r="T217" s="34">
        <v>0.26800000000000002</v>
      </c>
      <c r="U217" s="34">
        <f t="shared" si="2"/>
        <v>130</v>
      </c>
      <c r="V217" s="34">
        <f>VLOOKUP(U217,'Powder Core Toroid OD'!$A$2:$B$36,2,FALSE)</f>
        <v>11.2</v>
      </c>
    </row>
    <row r="218" spans="1:22" hidden="1">
      <c r="A218" s="42">
        <v>55125</v>
      </c>
      <c r="B218" s="34" t="s">
        <v>188</v>
      </c>
      <c r="C218" s="158">
        <v>130</v>
      </c>
      <c r="D218" s="34">
        <v>300</v>
      </c>
      <c r="E218" s="34" t="s">
        <v>21</v>
      </c>
      <c r="F218" s="34">
        <v>127</v>
      </c>
      <c r="G218" s="34" t="s">
        <v>0</v>
      </c>
      <c r="H218" s="34">
        <v>2.69</v>
      </c>
      <c r="I218" s="34">
        <v>26.9</v>
      </c>
      <c r="J218" s="41">
        <v>0.23</v>
      </c>
      <c r="K218" s="34">
        <v>5.84</v>
      </c>
      <c r="L218" s="34">
        <v>0.46500000000000002</v>
      </c>
      <c r="M218" s="34">
        <v>11.9</v>
      </c>
      <c r="N218" s="34">
        <v>0.18099999999999999</v>
      </c>
      <c r="O218" s="41">
        <v>4.5999999999999996</v>
      </c>
      <c r="P218" s="34">
        <v>9.06E-2</v>
      </c>
      <c r="Q218" s="34">
        <v>9.06</v>
      </c>
      <c r="R218" s="34">
        <v>0.24399999999999999</v>
      </c>
      <c r="S218" s="34">
        <v>244</v>
      </c>
      <c r="T218" s="34">
        <v>0.26800000000000002</v>
      </c>
      <c r="U218" s="34">
        <f t="shared" si="2"/>
        <v>130</v>
      </c>
      <c r="V218" s="34">
        <f>VLOOKUP(U218,'Powder Core Toroid OD'!$A$2:$B$36,2,FALSE)</f>
        <v>11.2</v>
      </c>
    </row>
    <row r="219" spans="1:22" hidden="1">
      <c r="A219" s="42">
        <v>55127</v>
      </c>
      <c r="B219" s="34" t="s">
        <v>187</v>
      </c>
      <c r="C219" s="158">
        <v>130</v>
      </c>
      <c r="D219" s="34">
        <v>200</v>
      </c>
      <c r="E219" s="34" t="s">
        <v>21</v>
      </c>
      <c r="F219" s="34">
        <v>85</v>
      </c>
      <c r="G219" s="34" t="s">
        <v>0</v>
      </c>
      <c r="H219" s="34">
        <v>2.69</v>
      </c>
      <c r="I219" s="34">
        <v>26.9</v>
      </c>
      <c r="J219" s="41">
        <v>0.23</v>
      </c>
      <c r="K219" s="34">
        <v>5.84</v>
      </c>
      <c r="L219" s="34">
        <v>0.46500000000000002</v>
      </c>
      <c r="M219" s="34">
        <v>11.9</v>
      </c>
      <c r="N219" s="34">
        <v>0.18099999999999999</v>
      </c>
      <c r="O219" s="41">
        <v>4.5999999999999996</v>
      </c>
      <c r="P219" s="34">
        <v>9.06E-2</v>
      </c>
      <c r="Q219" s="34">
        <v>9.06</v>
      </c>
      <c r="R219" s="34">
        <v>0.24399999999999999</v>
      </c>
      <c r="S219" s="34">
        <v>244</v>
      </c>
      <c r="T219" s="34">
        <v>0.26800000000000002</v>
      </c>
      <c r="U219" s="34">
        <f t="shared" si="2"/>
        <v>130</v>
      </c>
      <c r="V219" s="34">
        <f>VLOOKUP(U219,'Powder Core Toroid OD'!$A$2:$B$36,2,FALSE)</f>
        <v>11.2</v>
      </c>
    </row>
    <row r="220" spans="1:22" hidden="1">
      <c r="A220" s="42">
        <v>55128</v>
      </c>
      <c r="B220" s="34" t="s">
        <v>186</v>
      </c>
      <c r="C220" s="158">
        <v>130</v>
      </c>
      <c r="D220" s="34">
        <v>160</v>
      </c>
      <c r="E220" s="34" t="s">
        <v>21</v>
      </c>
      <c r="F220" s="34">
        <v>68</v>
      </c>
      <c r="G220" s="34" t="s">
        <v>0</v>
      </c>
      <c r="H220" s="34">
        <v>2.69</v>
      </c>
      <c r="I220" s="34">
        <v>26.9</v>
      </c>
      <c r="J220" s="41">
        <v>0.23</v>
      </c>
      <c r="K220" s="34">
        <v>5.84</v>
      </c>
      <c r="L220" s="34">
        <v>0.46500000000000002</v>
      </c>
      <c r="M220" s="34">
        <v>11.9</v>
      </c>
      <c r="N220" s="34">
        <v>0.18099999999999999</v>
      </c>
      <c r="O220" s="41">
        <v>4.5999999999999996</v>
      </c>
      <c r="P220" s="34">
        <v>9.06E-2</v>
      </c>
      <c r="Q220" s="34">
        <v>9.06</v>
      </c>
      <c r="R220" s="34">
        <v>0.24399999999999999</v>
      </c>
      <c r="S220" s="34">
        <v>244</v>
      </c>
      <c r="T220" s="34">
        <v>0.26800000000000002</v>
      </c>
      <c r="U220" s="34">
        <f t="shared" si="2"/>
        <v>130</v>
      </c>
      <c r="V220" s="34">
        <f>VLOOKUP(U220,'Powder Core Toroid OD'!$A$2:$B$36,2,FALSE)</f>
        <v>11.2</v>
      </c>
    </row>
    <row r="221" spans="1:22" hidden="1">
      <c r="A221" s="42">
        <v>55129</v>
      </c>
      <c r="B221" s="34" t="s">
        <v>185</v>
      </c>
      <c r="C221" s="158">
        <v>130</v>
      </c>
      <c r="D221" s="34">
        <v>147</v>
      </c>
      <c r="E221" s="34" t="s">
        <v>21</v>
      </c>
      <c r="F221" s="34">
        <v>63</v>
      </c>
      <c r="G221" s="34" t="s">
        <v>0</v>
      </c>
      <c r="H221" s="34">
        <v>2.69</v>
      </c>
      <c r="I221" s="34">
        <v>26.9</v>
      </c>
      <c r="J221" s="41">
        <v>0.23</v>
      </c>
      <c r="K221" s="34">
        <v>5.84</v>
      </c>
      <c r="L221" s="34">
        <v>0.46500000000000002</v>
      </c>
      <c r="M221" s="34">
        <v>11.9</v>
      </c>
      <c r="N221" s="34">
        <v>0.18099999999999999</v>
      </c>
      <c r="O221" s="41">
        <v>4.5999999999999996</v>
      </c>
      <c r="P221" s="34">
        <v>9.06E-2</v>
      </c>
      <c r="Q221" s="34">
        <v>9.06</v>
      </c>
      <c r="R221" s="34">
        <v>0.24399999999999999</v>
      </c>
      <c r="S221" s="34">
        <v>244</v>
      </c>
      <c r="T221" s="34">
        <v>0.26800000000000002</v>
      </c>
      <c r="U221" s="34">
        <f t="shared" si="2"/>
        <v>130</v>
      </c>
      <c r="V221" s="34">
        <f>VLOOKUP(U221,'Powder Core Toroid OD'!$A$2:$B$36,2,FALSE)</f>
        <v>11.2</v>
      </c>
    </row>
    <row r="222" spans="1:22" hidden="1">
      <c r="A222" s="42">
        <v>55130</v>
      </c>
      <c r="B222" s="34" t="s">
        <v>184</v>
      </c>
      <c r="C222" s="158">
        <v>130</v>
      </c>
      <c r="D222" s="34">
        <v>125</v>
      </c>
      <c r="E222" s="34" t="s">
        <v>21</v>
      </c>
      <c r="F222" s="34">
        <v>53</v>
      </c>
      <c r="G222" s="34" t="s">
        <v>0</v>
      </c>
      <c r="H222" s="34">
        <v>2.69</v>
      </c>
      <c r="I222" s="34">
        <v>26.9</v>
      </c>
      <c r="J222" s="41">
        <v>0.23</v>
      </c>
      <c r="K222" s="34">
        <v>5.84</v>
      </c>
      <c r="L222" s="34">
        <v>0.46500000000000002</v>
      </c>
      <c r="M222" s="34">
        <v>11.9</v>
      </c>
      <c r="N222" s="34">
        <v>0.18099999999999999</v>
      </c>
      <c r="O222" s="41">
        <v>4.5999999999999996</v>
      </c>
      <c r="P222" s="34">
        <v>9.06E-2</v>
      </c>
      <c r="Q222" s="34">
        <v>9.06</v>
      </c>
      <c r="R222" s="34">
        <v>0.24399999999999999</v>
      </c>
      <c r="S222" s="34">
        <v>244</v>
      </c>
      <c r="T222" s="34">
        <v>0.26800000000000002</v>
      </c>
      <c r="U222" s="34">
        <f t="shared" si="2"/>
        <v>130</v>
      </c>
      <c r="V222" s="34">
        <f>VLOOKUP(U222,'Powder Core Toroid OD'!$A$2:$B$36,2,FALSE)</f>
        <v>11.2</v>
      </c>
    </row>
    <row r="223" spans="1:22" hidden="1">
      <c r="A223" s="42">
        <v>55131</v>
      </c>
      <c r="B223" s="34" t="s">
        <v>183</v>
      </c>
      <c r="C223" s="158">
        <v>130</v>
      </c>
      <c r="D223" s="34">
        <v>60</v>
      </c>
      <c r="E223" s="34" t="s">
        <v>21</v>
      </c>
      <c r="F223" s="34">
        <v>26</v>
      </c>
      <c r="G223" s="34" t="s">
        <v>0</v>
      </c>
      <c r="H223" s="34">
        <v>2.69</v>
      </c>
      <c r="I223" s="34">
        <v>26.9</v>
      </c>
      <c r="J223" s="41">
        <v>0.23</v>
      </c>
      <c r="K223" s="34">
        <v>5.84</v>
      </c>
      <c r="L223" s="34">
        <v>0.46500000000000002</v>
      </c>
      <c r="M223" s="34">
        <v>11.9</v>
      </c>
      <c r="N223" s="34">
        <v>0.18099999999999999</v>
      </c>
      <c r="O223" s="41">
        <v>4.5999999999999996</v>
      </c>
      <c r="P223" s="34">
        <v>9.06E-2</v>
      </c>
      <c r="Q223" s="34">
        <v>9.06</v>
      </c>
      <c r="R223" s="34">
        <v>0.24399999999999999</v>
      </c>
      <c r="S223" s="34">
        <v>244</v>
      </c>
      <c r="T223" s="34">
        <v>0.26800000000000002</v>
      </c>
      <c r="U223" s="34">
        <f t="shared" si="2"/>
        <v>130</v>
      </c>
      <c r="V223" s="34">
        <f>VLOOKUP(U223,'Powder Core Toroid OD'!$A$2:$B$36,2,FALSE)</f>
        <v>11.2</v>
      </c>
    </row>
    <row r="224" spans="1:22" hidden="1">
      <c r="A224" s="42">
        <v>55132</v>
      </c>
      <c r="B224" s="34" t="s">
        <v>282</v>
      </c>
      <c r="C224" s="158">
        <v>130</v>
      </c>
      <c r="D224" s="34">
        <v>26</v>
      </c>
      <c r="E224" s="34" t="s">
        <v>21</v>
      </c>
      <c r="F224" s="34">
        <v>11</v>
      </c>
      <c r="G224" s="34" t="s">
        <v>0</v>
      </c>
      <c r="H224" s="34">
        <v>2.69</v>
      </c>
      <c r="I224" s="34">
        <v>26.9</v>
      </c>
      <c r="J224" s="41">
        <v>0.23</v>
      </c>
      <c r="K224" s="34">
        <v>5.84</v>
      </c>
      <c r="L224" s="34">
        <v>0.46500000000000002</v>
      </c>
      <c r="M224" s="34">
        <v>11.9</v>
      </c>
      <c r="N224" s="34">
        <v>0.18099999999999999</v>
      </c>
      <c r="O224" s="41">
        <v>4.5999999999999996</v>
      </c>
      <c r="P224" s="34">
        <v>9.06E-2</v>
      </c>
      <c r="Q224" s="34">
        <v>9.06</v>
      </c>
      <c r="R224" s="34">
        <v>0.24399999999999999</v>
      </c>
      <c r="S224" s="34">
        <v>244</v>
      </c>
      <c r="T224" s="34">
        <v>0.26800000000000002</v>
      </c>
      <c r="U224" s="34">
        <f t="shared" si="2"/>
        <v>130</v>
      </c>
      <c r="V224" s="34">
        <f>VLOOKUP(U224,'Powder Core Toroid OD'!$A$2:$B$36,2,FALSE)</f>
        <v>11.2</v>
      </c>
    </row>
    <row r="225" spans="1:22" hidden="1">
      <c r="A225" s="42">
        <v>55133</v>
      </c>
      <c r="B225" s="34" t="s">
        <v>281</v>
      </c>
      <c r="C225" s="158">
        <v>130</v>
      </c>
      <c r="D225" s="34">
        <v>14</v>
      </c>
      <c r="E225" s="34" t="s">
        <v>21</v>
      </c>
      <c r="F225" s="34">
        <v>6</v>
      </c>
      <c r="G225" s="34" t="s">
        <v>0</v>
      </c>
      <c r="H225" s="34">
        <v>2.69</v>
      </c>
      <c r="I225" s="34">
        <v>26.9</v>
      </c>
      <c r="J225" s="41">
        <v>0.23</v>
      </c>
      <c r="K225" s="34">
        <v>5.84</v>
      </c>
      <c r="L225" s="34">
        <v>0.46500000000000002</v>
      </c>
      <c r="M225" s="34">
        <v>11.9</v>
      </c>
      <c r="N225" s="34">
        <v>0.18099999999999999</v>
      </c>
      <c r="O225" s="41">
        <v>4.5999999999999996</v>
      </c>
      <c r="P225" s="34">
        <v>9.06E-2</v>
      </c>
      <c r="Q225" s="34">
        <v>9.06</v>
      </c>
      <c r="R225" s="34">
        <v>0.24399999999999999</v>
      </c>
      <c r="S225" s="34">
        <v>244</v>
      </c>
      <c r="T225" s="34">
        <v>0.26800000000000002</v>
      </c>
      <c r="U225" s="34">
        <f t="shared" si="2"/>
        <v>130</v>
      </c>
      <c r="V225" s="34">
        <f>VLOOKUP(U225,'Powder Core Toroid OD'!$A$2:$B$36,2,FALSE)</f>
        <v>11.2</v>
      </c>
    </row>
    <row r="226" spans="1:22" hidden="1">
      <c r="A226" s="42">
        <v>55134</v>
      </c>
      <c r="B226" s="34" t="s">
        <v>280</v>
      </c>
      <c r="C226" s="158">
        <v>140</v>
      </c>
      <c r="D226" s="34">
        <v>173</v>
      </c>
      <c r="E226" s="34" t="s">
        <v>21</v>
      </c>
      <c r="F226" s="34">
        <v>36</v>
      </c>
      <c r="G226" s="34" t="s">
        <v>0</v>
      </c>
      <c r="H226" s="34">
        <v>0.80600000000000005</v>
      </c>
      <c r="I226" s="34">
        <v>8.06</v>
      </c>
      <c r="J226" s="41">
        <v>0.05</v>
      </c>
      <c r="K226" s="34">
        <v>1.27</v>
      </c>
      <c r="L226" s="34">
        <v>0.16500000000000001</v>
      </c>
      <c r="M226" s="40">
        <v>4.2</v>
      </c>
      <c r="N226" s="34">
        <v>8.5000000000000006E-2</v>
      </c>
      <c r="O226" s="34">
        <v>2.16</v>
      </c>
      <c r="P226" s="34">
        <v>1.2999999999999999E-2</v>
      </c>
      <c r="Q226" s="34">
        <v>1.3</v>
      </c>
      <c r="R226" s="34">
        <v>1.0500000000000001E-2</v>
      </c>
      <c r="S226" s="34">
        <v>10.5</v>
      </c>
      <c r="T226" s="34">
        <v>1.2699999999999999E-2</v>
      </c>
      <c r="U226" s="34">
        <f t="shared" si="2"/>
        <v>140</v>
      </c>
      <c r="V226" s="34">
        <f>VLOOKUP(U226,'Powder Core Toroid OD'!$A$2:$B$36,2,FALSE)</f>
        <v>3.56</v>
      </c>
    </row>
    <row r="227" spans="1:22" hidden="1">
      <c r="A227" s="42">
        <v>55135</v>
      </c>
      <c r="B227" s="34" t="s">
        <v>182</v>
      </c>
      <c r="C227" s="158">
        <v>140</v>
      </c>
      <c r="D227" s="34">
        <v>300</v>
      </c>
      <c r="E227" s="34" t="s">
        <v>21</v>
      </c>
      <c r="F227" s="34">
        <v>62</v>
      </c>
      <c r="G227" s="34" t="s">
        <v>0</v>
      </c>
      <c r="H227" s="34">
        <v>0.80600000000000005</v>
      </c>
      <c r="I227" s="34">
        <v>8.06</v>
      </c>
      <c r="J227" s="41">
        <v>0.05</v>
      </c>
      <c r="K227" s="34">
        <v>1.27</v>
      </c>
      <c r="L227" s="34">
        <v>0.16500000000000001</v>
      </c>
      <c r="M227" s="40">
        <v>4.2</v>
      </c>
      <c r="N227" s="34">
        <v>8.5000000000000006E-2</v>
      </c>
      <c r="O227" s="34">
        <v>2.16</v>
      </c>
      <c r="P227" s="34">
        <v>1.2999999999999999E-2</v>
      </c>
      <c r="Q227" s="34">
        <v>1.3</v>
      </c>
      <c r="R227" s="34">
        <v>1.0500000000000001E-2</v>
      </c>
      <c r="S227" s="34">
        <v>10.5</v>
      </c>
      <c r="T227" s="34">
        <v>1.2699999999999999E-2</v>
      </c>
      <c r="U227" s="34">
        <f t="shared" si="2"/>
        <v>140</v>
      </c>
      <c r="V227" s="34">
        <f>VLOOKUP(U227,'Powder Core Toroid OD'!$A$2:$B$36,2,FALSE)</f>
        <v>3.56</v>
      </c>
    </row>
    <row r="228" spans="1:22" hidden="1">
      <c r="A228" s="42">
        <v>55137</v>
      </c>
      <c r="B228" s="34" t="s">
        <v>181</v>
      </c>
      <c r="C228" s="158">
        <v>140</v>
      </c>
      <c r="D228" s="34">
        <v>200</v>
      </c>
      <c r="E228" s="34" t="s">
        <v>21</v>
      </c>
      <c r="F228" s="34">
        <v>42</v>
      </c>
      <c r="G228" s="34" t="s">
        <v>0</v>
      </c>
      <c r="H228" s="34">
        <v>0.80600000000000005</v>
      </c>
      <c r="I228" s="34">
        <v>8.06</v>
      </c>
      <c r="J228" s="41">
        <v>0.05</v>
      </c>
      <c r="K228" s="34">
        <v>1.27</v>
      </c>
      <c r="L228" s="34">
        <v>0.16500000000000001</v>
      </c>
      <c r="M228" s="40">
        <v>4.2</v>
      </c>
      <c r="N228" s="34">
        <v>8.5000000000000006E-2</v>
      </c>
      <c r="O228" s="34">
        <v>2.16</v>
      </c>
      <c r="P228" s="34">
        <v>1.2999999999999999E-2</v>
      </c>
      <c r="Q228" s="34">
        <v>1.3</v>
      </c>
      <c r="R228" s="34">
        <v>1.0500000000000001E-2</v>
      </c>
      <c r="S228" s="34">
        <v>10.5</v>
      </c>
      <c r="T228" s="34">
        <v>1.2699999999999999E-2</v>
      </c>
      <c r="U228" s="34">
        <f t="shared" si="2"/>
        <v>140</v>
      </c>
      <c r="V228" s="34">
        <f>VLOOKUP(U228,'Powder Core Toroid OD'!$A$2:$B$36,2,FALSE)</f>
        <v>3.56</v>
      </c>
    </row>
    <row r="229" spans="1:22" hidden="1">
      <c r="A229" s="42">
        <v>55138</v>
      </c>
      <c r="B229" s="34" t="s">
        <v>180</v>
      </c>
      <c r="C229" s="158">
        <v>140</v>
      </c>
      <c r="D229" s="34">
        <v>160</v>
      </c>
      <c r="E229" s="34" t="s">
        <v>21</v>
      </c>
      <c r="F229" s="34">
        <v>33</v>
      </c>
      <c r="G229" s="34" t="s">
        <v>0</v>
      </c>
      <c r="H229" s="34">
        <v>0.80600000000000005</v>
      </c>
      <c r="I229" s="34">
        <v>8.06</v>
      </c>
      <c r="J229" s="41">
        <v>0.05</v>
      </c>
      <c r="K229" s="34">
        <v>1.27</v>
      </c>
      <c r="L229" s="34">
        <v>0.16500000000000001</v>
      </c>
      <c r="M229" s="40">
        <v>4.2</v>
      </c>
      <c r="N229" s="34">
        <v>8.5000000000000006E-2</v>
      </c>
      <c r="O229" s="34">
        <v>2.16</v>
      </c>
      <c r="P229" s="34">
        <v>1.2999999999999999E-2</v>
      </c>
      <c r="Q229" s="34">
        <v>1.3</v>
      </c>
      <c r="R229" s="34">
        <v>1.0500000000000001E-2</v>
      </c>
      <c r="S229" s="34">
        <v>10.5</v>
      </c>
      <c r="T229" s="34">
        <v>1.2699999999999999E-2</v>
      </c>
      <c r="U229" s="34">
        <f t="shared" si="2"/>
        <v>140</v>
      </c>
      <c r="V229" s="34">
        <f>VLOOKUP(U229,'Powder Core Toroid OD'!$A$2:$B$36,2,FALSE)</f>
        <v>3.56</v>
      </c>
    </row>
    <row r="230" spans="1:22" hidden="1">
      <c r="A230" s="42">
        <v>55139</v>
      </c>
      <c r="B230" s="34" t="s">
        <v>179</v>
      </c>
      <c r="C230" s="158">
        <v>140</v>
      </c>
      <c r="D230" s="34">
        <v>147</v>
      </c>
      <c r="E230" s="34" t="s">
        <v>21</v>
      </c>
      <c r="F230" s="34">
        <v>31</v>
      </c>
      <c r="G230" s="34" t="s">
        <v>0</v>
      </c>
      <c r="H230" s="34">
        <v>0.80600000000000005</v>
      </c>
      <c r="I230" s="34">
        <v>8.06</v>
      </c>
      <c r="J230" s="41">
        <v>0.05</v>
      </c>
      <c r="K230" s="34">
        <v>1.27</v>
      </c>
      <c r="L230" s="34">
        <v>0.16500000000000001</v>
      </c>
      <c r="M230" s="40">
        <v>4.2</v>
      </c>
      <c r="N230" s="34">
        <v>8.5000000000000006E-2</v>
      </c>
      <c r="O230" s="34">
        <v>2.16</v>
      </c>
      <c r="P230" s="34">
        <v>1.2999999999999999E-2</v>
      </c>
      <c r="Q230" s="34">
        <v>1.3</v>
      </c>
      <c r="R230" s="34">
        <v>1.0500000000000001E-2</v>
      </c>
      <c r="S230" s="34">
        <v>10.5</v>
      </c>
      <c r="T230" s="34">
        <v>1.2699999999999999E-2</v>
      </c>
      <c r="U230" s="34">
        <f t="shared" si="2"/>
        <v>140</v>
      </c>
      <c r="V230" s="34">
        <f>VLOOKUP(U230,'Powder Core Toroid OD'!$A$2:$B$36,2,FALSE)</f>
        <v>3.56</v>
      </c>
    </row>
    <row r="231" spans="1:22" hidden="1">
      <c r="A231" s="42">
        <v>55140</v>
      </c>
      <c r="B231" s="34" t="s">
        <v>178</v>
      </c>
      <c r="C231" s="158">
        <v>140</v>
      </c>
      <c r="D231" s="34">
        <v>125</v>
      </c>
      <c r="E231" s="34" t="s">
        <v>21</v>
      </c>
      <c r="F231" s="34">
        <v>26</v>
      </c>
      <c r="G231" s="34" t="s">
        <v>0</v>
      </c>
      <c r="H231" s="34">
        <v>0.80600000000000005</v>
      </c>
      <c r="I231" s="34">
        <v>8.06</v>
      </c>
      <c r="J231" s="41">
        <v>0.05</v>
      </c>
      <c r="K231" s="34">
        <v>1.27</v>
      </c>
      <c r="L231" s="34">
        <v>0.16500000000000001</v>
      </c>
      <c r="M231" s="40">
        <v>4.2</v>
      </c>
      <c r="N231" s="34">
        <v>8.5000000000000006E-2</v>
      </c>
      <c r="O231" s="34">
        <v>2.16</v>
      </c>
      <c r="P231" s="34">
        <v>1.2999999999999999E-2</v>
      </c>
      <c r="Q231" s="34">
        <v>1.3</v>
      </c>
      <c r="R231" s="34">
        <v>1.0500000000000001E-2</v>
      </c>
      <c r="S231" s="34">
        <v>10.5</v>
      </c>
      <c r="T231" s="34">
        <v>1.2699999999999999E-2</v>
      </c>
      <c r="U231" s="34">
        <f t="shared" si="2"/>
        <v>140</v>
      </c>
      <c r="V231" s="34">
        <f>VLOOKUP(U231,'Powder Core Toroid OD'!$A$2:$B$36,2,FALSE)</f>
        <v>3.56</v>
      </c>
    </row>
    <row r="232" spans="1:22" hidden="1">
      <c r="A232" s="42">
        <v>55144</v>
      </c>
      <c r="B232" s="34" t="s">
        <v>177</v>
      </c>
      <c r="C232" s="158">
        <v>150</v>
      </c>
      <c r="D232" s="34">
        <v>173</v>
      </c>
      <c r="E232" s="34" t="s">
        <v>21</v>
      </c>
      <c r="F232" s="34">
        <v>48</v>
      </c>
      <c r="G232" s="34" t="s">
        <v>0</v>
      </c>
      <c r="H232" s="34">
        <v>0.94199999999999995</v>
      </c>
      <c r="I232" s="34">
        <v>9.42</v>
      </c>
      <c r="J232" s="34">
        <v>6.8000000000000005E-2</v>
      </c>
      <c r="K232" s="34">
        <v>1.72</v>
      </c>
      <c r="L232" s="34">
        <v>0.18</v>
      </c>
      <c r="M232" s="34">
        <v>4.58</v>
      </c>
      <c r="N232" s="34">
        <v>0.125</v>
      </c>
      <c r="O232" s="34">
        <v>3.18</v>
      </c>
      <c r="P232" s="34">
        <v>2.1100000000000001E-2</v>
      </c>
      <c r="Q232" s="34">
        <v>2.11</v>
      </c>
      <c r="R232" s="34">
        <v>1.9900000000000001E-2</v>
      </c>
      <c r="S232" s="34">
        <v>19.899999999999999</v>
      </c>
      <c r="T232" s="34">
        <v>2.3199999999999998E-2</v>
      </c>
      <c r="U232" s="34">
        <f t="shared" si="2"/>
        <v>150</v>
      </c>
      <c r="V232" s="34">
        <f>VLOOKUP(U232,'Powder Core Toroid OD'!$A$2:$B$36,2,FALSE)</f>
        <v>3.94</v>
      </c>
    </row>
    <row r="233" spans="1:22" hidden="1">
      <c r="A233" s="42">
        <v>55145</v>
      </c>
      <c r="B233" s="34" t="s">
        <v>176</v>
      </c>
      <c r="C233" s="158">
        <v>150</v>
      </c>
      <c r="D233" s="34">
        <v>300</v>
      </c>
      <c r="E233" s="34" t="s">
        <v>21</v>
      </c>
      <c r="F233" s="34">
        <v>84</v>
      </c>
      <c r="G233" s="34" t="s">
        <v>0</v>
      </c>
      <c r="H233" s="34">
        <v>0.94199999999999995</v>
      </c>
      <c r="I233" s="34">
        <v>9.42</v>
      </c>
      <c r="J233" s="34">
        <v>6.8000000000000005E-2</v>
      </c>
      <c r="K233" s="34">
        <v>1.72</v>
      </c>
      <c r="L233" s="34">
        <v>0.18</v>
      </c>
      <c r="M233" s="34">
        <v>4.58</v>
      </c>
      <c r="N233" s="34">
        <v>0.125</v>
      </c>
      <c r="O233" s="34">
        <v>3.18</v>
      </c>
      <c r="P233" s="34">
        <v>2.1100000000000001E-2</v>
      </c>
      <c r="Q233" s="34">
        <v>2.11</v>
      </c>
      <c r="R233" s="34">
        <v>1.9900000000000001E-2</v>
      </c>
      <c r="S233" s="34">
        <v>19.899999999999999</v>
      </c>
      <c r="T233" s="34">
        <v>2.3199999999999998E-2</v>
      </c>
      <c r="U233" s="34">
        <f t="shared" si="2"/>
        <v>150</v>
      </c>
      <c r="V233" s="34">
        <f>VLOOKUP(U233,'Powder Core Toroid OD'!$A$2:$B$36,2,FALSE)</f>
        <v>3.94</v>
      </c>
    </row>
    <row r="234" spans="1:22" hidden="1">
      <c r="A234" s="42">
        <v>55147</v>
      </c>
      <c r="B234" s="34" t="s">
        <v>863</v>
      </c>
      <c r="C234" s="158">
        <v>150</v>
      </c>
      <c r="D234" s="34">
        <v>200</v>
      </c>
      <c r="E234" s="34" t="s">
        <v>21</v>
      </c>
      <c r="F234" s="34">
        <v>56</v>
      </c>
      <c r="G234" s="34" t="s">
        <v>0</v>
      </c>
      <c r="H234" s="34">
        <v>0.94199999999999995</v>
      </c>
      <c r="I234" s="34">
        <v>9.42</v>
      </c>
      <c r="J234" s="34">
        <v>6.8000000000000005E-2</v>
      </c>
      <c r="K234" s="34">
        <v>1.72</v>
      </c>
      <c r="L234" s="34">
        <v>0.18</v>
      </c>
      <c r="M234" s="34">
        <v>4.58</v>
      </c>
      <c r="N234" s="34">
        <v>0.125</v>
      </c>
      <c r="O234" s="34">
        <v>3.18</v>
      </c>
      <c r="P234" s="34">
        <v>2.1100000000000001E-2</v>
      </c>
      <c r="Q234" s="34">
        <v>2.11</v>
      </c>
      <c r="R234" s="34">
        <v>1.9900000000000001E-2</v>
      </c>
      <c r="S234" s="34">
        <v>19.899999999999999</v>
      </c>
      <c r="T234" s="34">
        <v>2.3199999999999998E-2</v>
      </c>
      <c r="U234" s="34">
        <f t="shared" si="2"/>
        <v>150</v>
      </c>
      <c r="V234" s="34">
        <f>VLOOKUP(U234,'Powder Core Toroid OD'!$A$2:$B$36,2,FALSE)</f>
        <v>3.94</v>
      </c>
    </row>
    <row r="235" spans="1:22" hidden="1">
      <c r="A235" s="42">
        <v>55148</v>
      </c>
      <c r="B235" s="34" t="s">
        <v>175</v>
      </c>
      <c r="C235" s="158">
        <v>150</v>
      </c>
      <c r="D235" s="34">
        <v>160</v>
      </c>
      <c r="E235" s="34" t="s">
        <v>21</v>
      </c>
      <c r="F235" s="34">
        <v>45</v>
      </c>
      <c r="G235" s="34" t="s">
        <v>0</v>
      </c>
      <c r="H235" s="34">
        <v>0.94199999999999995</v>
      </c>
      <c r="I235" s="34">
        <v>9.42</v>
      </c>
      <c r="J235" s="34">
        <v>6.8000000000000005E-2</v>
      </c>
      <c r="K235" s="34">
        <v>1.72</v>
      </c>
      <c r="L235" s="34">
        <v>0.18</v>
      </c>
      <c r="M235" s="34">
        <v>4.58</v>
      </c>
      <c r="N235" s="34">
        <v>0.125</v>
      </c>
      <c r="O235" s="34">
        <v>3.18</v>
      </c>
      <c r="P235" s="34">
        <v>2.1100000000000001E-2</v>
      </c>
      <c r="Q235" s="34">
        <v>2.11</v>
      </c>
      <c r="R235" s="34">
        <v>1.9900000000000001E-2</v>
      </c>
      <c r="S235" s="34">
        <v>19.899999999999999</v>
      </c>
      <c r="T235" s="34">
        <v>2.3199999999999998E-2</v>
      </c>
      <c r="U235" s="34">
        <f t="shared" si="2"/>
        <v>150</v>
      </c>
      <c r="V235" s="34">
        <f>VLOOKUP(U235,'Powder Core Toroid OD'!$A$2:$B$36,2,FALSE)</f>
        <v>3.94</v>
      </c>
    </row>
    <row r="236" spans="1:22" hidden="1">
      <c r="A236" s="42">
        <v>55149</v>
      </c>
      <c r="B236" s="34" t="s">
        <v>174</v>
      </c>
      <c r="C236" s="158">
        <v>150</v>
      </c>
      <c r="D236" s="34">
        <v>147</v>
      </c>
      <c r="E236" s="34" t="s">
        <v>21</v>
      </c>
      <c r="F236" s="34">
        <v>41</v>
      </c>
      <c r="G236" s="34" t="s">
        <v>0</v>
      </c>
      <c r="H236" s="34">
        <v>0.94199999999999995</v>
      </c>
      <c r="I236" s="34">
        <v>9.42</v>
      </c>
      <c r="J236" s="34">
        <v>6.8000000000000005E-2</v>
      </c>
      <c r="K236" s="34">
        <v>1.72</v>
      </c>
      <c r="L236" s="34">
        <v>0.18</v>
      </c>
      <c r="M236" s="34">
        <v>4.58</v>
      </c>
      <c r="N236" s="34">
        <v>0.125</v>
      </c>
      <c r="O236" s="34">
        <v>3.18</v>
      </c>
      <c r="P236" s="34">
        <v>2.1100000000000001E-2</v>
      </c>
      <c r="Q236" s="34">
        <v>2.11</v>
      </c>
      <c r="R236" s="34">
        <v>1.9900000000000001E-2</v>
      </c>
      <c r="S236" s="34">
        <v>19.899999999999999</v>
      </c>
      <c r="T236" s="34">
        <v>2.3199999999999998E-2</v>
      </c>
      <c r="U236" s="34">
        <f t="shared" si="2"/>
        <v>150</v>
      </c>
      <c r="V236" s="34">
        <f>VLOOKUP(U236,'Powder Core Toroid OD'!$A$2:$B$36,2,FALSE)</f>
        <v>3.94</v>
      </c>
    </row>
    <row r="237" spans="1:22" hidden="1">
      <c r="A237" s="42">
        <v>55150</v>
      </c>
      <c r="B237" s="34" t="s">
        <v>173</v>
      </c>
      <c r="C237" s="158">
        <v>150</v>
      </c>
      <c r="D237" s="34">
        <v>125</v>
      </c>
      <c r="E237" s="34" t="s">
        <v>21</v>
      </c>
      <c r="F237" s="34">
        <v>35</v>
      </c>
      <c r="G237" s="34" t="s">
        <v>0</v>
      </c>
      <c r="H237" s="34">
        <v>0.94199999999999995</v>
      </c>
      <c r="I237" s="34">
        <v>9.42</v>
      </c>
      <c r="J237" s="34">
        <v>6.8000000000000005E-2</v>
      </c>
      <c r="K237" s="34">
        <v>1.72</v>
      </c>
      <c r="L237" s="34">
        <v>0.18</v>
      </c>
      <c r="M237" s="34">
        <v>4.58</v>
      </c>
      <c r="N237" s="34">
        <v>0.125</v>
      </c>
      <c r="O237" s="34">
        <v>3.18</v>
      </c>
      <c r="P237" s="34">
        <v>2.1100000000000001E-2</v>
      </c>
      <c r="Q237" s="34">
        <v>2.11</v>
      </c>
      <c r="R237" s="34">
        <v>1.9900000000000001E-2</v>
      </c>
      <c r="S237" s="34">
        <v>19.899999999999999</v>
      </c>
      <c r="T237" s="34">
        <v>2.3199999999999998E-2</v>
      </c>
      <c r="U237" s="34">
        <f t="shared" si="2"/>
        <v>150</v>
      </c>
      <c r="V237" s="34">
        <f>VLOOKUP(U237,'Powder Core Toroid OD'!$A$2:$B$36,2,FALSE)</f>
        <v>3.94</v>
      </c>
    </row>
    <row r="238" spans="1:22" hidden="1">
      <c r="A238" s="42">
        <v>55174</v>
      </c>
      <c r="B238" s="34" t="s">
        <v>172</v>
      </c>
      <c r="C238" s="158">
        <v>180</v>
      </c>
      <c r="D238" s="34">
        <v>173</v>
      </c>
      <c r="E238" s="34" t="s">
        <v>21</v>
      </c>
      <c r="F238" s="34">
        <v>57</v>
      </c>
      <c r="G238" s="34" t="s">
        <v>0</v>
      </c>
      <c r="H238" s="34">
        <v>1.06</v>
      </c>
      <c r="I238" s="34">
        <v>10.6</v>
      </c>
      <c r="J238" s="34">
        <v>7.2999999999999995E-2</v>
      </c>
      <c r="K238" s="34">
        <v>1.85</v>
      </c>
      <c r="L238" s="34">
        <v>0.20799999999999999</v>
      </c>
      <c r="M238" s="34">
        <v>5.29</v>
      </c>
      <c r="N238" s="34">
        <v>0.125</v>
      </c>
      <c r="O238" s="34">
        <v>3.18</v>
      </c>
      <c r="P238" s="34">
        <v>2.8500000000000001E-2</v>
      </c>
      <c r="Q238" s="34">
        <v>2.85</v>
      </c>
      <c r="R238" s="34">
        <v>3.0300000000000001E-2</v>
      </c>
      <c r="S238" s="34">
        <v>30.3</v>
      </c>
      <c r="T238" s="34">
        <v>2.69E-2</v>
      </c>
      <c r="U238" s="34">
        <f t="shared" si="2"/>
        <v>180</v>
      </c>
      <c r="V238" s="34">
        <f>VLOOKUP(U238,'Powder Core Toroid OD'!$A$2:$B$36,2,FALSE)</f>
        <v>4.6500000000000004</v>
      </c>
    </row>
    <row r="239" spans="1:22" hidden="1">
      <c r="A239" s="42">
        <v>55175</v>
      </c>
      <c r="B239" s="34" t="s">
        <v>171</v>
      </c>
      <c r="C239" s="158">
        <v>180</v>
      </c>
      <c r="D239" s="34">
        <v>300</v>
      </c>
      <c r="E239" s="34" t="s">
        <v>21</v>
      </c>
      <c r="F239" s="34">
        <v>99</v>
      </c>
      <c r="G239" s="34" t="s">
        <v>0</v>
      </c>
      <c r="H239" s="34">
        <v>1.06</v>
      </c>
      <c r="I239" s="34">
        <v>10.6</v>
      </c>
      <c r="J239" s="34">
        <v>7.2999999999999995E-2</v>
      </c>
      <c r="K239" s="34">
        <v>1.85</v>
      </c>
      <c r="L239" s="34">
        <v>0.20799999999999999</v>
      </c>
      <c r="M239" s="34">
        <v>5.29</v>
      </c>
      <c r="N239" s="34">
        <v>0.125</v>
      </c>
      <c r="O239" s="34">
        <v>3.18</v>
      </c>
      <c r="P239" s="34">
        <v>2.8500000000000001E-2</v>
      </c>
      <c r="Q239" s="34">
        <v>2.85</v>
      </c>
      <c r="R239" s="34">
        <v>3.0300000000000001E-2</v>
      </c>
      <c r="S239" s="34">
        <v>30.3</v>
      </c>
      <c r="T239" s="34">
        <v>2.69E-2</v>
      </c>
      <c r="U239" s="34">
        <f t="shared" si="2"/>
        <v>180</v>
      </c>
      <c r="V239" s="34">
        <f>VLOOKUP(U239,'Powder Core Toroid OD'!$A$2:$B$36,2,FALSE)</f>
        <v>4.6500000000000004</v>
      </c>
    </row>
    <row r="240" spans="1:22" hidden="1">
      <c r="A240" s="42">
        <v>55177</v>
      </c>
      <c r="B240" s="34" t="s">
        <v>170</v>
      </c>
      <c r="C240" s="158">
        <v>180</v>
      </c>
      <c r="D240" s="34">
        <v>200</v>
      </c>
      <c r="E240" s="34" t="s">
        <v>21</v>
      </c>
      <c r="F240" s="34">
        <v>67</v>
      </c>
      <c r="G240" s="34" t="s">
        <v>0</v>
      </c>
      <c r="H240" s="34">
        <v>1.06</v>
      </c>
      <c r="I240" s="34">
        <v>10.6</v>
      </c>
      <c r="J240" s="34">
        <v>7.2999999999999995E-2</v>
      </c>
      <c r="K240" s="34">
        <v>1.85</v>
      </c>
      <c r="L240" s="34">
        <v>0.20799999999999999</v>
      </c>
      <c r="M240" s="34">
        <v>5.29</v>
      </c>
      <c r="N240" s="34">
        <v>0.125</v>
      </c>
      <c r="O240" s="34">
        <v>3.18</v>
      </c>
      <c r="P240" s="34">
        <v>2.8500000000000001E-2</v>
      </c>
      <c r="Q240" s="34">
        <v>2.85</v>
      </c>
      <c r="R240" s="34">
        <v>3.0300000000000001E-2</v>
      </c>
      <c r="S240" s="34">
        <v>30.3</v>
      </c>
      <c r="T240" s="34">
        <v>2.69E-2</v>
      </c>
      <c r="U240" s="34">
        <f t="shared" si="2"/>
        <v>180</v>
      </c>
      <c r="V240" s="34">
        <f>VLOOKUP(U240,'Powder Core Toroid OD'!$A$2:$B$36,2,FALSE)</f>
        <v>4.6500000000000004</v>
      </c>
    </row>
    <row r="241" spans="1:22" hidden="1">
      <c r="A241" s="42">
        <v>55178</v>
      </c>
      <c r="B241" s="34" t="s">
        <v>169</v>
      </c>
      <c r="C241" s="158">
        <v>180</v>
      </c>
      <c r="D241" s="34">
        <v>160</v>
      </c>
      <c r="E241" s="34" t="s">
        <v>21</v>
      </c>
      <c r="F241" s="34">
        <v>53</v>
      </c>
      <c r="G241" s="34" t="s">
        <v>0</v>
      </c>
      <c r="H241" s="34">
        <v>1.06</v>
      </c>
      <c r="I241" s="34">
        <v>10.6</v>
      </c>
      <c r="J241" s="34">
        <v>7.2999999999999995E-2</v>
      </c>
      <c r="K241" s="34">
        <v>1.85</v>
      </c>
      <c r="L241" s="34">
        <v>0.20799999999999999</v>
      </c>
      <c r="M241" s="34">
        <v>5.29</v>
      </c>
      <c r="N241" s="34">
        <v>0.125</v>
      </c>
      <c r="O241" s="34">
        <v>3.18</v>
      </c>
      <c r="P241" s="34">
        <v>2.8500000000000001E-2</v>
      </c>
      <c r="Q241" s="34">
        <v>2.85</v>
      </c>
      <c r="R241" s="34">
        <v>3.0300000000000001E-2</v>
      </c>
      <c r="S241" s="34">
        <v>30.3</v>
      </c>
      <c r="T241" s="34">
        <v>2.69E-2</v>
      </c>
      <c r="U241" s="34">
        <f t="shared" si="2"/>
        <v>180</v>
      </c>
      <c r="V241" s="34">
        <f>VLOOKUP(U241,'Powder Core Toroid OD'!$A$2:$B$36,2,FALSE)</f>
        <v>4.6500000000000004</v>
      </c>
    </row>
    <row r="242" spans="1:22" hidden="1">
      <c r="A242" s="42">
        <v>55179</v>
      </c>
      <c r="B242" s="34" t="s">
        <v>168</v>
      </c>
      <c r="C242" s="158">
        <v>180</v>
      </c>
      <c r="D242" s="34">
        <v>147</v>
      </c>
      <c r="E242" s="34" t="s">
        <v>21</v>
      </c>
      <c r="F242" s="34">
        <v>49</v>
      </c>
      <c r="G242" s="34" t="s">
        <v>0</v>
      </c>
      <c r="H242" s="34">
        <v>1.06</v>
      </c>
      <c r="I242" s="34">
        <v>10.6</v>
      </c>
      <c r="J242" s="34">
        <v>7.2999999999999995E-2</v>
      </c>
      <c r="K242" s="34">
        <v>1.85</v>
      </c>
      <c r="L242" s="34">
        <v>0.20799999999999999</v>
      </c>
      <c r="M242" s="34">
        <v>5.29</v>
      </c>
      <c r="N242" s="34">
        <v>0.125</v>
      </c>
      <c r="O242" s="34">
        <v>3.18</v>
      </c>
      <c r="P242" s="34">
        <v>2.8500000000000001E-2</v>
      </c>
      <c r="Q242" s="34">
        <v>2.85</v>
      </c>
      <c r="R242" s="34">
        <v>3.0300000000000001E-2</v>
      </c>
      <c r="S242" s="34">
        <v>30.3</v>
      </c>
      <c r="T242" s="34">
        <v>2.69E-2</v>
      </c>
      <c r="U242" s="34">
        <f t="shared" si="2"/>
        <v>180</v>
      </c>
      <c r="V242" s="34">
        <f>VLOOKUP(U242,'Powder Core Toroid OD'!$A$2:$B$36,2,FALSE)</f>
        <v>4.6500000000000004</v>
      </c>
    </row>
    <row r="243" spans="1:22" hidden="1">
      <c r="A243" s="42">
        <v>55180</v>
      </c>
      <c r="B243" s="34" t="s">
        <v>167</v>
      </c>
      <c r="C243" s="158">
        <v>180</v>
      </c>
      <c r="D243" s="34">
        <v>125</v>
      </c>
      <c r="E243" s="34" t="s">
        <v>21</v>
      </c>
      <c r="F243" s="34">
        <v>42</v>
      </c>
      <c r="G243" s="34" t="s">
        <v>0</v>
      </c>
      <c r="H243" s="34">
        <v>1.06</v>
      </c>
      <c r="I243" s="34">
        <v>10.6</v>
      </c>
      <c r="J243" s="34">
        <v>7.2999999999999995E-2</v>
      </c>
      <c r="K243" s="34">
        <v>1.85</v>
      </c>
      <c r="L243" s="34">
        <v>0.20799999999999999</v>
      </c>
      <c r="M243" s="34">
        <v>5.29</v>
      </c>
      <c r="N243" s="34">
        <v>0.125</v>
      </c>
      <c r="O243" s="34">
        <v>3.18</v>
      </c>
      <c r="P243" s="34">
        <v>2.8500000000000001E-2</v>
      </c>
      <c r="Q243" s="34">
        <v>2.85</v>
      </c>
      <c r="R243" s="34">
        <v>3.0300000000000001E-2</v>
      </c>
      <c r="S243" s="34">
        <v>30.3</v>
      </c>
      <c r="T243" s="34">
        <v>2.69E-2</v>
      </c>
      <c r="U243" s="34">
        <f t="shared" si="2"/>
        <v>180</v>
      </c>
      <c r="V243" s="34">
        <f>VLOOKUP(U243,'Powder Core Toroid OD'!$A$2:$B$36,2,FALSE)</f>
        <v>4.6500000000000004</v>
      </c>
    </row>
    <row r="244" spans="1:22" hidden="1">
      <c r="A244" s="42">
        <v>55181</v>
      </c>
      <c r="B244" s="34" t="s">
        <v>864</v>
      </c>
      <c r="C244" s="158">
        <v>180</v>
      </c>
      <c r="D244" s="34">
        <v>60</v>
      </c>
      <c r="E244" s="34" t="s">
        <v>21</v>
      </c>
      <c r="F244" s="34">
        <v>20</v>
      </c>
      <c r="G244" s="34" t="s">
        <v>0</v>
      </c>
      <c r="H244" s="34">
        <v>1.06</v>
      </c>
      <c r="I244" s="34">
        <v>10.6</v>
      </c>
      <c r="J244" s="34">
        <v>7.2999999999999995E-2</v>
      </c>
      <c r="K244" s="34">
        <v>1.85</v>
      </c>
      <c r="L244" s="34">
        <v>0.20799999999999999</v>
      </c>
      <c r="M244" s="34">
        <v>5.29</v>
      </c>
      <c r="N244" s="34">
        <v>0.125</v>
      </c>
      <c r="O244" s="34">
        <v>3.18</v>
      </c>
      <c r="P244" s="34">
        <v>2.8500000000000001E-2</v>
      </c>
      <c r="Q244" s="34">
        <v>2.85</v>
      </c>
      <c r="R244" s="34">
        <v>3.0300000000000001E-2</v>
      </c>
      <c r="S244" s="34">
        <v>30.3</v>
      </c>
      <c r="T244" s="34">
        <v>2.69E-2</v>
      </c>
      <c r="U244" s="34">
        <f t="shared" si="2"/>
        <v>180</v>
      </c>
      <c r="V244" s="34">
        <f>VLOOKUP(U244,'Powder Core Toroid OD'!$A$2:$B$36,2,FALSE)</f>
        <v>4.6500000000000004</v>
      </c>
    </row>
    <row r="245" spans="1:22" hidden="1">
      <c r="A245" s="42">
        <v>55190</v>
      </c>
      <c r="B245" s="34" t="s">
        <v>279</v>
      </c>
      <c r="C245" s="158">
        <v>195</v>
      </c>
      <c r="D245" s="34">
        <v>14</v>
      </c>
      <c r="E245" s="34" t="s">
        <v>21</v>
      </c>
      <c r="F245" s="34">
        <v>32</v>
      </c>
      <c r="G245" s="34" t="s">
        <v>0</v>
      </c>
      <c r="H245" s="34">
        <v>12.5</v>
      </c>
      <c r="I245" s="34">
        <v>125</v>
      </c>
      <c r="J245" s="34">
        <v>1.0069999999999999</v>
      </c>
      <c r="K245" s="34">
        <v>25.57</v>
      </c>
      <c r="L245" s="34">
        <v>2.2850000000000001</v>
      </c>
      <c r="M245" s="34">
        <v>58.04</v>
      </c>
      <c r="N245" s="34">
        <v>0.63500000000000001</v>
      </c>
      <c r="O245" s="34">
        <v>16.2</v>
      </c>
      <c r="P245" s="34">
        <v>2.29</v>
      </c>
      <c r="Q245" s="34">
        <v>229</v>
      </c>
      <c r="R245" s="34">
        <v>28.6</v>
      </c>
      <c r="S245" s="34">
        <v>28600</v>
      </c>
      <c r="T245" s="34">
        <v>5.14</v>
      </c>
      <c r="U245" s="34">
        <f t="shared" si="2"/>
        <v>195</v>
      </c>
      <c r="V245" s="34">
        <f>VLOOKUP(U245,'Powder Core Toroid OD'!$A$2:$B$36,2,FALSE)</f>
        <v>57.2</v>
      </c>
    </row>
    <row r="246" spans="1:22" hidden="1">
      <c r="A246" s="42">
        <v>55191</v>
      </c>
      <c r="B246" s="34" t="s">
        <v>278</v>
      </c>
      <c r="C246" s="158">
        <v>195</v>
      </c>
      <c r="D246" s="34">
        <v>26</v>
      </c>
      <c r="E246" s="34" t="s">
        <v>21</v>
      </c>
      <c r="F246" s="34">
        <v>60</v>
      </c>
      <c r="G246" s="34" t="s">
        <v>0</v>
      </c>
      <c r="H246" s="34">
        <v>12.5</v>
      </c>
      <c r="I246" s="34">
        <v>125</v>
      </c>
      <c r="J246" s="34">
        <v>1.0069999999999999</v>
      </c>
      <c r="K246" s="34">
        <v>25.57</v>
      </c>
      <c r="L246" s="34">
        <v>2.2850000000000001</v>
      </c>
      <c r="M246" s="34">
        <v>58.04</v>
      </c>
      <c r="N246" s="34">
        <v>0.63500000000000001</v>
      </c>
      <c r="O246" s="34">
        <v>16.2</v>
      </c>
      <c r="P246" s="34">
        <v>2.29</v>
      </c>
      <c r="Q246" s="34">
        <v>229</v>
      </c>
      <c r="R246" s="34">
        <v>28.6</v>
      </c>
      <c r="S246" s="34">
        <v>28600</v>
      </c>
      <c r="T246" s="34">
        <v>5.14</v>
      </c>
      <c r="U246" s="34">
        <f t="shared" si="2"/>
        <v>195</v>
      </c>
      <c r="V246" s="34">
        <f>VLOOKUP(U246,'Powder Core Toroid OD'!$A$2:$B$36,2,FALSE)</f>
        <v>57.2</v>
      </c>
    </row>
    <row r="247" spans="1:22" hidden="1">
      <c r="A247" s="42">
        <v>55192</v>
      </c>
      <c r="B247" s="34" t="s">
        <v>166</v>
      </c>
      <c r="C247" s="158">
        <v>195</v>
      </c>
      <c r="D247" s="34">
        <v>60</v>
      </c>
      <c r="E247" s="34" t="s">
        <v>21</v>
      </c>
      <c r="F247" s="34">
        <v>138</v>
      </c>
      <c r="G247" s="34" t="s">
        <v>0</v>
      </c>
      <c r="H247" s="34">
        <v>12.5</v>
      </c>
      <c r="I247" s="34">
        <v>125</v>
      </c>
      <c r="J247" s="34">
        <v>1.0069999999999999</v>
      </c>
      <c r="K247" s="34">
        <v>25.57</v>
      </c>
      <c r="L247" s="34">
        <v>2.2850000000000001</v>
      </c>
      <c r="M247" s="34">
        <v>58.04</v>
      </c>
      <c r="N247" s="34">
        <v>0.63500000000000001</v>
      </c>
      <c r="O247" s="34">
        <v>16.2</v>
      </c>
      <c r="P247" s="34">
        <v>2.29</v>
      </c>
      <c r="Q247" s="34">
        <v>229</v>
      </c>
      <c r="R247" s="34">
        <v>28.6</v>
      </c>
      <c r="S247" s="34">
        <v>28600</v>
      </c>
      <c r="T247" s="34">
        <v>5.14</v>
      </c>
      <c r="U247" s="34">
        <f t="shared" si="2"/>
        <v>195</v>
      </c>
      <c r="V247" s="34">
        <f>VLOOKUP(U247,'Powder Core Toroid OD'!$A$2:$B$36,2,FALSE)</f>
        <v>57.2</v>
      </c>
    </row>
    <row r="248" spans="1:22" hidden="1">
      <c r="A248" s="42">
        <v>55200</v>
      </c>
      <c r="B248" s="34" t="s">
        <v>165</v>
      </c>
      <c r="C248" s="158">
        <v>206</v>
      </c>
      <c r="D248" s="34">
        <v>173</v>
      </c>
      <c r="E248" s="34" t="s">
        <v>21</v>
      </c>
      <c r="F248" s="34">
        <v>96</v>
      </c>
      <c r="G248" s="34" t="s">
        <v>0</v>
      </c>
      <c r="H248" s="34">
        <v>5.09</v>
      </c>
      <c r="I248" s="34">
        <v>50.9</v>
      </c>
      <c r="J248" s="34">
        <v>0.47500000000000003</v>
      </c>
      <c r="K248" s="35">
        <v>12</v>
      </c>
      <c r="L248" s="41">
        <v>0.83</v>
      </c>
      <c r="M248" s="34">
        <v>21.1</v>
      </c>
      <c r="N248" s="41">
        <v>0.28000000000000003</v>
      </c>
      <c r="O248" s="34">
        <v>7.12</v>
      </c>
      <c r="P248" s="34">
        <v>0.221</v>
      </c>
      <c r="Q248" s="34">
        <v>22.1</v>
      </c>
      <c r="R248" s="40">
        <v>1.1200000000000001</v>
      </c>
      <c r="S248" s="34">
        <v>1120</v>
      </c>
      <c r="T248" s="34">
        <v>1.1399999999999999</v>
      </c>
      <c r="U248" s="34">
        <f t="shared" si="2"/>
        <v>206</v>
      </c>
      <c r="V248" s="34">
        <f>VLOOKUP(U248,'Powder Core Toroid OD'!$A$2:$B$36,2,FALSE)</f>
        <v>20.3</v>
      </c>
    </row>
    <row r="249" spans="1:22" hidden="1">
      <c r="A249" s="42">
        <v>55201</v>
      </c>
      <c r="B249" s="34" t="s">
        <v>164</v>
      </c>
      <c r="C249" s="158">
        <v>206</v>
      </c>
      <c r="D249" s="34">
        <v>300</v>
      </c>
      <c r="E249" s="34" t="s">
        <v>21</v>
      </c>
      <c r="F249" s="34">
        <v>163</v>
      </c>
      <c r="G249" s="34" t="s">
        <v>0</v>
      </c>
      <c r="H249" s="34">
        <v>5.09</v>
      </c>
      <c r="I249" s="34">
        <v>50.9</v>
      </c>
      <c r="J249" s="34">
        <v>0.47500000000000003</v>
      </c>
      <c r="K249" s="35">
        <v>12</v>
      </c>
      <c r="L249" s="41">
        <v>0.83</v>
      </c>
      <c r="M249" s="34">
        <v>21.1</v>
      </c>
      <c r="N249" s="41">
        <v>0.28000000000000003</v>
      </c>
      <c r="O249" s="34">
        <v>7.12</v>
      </c>
      <c r="P249" s="34">
        <v>0.221</v>
      </c>
      <c r="Q249" s="34">
        <v>22.1</v>
      </c>
      <c r="R249" s="40">
        <v>1.1200000000000001</v>
      </c>
      <c r="S249" s="34">
        <v>1120</v>
      </c>
      <c r="T249" s="34">
        <v>1.1399999999999999</v>
      </c>
      <c r="U249" s="34">
        <f t="shared" si="2"/>
        <v>206</v>
      </c>
      <c r="V249" s="34">
        <f>VLOOKUP(U249,'Powder Core Toroid OD'!$A$2:$B$36,2,FALSE)</f>
        <v>20.3</v>
      </c>
    </row>
    <row r="250" spans="1:22" hidden="1">
      <c r="A250" s="42">
        <v>55202</v>
      </c>
      <c r="B250" s="34" t="s">
        <v>163</v>
      </c>
      <c r="C250" s="158">
        <v>206</v>
      </c>
      <c r="D250" s="34">
        <v>550</v>
      </c>
      <c r="E250" s="34" t="s">
        <v>21</v>
      </c>
      <c r="F250" s="34">
        <v>320</v>
      </c>
      <c r="G250" s="34" t="s">
        <v>0</v>
      </c>
      <c r="H250" s="34">
        <v>5.09</v>
      </c>
      <c r="I250" s="34">
        <v>50.9</v>
      </c>
      <c r="J250" s="34">
        <v>0.47500000000000003</v>
      </c>
      <c r="K250" s="35">
        <v>12</v>
      </c>
      <c r="L250" s="41">
        <v>0.83</v>
      </c>
      <c r="M250" s="34">
        <v>21.1</v>
      </c>
      <c r="N250" s="41">
        <v>0.28000000000000003</v>
      </c>
      <c r="O250" s="34">
        <v>7.12</v>
      </c>
      <c r="P250" s="34">
        <v>0.221</v>
      </c>
      <c r="Q250" s="34">
        <v>22.1</v>
      </c>
      <c r="R250" s="40">
        <v>1.1200000000000001</v>
      </c>
      <c r="S250" s="34">
        <v>1120</v>
      </c>
      <c r="T250" s="34">
        <v>1.1399999999999999</v>
      </c>
      <c r="U250" s="34">
        <f t="shared" si="2"/>
        <v>206</v>
      </c>
      <c r="V250" s="34">
        <f>VLOOKUP(U250,'Powder Core Toroid OD'!$A$2:$B$36,2,FALSE)</f>
        <v>20.3</v>
      </c>
    </row>
    <row r="251" spans="1:22" hidden="1">
      <c r="A251" s="42">
        <v>55203</v>
      </c>
      <c r="B251" s="34" t="s">
        <v>162</v>
      </c>
      <c r="C251" s="158">
        <v>206</v>
      </c>
      <c r="D251" s="34">
        <v>200</v>
      </c>
      <c r="E251" s="34" t="s">
        <v>21</v>
      </c>
      <c r="F251" s="34">
        <v>109</v>
      </c>
      <c r="G251" s="34" t="s">
        <v>0</v>
      </c>
      <c r="H251" s="34">
        <v>5.09</v>
      </c>
      <c r="I251" s="34">
        <v>50.9</v>
      </c>
      <c r="J251" s="34">
        <v>0.47500000000000003</v>
      </c>
      <c r="K251" s="35">
        <v>12</v>
      </c>
      <c r="L251" s="41">
        <v>0.83</v>
      </c>
      <c r="M251" s="34">
        <v>21.1</v>
      </c>
      <c r="N251" s="41">
        <v>0.28000000000000003</v>
      </c>
      <c r="O251" s="34">
        <v>7.12</v>
      </c>
      <c r="P251" s="34">
        <v>0.221</v>
      </c>
      <c r="Q251" s="34">
        <v>22.1</v>
      </c>
      <c r="R251" s="40">
        <v>1.1200000000000001</v>
      </c>
      <c r="S251" s="34">
        <v>1120</v>
      </c>
      <c r="T251" s="34">
        <v>1.1399999999999999</v>
      </c>
      <c r="U251" s="34">
        <f t="shared" si="2"/>
        <v>206</v>
      </c>
      <c r="V251" s="34">
        <f>VLOOKUP(U251,'Powder Core Toroid OD'!$A$2:$B$36,2,FALSE)</f>
        <v>20.3</v>
      </c>
    </row>
    <row r="252" spans="1:22" hidden="1">
      <c r="A252" s="42">
        <v>55204</v>
      </c>
      <c r="B252" s="34" t="s">
        <v>161</v>
      </c>
      <c r="C252" s="158">
        <v>206</v>
      </c>
      <c r="D252" s="34">
        <v>160</v>
      </c>
      <c r="E252" s="34" t="s">
        <v>21</v>
      </c>
      <c r="F252" s="34">
        <v>87</v>
      </c>
      <c r="G252" s="34" t="s">
        <v>0</v>
      </c>
      <c r="H252" s="34">
        <v>5.09</v>
      </c>
      <c r="I252" s="34">
        <v>50.9</v>
      </c>
      <c r="J252" s="34">
        <v>0.47500000000000003</v>
      </c>
      <c r="K252" s="35">
        <v>12</v>
      </c>
      <c r="L252" s="41">
        <v>0.83</v>
      </c>
      <c r="M252" s="34">
        <v>21.1</v>
      </c>
      <c r="N252" s="41">
        <v>0.28000000000000003</v>
      </c>
      <c r="O252" s="34">
        <v>7.12</v>
      </c>
      <c r="P252" s="34">
        <v>0.221</v>
      </c>
      <c r="Q252" s="34">
        <v>22.1</v>
      </c>
      <c r="R252" s="40">
        <v>1.1200000000000001</v>
      </c>
      <c r="S252" s="34">
        <v>1120</v>
      </c>
      <c r="T252" s="34">
        <v>1.1399999999999999</v>
      </c>
      <c r="U252" s="34">
        <f t="shared" si="2"/>
        <v>206</v>
      </c>
      <c r="V252" s="34">
        <f>VLOOKUP(U252,'Powder Core Toroid OD'!$A$2:$B$36,2,FALSE)</f>
        <v>20.3</v>
      </c>
    </row>
    <row r="253" spans="1:22" hidden="1">
      <c r="A253" s="42">
        <v>55205</v>
      </c>
      <c r="B253" s="34" t="s">
        <v>160</v>
      </c>
      <c r="C253" s="158">
        <v>206</v>
      </c>
      <c r="D253" s="34">
        <v>147</v>
      </c>
      <c r="E253" s="34" t="s">
        <v>21</v>
      </c>
      <c r="F253" s="34">
        <v>81</v>
      </c>
      <c r="G253" s="34" t="s">
        <v>0</v>
      </c>
      <c r="H253" s="34">
        <v>5.09</v>
      </c>
      <c r="I253" s="34">
        <v>50.9</v>
      </c>
      <c r="J253" s="34">
        <v>0.47500000000000003</v>
      </c>
      <c r="K253" s="35">
        <v>12</v>
      </c>
      <c r="L253" s="41">
        <v>0.83</v>
      </c>
      <c r="M253" s="34">
        <v>21.1</v>
      </c>
      <c r="N253" s="41">
        <v>0.28000000000000003</v>
      </c>
      <c r="O253" s="34">
        <v>7.12</v>
      </c>
      <c r="P253" s="34">
        <v>0.221</v>
      </c>
      <c r="Q253" s="34">
        <v>22.1</v>
      </c>
      <c r="R253" s="40">
        <v>1.1200000000000001</v>
      </c>
      <c r="S253" s="34">
        <v>1120</v>
      </c>
      <c r="T253" s="34">
        <v>1.1399999999999999</v>
      </c>
      <c r="U253" s="34">
        <f t="shared" si="2"/>
        <v>206</v>
      </c>
      <c r="V253" s="34">
        <f>VLOOKUP(U253,'Powder Core Toroid OD'!$A$2:$B$36,2,FALSE)</f>
        <v>20.3</v>
      </c>
    </row>
    <row r="254" spans="1:22" hidden="1">
      <c r="A254" s="42">
        <v>55206</v>
      </c>
      <c r="B254" s="34" t="s">
        <v>159</v>
      </c>
      <c r="C254" s="158">
        <v>206</v>
      </c>
      <c r="D254" s="34">
        <v>125</v>
      </c>
      <c r="E254" s="34" t="s">
        <v>21</v>
      </c>
      <c r="F254" s="34">
        <v>68</v>
      </c>
      <c r="G254" s="34" t="s">
        <v>0</v>
      </c>
      <c r="H254" s="34">
        <v>5.09</v>
      </c>
      <c r="I254" s="34">
        <v>50.9</v>
      </c>
      <c r="J254" s="34">
        <v>0.47500000000000003</v>
      </c>
      <c r="K254" s="35">
        <v>12</v>
      </c>
      <c r="L254" s="41">
        <v>0.83</v>
      </c>
      <c r="M254" s="34">
        <v>21.1</v>
      </c>
      <c r="N254" s="41">
        <v>0.28000000000000003</v>
      </c>
      <c r="O254" s="34">
        <v>7.12</v>
      </c>
      <c r="P254" s="34">
        <v>0.221</v>
      </c>
      <c r="Q254" s="34">
        <v>22.1</v>
      </c>
      <c r="R254" s="40">
        <v>1.1200000000000001</v>
      </c>
      <c r="S254" s="34">
        <v>1120</v>
      </c>
      <c r="T254" s="34">
        <v>1.1399999999999999</v>
      </c>
      <c r="U254" s="34">
        <f t="shared" si="2"/>
        <v>206</v>
      </c>
      <c r="V254" s="34">
        <f>VLOOKUP(U254,'Powder Core Toroid OD'!$A$2:$B$36,2,FALSE)</f>
        <v>20.3</v>
      </c>
    </row>
    <row r="255" spans="1:22" hidden="1">
      <c r="A255" s="42">
        <v>55208</v>
      </c>
      <c r="B255" s="34" t="s">
        <v>277</v>
      </c>
      <c r="C255" s="158">
        <v>206</v>
      </c>
      <c r="D255" s="34">
        <v>26</v>
      </c>
      <c r="E255" s="34" t="s">
        <v>21</v>
      </c>
      <c r="F255" s="34">
        <v>14</v>
      </c>
      <c r="G255" s="34" t="s">
        <v>0</v>
      </c>
      <c r="H255" s="34">
        <v>5.09</v>
      </c>
      <c r="I255" s="34">
        <v>50.9</v>
      </c>
      <c r="J255" s="34">
        <v>0.47500000000000003</v>
      </c>
      <c r="K255" s="35">
        <v>12</v>
      </c>
      <c r="L255" s="41">
        <v>0.83</v>
      </c>
      <c r="M255" s="34">
        <v>21.1</v>
      </c>
      <c r="N255" s="41">
        <v>0.28000000000000003</v>
      </c>
      <c r="O255" s="34">
        <v>7.12</v>
      </c>
      <c r="P255" s="34">
        <v>0.221</v>
      </c>
      <c r="Q255" s="34">
        <v>22.1</v>
      </c>
      <c r="R255" s="40">
        <v>1.1200000000000001</v>
      </c>
      <c r="S255" s="34">
        <v>1120</v>
      </c>
      <c r="T255" s="34">
        <v>1.1399999999999999</v>
      </c>
      <c r="U255" s="34">
        <f t="shared" si="2"/>
        <v>206</v>
      </c>
      <c r="V255" s="34">
        <f>VLOOKUP(U255,'Powder Core Toroid OD'!$A$2:$B$36,2,FALSE)</f>
        <v>20.3</v>
      </c>
    </row>
    <row r="256" spans="1:22" hidden="1">
      <c r="A256" s="42">
        <v>55209</v>
      </c>
      <c r="B256" s="34" t="s">
        <v>276</v>
      </c>
      <c r="C256" s="158">
        <v>206</v>
      </c>
      <c r="D256" s="34">
        <v>14</v>
      </c>
      <c r="E256" s="34" t="s">
        <v>21</v>
      </c>
      <c r="F256" s="34">
        <v>7.8</v>
      </c>
      <c r="G256" s="34" t="s">
        <v>0</v>
      </c>
      <c r="H256" s="34">
        <v>5.09</v>
      </c>
      <c r="I256" s="34">
        <v>50.9</v>
      </c>
      <c r="J256" s="34">
        <v>0.47500000000000003</v>
      </c>
      <c r="K256" s="35">
        <v>12</v>
      </c>
      <c r="L256" s="41">
        <v>0.83</v>
      </c>
      <c r="M256" s="34">
        <v>21.1</v>
      </c>
      <c r="N256" s="41">
        <v>0.28000000000000003</v>
      </c>
      <c r="O256" s="34">
        <v>7.12</v>
      </c>
      <c r="P256" s="34">
        <v>0.221</v>
      </c>
      <c r="Q256" s="34">
        <v>22.1</v>
      </c>
      <c r="R256" s="40">
        <v>1.1200000000000001</v>
      </c>
      <c r="S256" s="34">
        <v>1120</v>
      </c>
      <c r="T256" s="34">
        <v>1.1399999999999999</v>
      </c>
      <c r="U256" s="34">
        <f t="shared" si="2"/>
        <v>206</v>
      </c>
      <c r="V256" s="34">
        <f>VLOOKUP(U256,'Powder Core Toroid OD'!$A$2:$B$36,2,FALSE)</f>
        <v>20.3</v>
      </c>
    </row>
    <row r="257" spans="1:22" hidden="1">
      <c r="A257" s="42">
        <v>55234</v>
      </c>
      <c r="B257" s="34" t="s">
        <v>158</v>
      </c>
      <c r="C257" s="158">
        <v>240</v>
      </c>
      <c r="D257" s="34">
        <v>173</v>
      </c>
      <c r="E257" s="34" t="s">
        <v>21</v>
      </c>
      <c r="F257" s="34">
        <v>75</v>
      </c>
      <c r="G257" s="34" t="s">
        <v>0</v>
      </c>
      <c r="H257" s="34">
        <v>1.36</v>
      </c>
      <c r="I257" s="34">
        <v>13.6</v>
      </c>
      <c r="J257" s="34">
        <v>8.5000000000000006E-2</v>
      </c>
      <c r="K257" s="34">
        <v>2.15</v>
      </c>
      <c r="L257" s="34">
        <v>0.28499999999999998</v>
      </c>
      <c r="M257" s="34">
        <v>7.24</v>
      </c>
      <c r="N257" s="34">
        <v>0.125</v>
      </c>
      <c r="O257" s="34">
        <v>3.18</v>
      </c>
      <c r="P257" s="34">
        <v>4.7600000000000003E-2</v>
      </c>
      <c r="Q257" s="34">
        <v>4.7600000000000007</v>
      </c>
      <c r="R257" s="34">
        <v>6.4899999999999999E-2</v>
      </c>
      <c r="S257" s="34">
        <v>64.900000000000006</v>
      </c>
      <c r="T257" s="34">
        <v>3.6299999999999999E-2</v>
      </c>
      <c r="U257" s="34">
        <f t="shared" si="2"/>
        <v>240</v>
      </c>
      <c r="V257" s="34">
        <f>VLOOKUP(U257,'Powder Core Toroid OD'!$A$2:$B$36,2,FALSE)</f>
        <v>6.6</v>
      </c>
    </row>
    <row r="258" spans="1:22" hidden="1">
      <c r="A258" s="42">
        <v>55235</v>
      </c>
      <c r="B258" s="34" t="s">
        <v>157</v>
      </c>
      <c r="C258" s="158">
        <v>240</v>
      </c>
      <c r="D258" s="34">
        <v>300</v>
      </c>
      <c r="E258" s="34" t="s">
        <v>21</v>
      </c>
      <c r="F258" s="34">
        <v>130</v>
      </c>
      <c r="G258" s="34" t="s">
        <v>0</v>
      </c>
      <c r="H258" s="34">
        <v>1.36</v>
      </c>
      <c r="I258" s="34">
        <v>13.6</v>
      </c>
      <c r="J258" s="34">
        <v>8.5000000000000006E-2</v>
      </c>
      <c r="K258" s="34">
        <v>2.15</v>
      </c>
      <c r="L258" s="34">
        <v>0.28499999999999998</v>
      </c>
      <c r="M258" s="34">
        <v>7.24</v>
      </c>
      <c r="N258" s="34">
        <v>0.125</v>
      </c>
      <c r="O258" s="34">
        <v>3.18</v>
      </c>
      <c r="P258" s="34">
        <v>4.7600000000000003E-2</v>
      </c>
      <c r="Q258" s="34">
        <v>4.7600000000000007</v>
      </c>
      <c r="R258" s="34">
        <v>6.4899999999999999E-2</v>
      </c>
      <c r="S258" s="34">
        <v>64.900000000000006</v>
      </c>
      <c r="T258" s="34">
        <v>3.6299999999999999E-2</v>
      </c>
      <c r="U258" s="34">
        <f t="shared" si="2"/>
        <v>240</v>
      </c>
      <c r="V258" s="34">
        <f>VLOOKUP(U258,'Powder Core Toroid OD'!$A$2:$B$36,2,FALSE)</f>
        <v>6.6</v>
      </c>
    </row>
    <row r="259" spans="1:22" hidden="1">
      <c r="A259" s="42">
        <v>55236</v>
      </c>
      <c r="B259" s="34" t="s">
        <v>156</v>
      </c>
      <c r="C259" s="158">
        <v>240</v>
      </c>
      <c r="D259" s="34">
        <v>550</v>
      </c>
      <c r="E259" s="34" t="s">
        <v>21</v>
      </c>
      <c r="F259" s="34">
        <v>242</v>
      </c>
      <c r="G259" s="34" t="s">
        <v>0</v>
      </c>
      <c r="H259" s="34">
        <v>1.36</v>
      </c>
      <c r="I259" s="34">
        <v>13.6</v>
      </c>
      <c r="J259" s="34">
        <v>8.5000000000000006E-2</v>
      </c>
      <c r="K259" s="34">
        <v>2.15</v>
      </c>
      <c r="L259" s="34">
        <v>0.28499999999999998</v>
      </c>
      <c r="M259" s="34">
        <v>7.24</v>
      </c>
      <c r="N259" s="34">
        <v>0.125</v>
      </c>
      <c r="O259" s="34">
        <v>3.18</v>
      </c>
      <c r="P259" s="34">
        <v>4.7600000000000003E-2</v>
      </c>
      <c r="Q259" s="34">
        <v>4.7600000000000007</v>
      </c>
      <c r="R259" s="34">
        <v>6.4899999999999999E-2</v>
      </c>
      <c r="S259" s="34">
        <v>64.900000000000006</v>
      </c>
      <c r="T259" s="34">
        <v>3.6299999999999999E-2</v>
      </c>
      <c r="U259" s="34">
        <f t="shared" si="2"/>
        <v>240</v>
      </c>
      <c r="V259" s="34">
        <f>VLOOKUP(U259,'Powder Core Toroid OD'!$A$2:$B$36,2,FALSE)</f>
        <v>6.6</v>
      </c>
    </row>
    <row r="260" spans="1:22" hidden="1">
      <c r="A260" s="42">
        <v>55237</v>
      </c>
      <c r="B260" s="34" t="s">
        <v>155</v>
      </c>
      <c r="C260" s="158">
        <v>240</v>
      </c>
      <c r="D260" s="34">
        <v>200</v>
      </c>
      <c r="E260" s="34" t="s">
        <v>21</v>
      </c>
      <c r="F260" s="34">
        <v>86</v>
      </c>
      <c r="G260" s="34" t="s">
        <v>0</v>
      </c>
      <c r="H260" s="34">
        <v>1.36</v>
      </c>
      <c r="I260" s="34">
        <v>13.6</v>
      </c>
      <c r="J260" s="34">
        <v>8.5000000000000006E-2</v>
      </c>
      <c r="K260" s="34">
        <v>2.15</v>
      </c>
      <c r="L260" s="34">
        <v>0.28499999999999998</v>
      </c>
      <c r="M260" s="34">
        <v>7.24</v>
      </c>
      <c r="N260" s="34">
        <v>0.125</v>
      </c>
      <c r="O260" s="34">
        <v>3.18</v>
      </c>
      <c r="P260" s="34">
        <v>4.7600000000000003E-2</v>
      </c>
      <c r="Q260" s="34">
        <v>4.7600000000000007</v>
      </c>
      <c r="R260" s="34">
        <v>6.4899999999999999E-2</v>
      </c>
      <c r="S260" s="34">
        <v>64.900000000000006</v>
      </c>
      <c r="T260" s="34">
        <v>3.6299999999999999E-2</v>
      </c>
      <c r="U260" s="34">
        <f t="shared" si="2"/>
        <v>240</v>
      </c>
      <c r="V260" s="34">
        <f>VLOOKUP(U260,'Powder Core Toroid OD'!$A$2:$B$36,2,FALSE)</f>
        <v>6.6</v>
      </c>
    </row>
    <row r="261" spans="1:22" hidden="1">
      <c r="A261" s="42">
        <v>55238</v>
      </c>
      <c r="B261" s="34" t="s">
        <v>154</v>
      </c>
      <c r="C261" s="158">
        <v>240</v>
      </c>
      <c r="D261" s="34">
        <v>160</v>
      </c>
      <c r="E261" s="34" t="s">
        <v>21</v>
      </c>
      <c r="F261" s="34">
        <v>69</v>
      </c>
      <c r="G261" s="34" t="s">
        <v>0</v>
      </c>
      <c r="H261" s="34">
        <v>1.36</v>
      </c>
      <c r="I261" s="34">
        <v>13.6</v>
      </c>
      <c r="J261" s="34">
        <v>8.5000000000000006E-2</v>
      </c>
      <c r="K261" s="34">
        <v>2.15</v>
      </c>
      <c r="L261" s="34">
        <v>0.28499999999999998</v>
      </c>
      <c r="M261" s="34">
        <v>7.24</v>
      </c>
      <c r="N261" s="34">
        <v>0.125</v>
      </c>
      <c r="O261" s="34">
        <v>3.18</v>
      </c>
      <c r="P261" s="34">
        <v>4.7600000000000003E-2</v>
      </c>
      <c r="Q261" s="34">
        <v>4.7600000000000007</v>
      </c>
      <c r="R261" s="34">
        <v>6.4899999999999999E-2</v>
      </c>
      <c r="S261" s="34">
        <v>64.900000000000006</v>
      </c>
      <c r="T261" s="34">
        <v>3.6299999999999999E-2</v>
      </c>
      <c r="U261" s="34">
        <f t="shared" si="2"/>
        <v>240</v>
      </c>
      <c r="V261" s="34">
        <f>VLOOKUP(U261,'Powder Core Toroid OD'!$A$2:$B$36,2,FALSE)</f>
        <v>6.6</v>
      </c>
    </row>
    <row r="262" spans="1:22" hidden="1">
      <c r="A262" s="42">
        <v>55239</v>
      </c>
      <c r="B262" s="34" t="s">
        <v>153</v>
      </c>
      <c r="C262" s="158">
        <v>240</v>
      </c>
      <c r="D262" s="34">
        <v>147</v>
      </c>
      <c r="E262" s="34" t="s">
        <v>21</v>
      </c>
      <c r="F262" s="34">
        <v>64</v>
      </c>
      <c r="G262" s="34" t="s">
        <v>0</v>
      </c>
      <c r="H262" s="34">
        <v>1.36</v>
      </c>
      <c r="I262" s="34">
        <v>13.6</v>
      </c>
      <c r="J262" s="34">
        <v>8.5000000000000006E-2</v>
      </c>
      <c r="K262" s="34">
        <v>2.15</v>
      </c>
      <c r="L262" s="34">
        <v>0.28499999999999998</v>
      </c>
      <c r="M262" s="34">
        <v>7.24</v>
      </c>
      <c r="N262" s="34">
        <v>0.125</v>
      </c>
      <c r="O262" s="34">
        <v>3.18</v>
      </c>
      <c r="P262" s="34">
        <v>4.7600000000000003E-2</v>
      </c>
      <c r="Q262" s="34">
        <v>4.7600000000000007</v>
      </c>
      <c r="R262" s="34">
        <v>6.4899999999999999E-2</v>
      </c>
      <c r="S262" s="34">
        <v>64.900000000000006</v>
      </c>
      <c r="T262" s="34">
        <v>3.6299999999999999E-2</v>
      </c>
      <c r="U262" s="34">
        <f t="shared" si="2"/>
        <v>240</v>
      </c>
      <c r="V262" s="34">
        <f>VLOOKUP(U262,'Powder Core Toroid OD'!$A$2:$B$36,2,FALSE)</f>
        <v>6.6</v>
      </c>
    </row>
    <row r="263" spans="1:22" hidden="1">
      <c r="A263" s="42">
        <v>55240</v>
      </c>
      <c r="B263" s="34" t="s">
        <v>152</v>
      </c>
      <c r="C263" s="158">
        <v>240</v>
      </c>
      <c r="D263" s="34">
        <v>125</v>
      </c>
      <c r="E263" s="34" t="s">
        <v>21</v>
      </c>
      <c r="F263" s="34">
        <v>54</v>
      </c>
      <c r="G263" s="34" t="s">
        <v>0</v>
      </c>
      <c r="H263" s="34">
        <v>1.36</v>
      </c>
      <c r="I263" s="34">
        <v>13.6</v>
      </c>
      <c r="J263" s="34">
        <v>8.5000000000000006E-2</v>
      </c>
      <c r="K263" s="34">
        <v>2.15</v>
      </c>
      <c r="L263" s="34">
        <v>0.28499999999999998</v>
      </c>
      <c r="M263" s="34">
        <v>7.24</v>
      </c>
      <c r="N263" s="34">
        <v>0.125</v>
      </c>
      <c r="O263" s="34">
        <v>3.18</v>
      </c>
      <c r="P263" s="34">
        <v>4.7600000000000003E-2</v>
      </c>
      <c r="Q263" s="34">
        <v>4.7600000000000007</v>
      </c>
      <c r="R263" s="34">
        <v>6.4899999999999999E-2</v>
      </c>
      <c r="S263" s="34">
        <v>64.900000000000006</v>
      </c>
      <c r="T263" s="34">
        <v>3.6299999999999999E-2</v>
      </c>
      <c r="U263" s="34">
        <f t="shared" si="2"/>
        <v>240</v>
      </c>
      <c r="V263" s="34">
        <f>VLOOKUP(U263,'Powder Core Toroid OD'!$A$2:$B$36,2,FALSE)</f>
        <v>6.6</v>
      </c>
    </row>
    <row r="264" spans="1:22" hidden="1">
      <c r="A264" s="42">
        <v>55241</v>
      </c>
      <c r="B264" s="34" t="s">
        <v>151</v>
      </c>
      <c r="C264" s="158">
        <v>240</v>
      </c>
      <c r="D264" s="34">
        <v>60</v>
      </c>
      <c r="E264" s="34" t="s">
        <v>21</v>
      </c>
      <c r="F264" s="34">
        <v>26</v>
      </c>
      <c r="G264" s="34" t="s">
        <v>0</v>
      </c>
      <c r="H264" s="34">
        <v>1.36</v>
      </c>
      <c r="I264" s="34">
        <v>13.6</v>
      </c>
      <c r="J264" s="34">
        <v>8.5000000000000006E-2</v>
      </c>
      <c r="K264" s="34">
        <v>2.15</v>
      </c>
      <c r="L264" s="34">
        <v>0.28499999999999998</v>
      </c>
      <c r="M264" s="34">
        <v>7.24</v>
      </c>
      <c r="N264" s="34">
        <v>0.125</v>
      </c>
      <c r="O264" s="34">
        <v>3.18</v>
      </c>
      <c r="P264" s="34">
        <v>4.7600000000000003E-2</v>
      </c>
      <c r="Q264" s="34">
        <v>4.7600000000000007</v>
      </c>
      <c r="R264" s="34">
        <v>6.4899999999999999E-2</v>
      </c>
      <c r="S264" s="34">
        <v>64.900000000000006</v>
      </c>
      <c r="T264" s="34">
        <v>3.6299999999999999E-2</v>
      </c>
      <c r="U264" s="34">
        <f t="shared" si="2"/>
        <v>240</v>
      </c>
      <c r="V264" s="34">
        <f>VLOOKUP(U264,'Powder Core Toroid OD'!$A$2:$B$36,2,FALSE)</f>
        <v>6.6</v>
      </c>
    </row>
    <row r="265" spans="1:22" hidden="1">
      <c r="A265" s="42">
        <v>55242</v>
      </c>
      <c r="B265" s="34" t="s">
        <v>275</v>
      </c>
      <c r="C265" s="158">
        <v>240</v>
      </c>
      <c r="D265" s="34">
        <v>26</v>
      </c>
      <c r="E265" s="34" t="s">
        <v>21</v>
      </c>
      <c r="F265" s="34">
        <v>11</v>
      </c>
      <c r="G265" s="34" t="s">
        <v>0</v>
      </c>
      <c r="H265" s="34">
        <v>1.36</v>
      </c>
      <c r="I265" s="34">
        <v>13.6</v>
      </c>
      <c r="J265" s="34">
        <v>8.5000000000000006E-2</v>
      </c>
      <c r="K265" s="34">
        <v>2.15</v>
      </c>
      <c r="L265" s="34">
        <v>0.28499999999999998</v>
      </c>
      <c r="M265" s="34">
        <v>7.24</v>
      </c>
      <c r="N265" s="34">
        <v>0.125</v>
      </c>
      <c r="O265" s="34">
        <v>3.18</v>
      </c>
      <c r="P265" s="34">
        <v>4.7600000000000003E-2</v>
      </c>
      <c r="Q265" s="34">
        <v>4.7600000000000007</v>
      </c>
      <c r="R265" s="34">
        <v>6.4899999999999999E-2</v>
      </c>
      <c r="S265" s="34">
        <v>64.900000000000006</v>
      </c>
      <c r="T265" s="34">
        <v>3.6299999999999999E-2</v>
      </c>
      <c r="U265" s="34">
        <f t="shared" si="2"/>
        <v>240</v>
      </c>
      <c r="V265" s="34">
        <f>VLOOKUP(U265,'Powder Core Toroid OD'!$A$2:$B$36,2,FALSE)</f>
        <v>6.6</v>
      </c>
    </row>
    <row r="266" spans="1:22" hidden="1">
      <c r="A266" s="42">
        <v>55243</v>
      </c>
      <c r="B266" s="34" t="s">
        <v>274</v>
      </c>
      <c r="C266" s="158">
        <v>240</v>
      </c>
      <c r="D266" s="34">
        <v>14</v>
      </c>
      <c r="E266" s="34" t="s">
        <v>21</v>
      </c>
      <c r="F266" s="34">
        <v>6</v>
      </c>
      <c r="G266" s="34" t="s">
        <v>0</v>
      </c>
      <c r="H266" s="34">
        <v>1.36</v>
      </c>
      <c r="I266" s="34">
        <v>13.6</v>
      </c>
      <c r="J266" s="34">
        <v>8.5000000000000006E-2</v>
      </c>
      <c r="K266" s="34">
        <v>2.15</v>
      </c>
      <c r="L266" s="34">
        <v>0.28499999999999998</v>
      </c>
      <c r="M266" s="34">
        <v>7.24</v>
      </c>
      <c r="N266" s="34">
        <v>0.125</v>
      </c>
      <c r="O266" s="34">
        <v>3.18</v>
      </c>
      <c r="P266" s="34">
        <v>4.7600000000000003E-2</v>
      </c>
      <c r="Q266" s="34">
        <v>4.7600000000000007</v>
      </c>
      <c r="R266" s="34">
        <v>6.4899999999999999E-2</v>
      </c>
      <c r="S266" s="34">
        <v>64.900000000000006</v>
      </c>
      <c r="T266" s="34">
        <v>3.6299999999999999E-2</v>
      </c>
      <c r="U266" s="34">
        <f t="shared" si="2"/>
        <v>240</v>
      </c>
      <c r="V266" s="34">
        <f>VLOOKUP(U266,'Powder Core Toroid OD'!$A$2:$B$36,2,FALSE)</f>
        <v>6.6</v>
      </c>
    </row>
    <row r="267" spans="1:22" hidden="1">
      <c r="A267" s="42">
        <v>55248</v>
      </c>
      <c r="B267" s="34" t="s">
        <v>150</v>
      </c>
      <c r="C267" s="158">
        <v>254</v>
      </c>
      <c r="D267" s="34">
        <v>173</v>
      </c>
      <c r="E267" s="34" t="s">
        <v>21</v>
      </c>
      <c r="F267" s="34">
        <v>233</v>
      </c>
      <c r="G267" s="34" t="s">
        <v>0</v>
      </c>
      <c r="H267" s="34">
        <v>9.84</v>
      </c>
      <c r="I267" s="34">
        <v>98.4</v>
      </c>
      <c r="J267" s="34">
        <v>0.91800000000000004</v>
      </c>
      <c r="K267" s="34">
        <v>23.3</v>
      </c>
      <c r="L267" s="34">
        <v>1.605</v>
      </c>
      <c r="M267" s="34">
        <v>40.770000000000003</v>
      </c>
      <c r="N267" s="34">
        <v>0.60499999999999998</v>
      </c>
      <c r="O267" s="34">
        <v>15.4</v>
      </c>
      <c r="P267" s="34">
        <v>1.07</v>
      </c>
      <c r="Q267" s="34">
        <v>107</v>
      </c>
      <c r="R267" s="35">
        <v>10.6</v>
      </c>
      <c r="S267" s="34">
        <v>10600</v>
      </c>
      <c r="T267" s="34">
        <v>4.2699999999999996</v>
      </c>
      <c r="U267" s="34">
        <f t="shared" si="2"/>
        <v>254</v>
      </c>
      <c r="V267" s="34">
        <f>VLOOKUP(U267,'Powder Core Toroid OD'!$A$2:$B$36,2,FALSE)</f>
        <v>39.9</v>
      </c>
    </row>
    <row r="268" spans="1:22" hidden="1">
      <c r="A268" s="42">
        <v>55249</v>
      </c>
      <c r="B268" s="34" t="s">
        <v>149</v>
      </c>
      <c r="C268" s="158">
        <v>254</v>
      </c>
      <c r="D268" s="34">
        <v>300</v>
      </c>
      <c r="E268" s="34" t="s">
        <v>21</v>
      </c>
      <c r="F268" s="34">
        <v>403</v>
      </c>
      <c r="G268" s="34" t="s">
        <v>0</v>
      </c>
      <c r="H268" s="34">
        <v>9.84</v>
      </c>
      <c r="I268" s="34">
        <v>98.4</v>
      </c>
      <c r="J268" s="34">
        <v>0.91800000000000004</v>
      </c>
      <c r="K268" s="34">
        <v>23.3</v>
      </c>
      <c r="L268" s="34">
        <v>1.605</v>
      </c>
      <c r="M268" s="34">
        <v>40.770000000000003</v>
      </c>
      <c r="N268" s="34">
        <v>0.60499999999999998</v>
      </c>
      <c r="O268" s="34">
        <v>15.4</v>
      </c>
      <c r="P268" s="34">
        <v>1.07</v>
      </c>
      <c r="Q268" s="34">
        <v>107</v>
      </c>
      <c r="R268" s="35">
        <v>10.6</v>
      </c>
      <c r="S268" s="34">
        <v>10600</v>
      </c>
      <c r="T268" s="34">
        <v>4.2699999999999996</v>
      </c>
      <c r="U268" s="34">
        <f t="shared" si="2"/>
        <v>254</v>
      </c>
      <c r="V268" s="34">
        <f>VLOOKUP(U268,'Powder Core Toroid OD'!$A$2:$B$36,2,FALSE)</f>
        <v>39.9</v>
      </c>
    </row>
    <row r="269" spans="1:22" hidden="1">
      <c r="A269" s="42">
        <v>55250</v>
      </c>
      <c r="B269" s="34" t="s">
        <v>148</v>
      </c>
      <c r="C269" s="158">
        <v>254</v>
      </c>
      <c r="D269" s="34">
        <v>550</v>
      </c>
      <c r="E269" s="34" t="s">
        <v>21</v>
      </c>
      <c r="F269" s="34">
        <v>740</v>
      </c>
      <c r="G269" s="34" t="s">
        <v>0</v>
      </c>
      <c r="H269" s="34">
        <v>9.84</v>
      </c>
      <c r="I269" s="34">
        <v>98.4</v>
      </c>
      <c r="J269" s="34">
        <v>0.91800000000000004</v>
      </c>
      <c r="K269" s="34">
        <v>23.3</v>
      </c>
      <c r="L269" s="34">
        <v>1.605</v>
      </c>
      <c r="M269" s="34">
        <v>40.770000000000003</v>
      </c>
      <c r="N269" s="34">
        <v>0.60499999999999998</v>
      </c>
      <c r="O269" s="34">
        <v>15.4</v>
      </c>
      <c r="P269" s="34">
        <v>1.07</v>
      </c>
      <c r="Q269" s="34">
        <v>107</v>
      </c>
      <c r="R269" s="35">
        <v>10.6</v>
      </c>
      <c r="S269" s="34">
        <v>10600</v>
      </c>
      <c r="T269" s="34">
        <v>4.2699999999999996</v>
      </c>
      <c r="U269" s="34">
        <f t="shared" si="2"/>
        <v>254</v>
      </c>
      <c r="V269" s="34">
        <f>VLOOKUP(U269,'Powder Core Toroid OD'!$A$2:$B$36,2,FALSE)</f>
        <v>39.9</v>
      </c>
    </row>
    <row r="270" spans="1:22" hidden="1">
      <c r="A270" s="42">
        <v>55251</v>
      </c>
      <c r="B270" s="34" t="s">
        <v>147</v>
      </c>
      <c r="C270" s="158">
        <v>254</v>
      </c>
      <c r="D270" s="34">
        <v>200</v>
      </c>
      <c r="E270" s="34" t="s">
        <v>21</v>
      </c>
      <c r="F270" s="34">
        <v>269</v>
      </c>
      <c r="G270" s="34" t="s">
        <v>0</v>
      </c>
      <c r="H270" s="34">
        <v>9.84</v>
      </c>
      <c r="I270" s="34">
        <v>98.4</v>
      </c>
      <c r="J270" s="34">
        <v>0.91800000000000004</v>
      </c>
      <c r="K270" s="34">
        <v>23.3</v>
      </c>
      <c r="L270" s="34">
        <v>1.605</v>
      </c>
      <c r="M270" s="34">
        <v>40.770000000000003</v>
      </c>
      <c r="N270" s="34">
        <v>0.60499999999999998</v>
      </c>
      <c r="O270" s="34">
        <v>15.4</v>
      </c>
      <c r="P270" s="34">
        <v>1.07</v>
      </c>
      <c r="Q270" s="34">
        <v>107</v>
      </c>
      <c r="R270" s="35">
        <v>10.6</v>
      </c>
      <c r="S270" s="34">
        <v>10600</v>
      </c>
      <c r="T270" s="34">
        <v>4.2699999999999996</v>
      </c>
      <c r="U270" s="34">
        <f t="shared" si="2"/>
        <v>254</v>
      </c>
      <c r="V270" s="34">
        <f>VLOOKUP(U270,'Powder Core Toroid OD'!$A$2:$B$36,2,FALSE)</f>
        <v>39.9</v>
      </c>
    </row>
    <row r="271" spans="1:22" hidden="1">
      <c r="A271" s="42">
        <v>55252</v>
      </c>
      <c r="B271" s="34" t="s">
        <v>146</v>
      </c>
      <c r="C271" s="158">
        <v>254</v>
      </c>
      <c r="D271" s="34">
        <v>160</v>
      </c>
      <c r="E271" s="34" t="s">
        <v>21</v>
      </c>
      <c r="F271" s="34">
        <v>215</v>
      </c>
      <c r="G271" s="34" t="s">
        <v>0</v>
      </c>
      <c r="H271" s="34">
        <v>9.84</v>
      </c>
      <c r="I271" s="34">
        <v>98.4</v>
      </c>
      <c r="J271" s="34">
        <v>0.91800000000000004</v>
      </c>
      <c r="K271" s="34">
        <v>23.3</v>
      </c>
      <c r="L271" s="34">
        <v>1.605</v>
      </c>
      <c r="M271" s="34">
        <v>40.770000000000003</v>
      </c>
      <c r="N271" s="34">
        <v>0.60499999999999998</v>
      </c>
      <c r="O271" s="34">
        <v>15.4</v>
      </c>
      <c r="P271" s="34">
        <v>1.07</v>
      </c>
      <c r="Q271" s="34">
        <v>107</v>
      </c>
      <c r="R271" s="35">
        <v>10.6</v>
      </c>
      <c r="S271" s="34">
        <v>10600</v>
      </c>
      <c r="T271" s="34">
        <v>4.2699999999999996</v>
      </c>
      <c r="U271" s="34">
        <f t="shared" si="2"/>
        <v>254</v>
      </c>
      <c r="V271" s="34">
        <f>VLOOKUP(U271,'Powder Core Toroid OD'!$A$2:$B$36,2,FALSE)</f>
        <v>39.9</v>
      </c>
    </row>
    <row r="272" spans="1:22" hidden="1">
      <c r="A272" s="42">
        <v>55253</v>
      </c>
      <c r="B272" s="34" t="s">
        <v>145</v>
      </c>
      <c r="C272" s="158">
        <v>254</v>
      </c>
      <c r="D272" s="34">
        <v>147</v>
      </c>
      <c r="E272" s="34" t="s">
        <v>21</v>
      </c>
      <c r="F272" s="34">
        <v>198</v>
      </c>
      <c r="G272" s="34" t="s">
        <v>0</v>
      </c>
      <c r="H272" s="34">
        <v>9.84</v>
      </c>
      <c r="I272" s="34">
        <v>98.4</v>
      </c>
      <c r="J272" s="34">
        <v>0.91800000000000004</v>
      </c>
      <c r="K272" s="34">
        <v>23.3</v>
      </c>
      <c r="L272" s="34">
        <v>1.605</v>
      </c>
      <c r="M272" s="34">
        <v>40.770000000000003</v>
      </c>
      <c r="N272" s="34">
        <v>0.60499999999999998</v>
      </c>
      <c r="O272" s="34">
        <v>15.4</v>
      </c>
      <c r="P272" s="34">
        <v>1.07</v>
      </c>
      <c r="Q272" s="34">
        <v>107</v>
      </c>
      <c r="R272" s="35">
        <v>10.6</v>
      </c>
      <c r="S272" s="34">
        <v>10600</v>
      </c>
      <c r="T272" s="34">
        <v>4.2699999999999996</v>
      </c>
      <c r="U272" s="34">
        <f t="shared" si="2"/>
        <v>254</v>
      </c>
      <c r="V272" s="34">
        <f>VLOOKUP(U272,'Powder Core Toroid OD'!$A$2:$B$36,2,FALSE)</f>
        <v>39.9</v>
      </c>
    </row>
    <row r="273" spans="1:22" hidden="1">
      <c r="A273" s="42">
        <v>55254</v>
      </c>
      <c r="B273" s="34" t="s">
        <v>144</v>
      </c>
      <c r="C273" s="158">
        <v>254</v>
      </c>
      <c r="D273" s="34">
        <v>125</v>
      </c>
      <c r="E273" s="34" t="s">
        <v>21</v>
      </c>
      <c r="F273" s="34">
        <v>168</v>
      </c>
      <c r="G273" s="34" t="s">
        <v>0</v>
      </c>
      <c r="H273" s="34">
        <v>9.84</v>
      </c>
      <c r="I273" s="34">
        <v>98.4</v>
      </c>
      <c r="J273" s="34">
        <v>0.91800000000000004</v>
      </c>
      <c r="K273" s="34">
        <v>23.3</v>
      </c>
      <c r="L273" s="34">
        <v>1.605</v>
      </c>
      <c r="M273" s="34">
        <v>40.770000000000003</v>
      </c>
      <c r="N273" s="34">
        <v>0.60499999999999998</v>
      </c>
      <c r="O273" s="34">
        <v>15.4</v>
      </c>
      <c r="P273" s="34">
        <v>1.07</v>
      </c>
      <c r="Q273" s="34">
        <v>107</v>
      </c>
      <c r="R273" s="35">
        <v>10.6</v>
      </c>
      <c r="S273" s="34">
        <v>10600</v>
      </c>
      <c r="T273" s="34">
        <v>4.2699999999999996</v>
      </c>
      <c r="U273" s="34">
        <f t="shared" si="2"/>
        <v>254</v>
      </c>
      <c r="V273" s="34">
        <f>VLOOKUP(U273,'Powder Core Toroid OD'!$A$2:$B$36,2,FALSE)</f>
        <v>39.9</v>
      </c>
    </row>
    <row r="274" spans="1:22" hidden="1">
      <c r="A274" s="42">
        <v>55256</v>
      </c>
      <c r="B274" s="34" t="s">
        <v>273</v>
      </c>
      <c r="C274" s="158">
        <v>254</v>
      </c>
      <c r="D274" s="34">
        <v>26</v>
      </c>
      <c r="E274" s="34" t="s">
        <v>21</v>
      </c>
      <c r="F274" s="34">
        <v>35</v>
      </c>
      <c r="G274" s="34" t="s">
        <v>0</v>
      </c>
      <c r="H274" s="34">
        <v>9.84</v>
      </c>
      <c r="I274" s="34">
        <v>98.4</v>
      </c>
      <c r="J274" s="34">
        <v>0.91800000000000004</v>
      </c>
      <c r="K274" s="34">
        <v>23.3</v>
      </c>
      <c r="L274" s="34">
        <v>1.605</v>
      </c>
      <c r="M274" s="34">
        <v>40.770000000000003</v>
      </c>
      <c r="N274" s="34">
        <v>0.60499999999999998</v>
      </c>
      <c r="O274" s="34">
        <v>15.4</v>
      </c>
      <c r="P274" s="34">
        <v>1.07</v>
      </c>
      <c r="Q274" s="34">
        <v>107</v>
      </c>
      <c r="R274" s="35">
        <v>10.6</v>
      </c>
      <c r="S274" s="34">
        <v>10600</v>
      </c>
      <c r="T274" s="34">
        <v>4.2699999999999996</v>
      </c>
      <c r="U274" s="34">
        <f t="shared" ref="U274:U281" si="3">C274*1</f>
        <v>254</v>
      </c>
      <c r="V274" s="34">
        <f>VLOOKUP(U274,'Powder Core Toroid OD'!$A$2:$B$36,2,FALSE)</f>
        <v>39.9</v>
      </c>
    </row>
    <row r="275" spans="1:22" hidden="1">
      <c r="A275" s="42">
        <v>55257</v>
      </c>
      <c r="B275" s="34" t="s">
        <v>272</v>
      </c>
      <c r="C275" s="158">
        <v>254</v>
      </c>
      <c r="D275" s="34">
        <v>14</v>
      </c>
      <c r="E275" s="34" t="s">
        <v>21</v>
      </c>
      <c r="F275" s="34">
        <v>19</v>
      </c>
      <c r="G275" s="34" t="s">
        <v>0</v>
      </c>
      <c r="H275" s="34">
        <v>9.84</v>
      </c>
      <c r="I275" s="34">
        <v>98.4</v>
      </c>
      <c r="J275" s="34">
        <v>0.91800000000000004</v>
      </c>
      <c r="K275" s="34">
        <v>23.3</v>
      </c>
      <c r="L275" s="34">
        <v>1.605</v>
      </c>
      <c r="M275" s="34">
        <v>40.770000000000003</v>
      </c>
      <c r="N275" s="34">
        <v>0.60499999999999998</v>
      </c>
      <c r="O275" s="34">
        <v>15.4</v>
      </c>
      <c r="P275" s="34">
        <v>1.07</v>
      </c>
      <c r="Q275" s="34">
        <v>107</v>
      </c>
      <c r="R275" s="35">
        <v>10.6</v>
      </c>
      <c r="S275" s="34">
        <v>10600</v>
      </c>
      <c r="T275" s="34">
        <v>4.2699999999999996</v>
      </c>
      <c r="U275" s="34">
        <f t="shared" si="3"/>
        <v>254</v>
      </c>
      <c r="V275" s="34">
        <f>VLOOKUP(U275,'Powder Core Toroid OD'!$A$2:$B$36,2,FALSE)</f>
        <v>39.9</v>
      </c>
    </row>
    <row r="276" spans="1:22" hidden="1">
      <c r="A276" s="42">
        <v>55264</v>
      </c>
      <c r="B276" s="34" t="s">
        <v>143</v>
      </c>
      <c r="C276" s="158">
        <v>270</v>
      </c>
      <c r="D276" s="34">
        <v>173</v>
      </c>
      <c r="E276" s="34" t="s">
        <v>21</v>
      </c>
      <c r="F276" s="34">
        <v>144</v>
      </c>
      <c r="G276" s="34" t="s">
        <v>0</v>
      </c>
      <c r="H276" s="34">
        <v>1.36</v>
      </c>
      <c r="I276" s="34">
        <v>13.6</v>
      </c>
      <c r="J276" s="34">
        <v>8.5000000000000006E-2</v>
      </c>
      <c r="K276" s="34">
        <v>2.15</v>
      </c>
      <c r="L276" s="34">
        <v>0.28500000000000003</v>
      </c>
      <c r="M276" s="34">
        <v>7.24</v>
      </c>
      <c r="N276" s="34">
        <v>0.21299999999999999</v>
      </c>
      <c r="O276" s="34">
        <v>5.42</v>
      </c>
      <c r="P276" s="34">
        <v>9.1999999999999998E-2</v>
      </c>
      <c r="Q276" s="34">
        <v>9.1999999999999993</v>
      </c>
      <c r="R276" s="34">
        <v>0.125</v>
      </c>
      <c r="S276" s="34">
        <v>125</v>
      </c>
      <c r="T276" s="34">
        <v>3.6299999999999999E-2</v>
      </c>
      <c r="U276" s="34">
        <f t="shared" si="3"/>
        <v>270</v>
      </c>
      <c r="V276" s="34">
        <f>VLOOKUP(U276,'Powder Core Toroid OD'!$A$2:$B$36,2,FALSE)</f>
        <v>6.6</v>
      </c>
    </row>
    <row r="277" spans="1:22" hidden="1">
      <c r="A277" s="42">
        <v>55265</v>
      </c>
      <c r="B277" s="34" t="s">
        <v>142</v>
      </c>
      <c r="C277" s="158">
        <v>270</v>
      </c>
      <c r="D277" s="34">
        <v>300</v>
      </c>
      <c r="E277" s="34" t="s">
        <v>21</v>
      </c>
      <c r="F277" s="34">
        <v>247</v>
      </c>
      <c r="G277" s="34" t="s">
        <v>0</v>
      </c>
      <c r="H277" s="34">
        <v>1.36</v>
      </c>
      <c r="I277" s="34">
        <v>13.6</v>
      </c>
      <c r="J277" s="34">
        <v>8.5000000000000006E-2</v>
      </c>
      <c r="K277" s="34">
        <v>2.15</v>
      </c>
      <c r="L277" s="34">
        <v>0.28500000000000003</v>
      </c>
      <c r="M277" s="34">
        <v>7.24</v>
      </c>
      <c r="N277" s="34">
        <v>0.21299999999999999</v>
      </c>
      <c r="O277" s="34">
        <v>5.42</v>
      </c>
      <c r="P277" s="34">
        <v>9.1999999999999998E-2</v>
      </c>
      <c r="Q277" s="34">
        <v>9.1999999999999993</v>
      </c>
      <c r="R277" s="34">
        <v>0.125</v>
      </c>
      <c r="S277" s="34">
        <v>125</v>
      </c>
      <c r="T277" s="34">
        <v>3.6299999999999999E-2</v>
      </c>
      <c r="U277" s="34">
        <f t="shared" si="3"/>
        <v>270</v>
      </c>
      <c r="V277" s="34">
        <f>VLOOKUP(U277,'Powder Core Toroid OD'!$A$2:$B$36,2,FALSE)</f>
        <v>6.6</v>
      </c>
    </row>
    <row r="278" spans="1:22" hidden="1">
      <c r="A278" s="42">
        <v>55266</v>
      </c>
      <c r="B278" s="34" t="s">
        <v>141</v>
      </c>
      <c r="C278" s="158">
        <v>270</v>
      </c>
      <c r="D278" s="34">
        <v>550</v>
      </c>
      <c r="E278" s="34" t="s">
        <v>21</v>
      </c>
      <c r="F278" s="34">
        <v>466</v>
      </c>
      <c r="G278" s="34" t="s">
        <v>0</v>
      </c>
      <c r="H278" s="34">
        <v>1.36</v>
      </c>
      <c r="I278" s="34">
        <v>13.6</v>
      </c>
      <c r="J278" s="34">
        <v>8.5000000000000006E-2</v>
      </c>
      <c r="K278" s="34">
        <v>2.15</v>
      </c>
      <c r="L278" s="34">
        <v>0.28500000000000003</v>
      </c>
      <c r="M278" s="34">
        <v>7.24</v>
      </c>
      <c r="N278" s="34">
        <v>0.21299999999999999</v>
      </c>
      <c r="O278" s="34">
        <v>5.42</v>
      </c>
      <c r="P278" s="34">
        <v>9.1999999999999998E-2</v>
      </c>
      <c r="Q278" s="34">
        <v>9.1999999999999993</v>
      </c>
      <c r="R278" s="34">
        <v>0.125</v>
      </c>
      <c r="S278" s="34">
        <v>125</v>
      </c>
      <c r="T278" s="34">
        <v>3.6299999999999999E-2</v>
      </c>
      <c r="U278" s="34">
        <f t="shared" si="3"/>
        <v>270</v>
      </c>
      <c r="V278" s="34">
        <f>VLOOKUP(U278,'Powder Core Toroid OD'!$A$2:$B$36,2,FALSE)</f>
        <v>6.6</v>
      </c>
    </row>
    <row r="279" spans="1:22" hidden="1">
      <c r="A279" s="42">
        <v>55267</v>
      </c>
      <c r="B279" s="34" t="s">
        <v>140</v>
      </c>
      <c r="C279" s="158">
        <v>270</v>
      </c>
      <c r="D279" s="34">
        <v>200</v>
      </c>
      <c r="E279" s="34" t="s">
        <v>21</v>
      </c>
      <c r="F279" s="34">
        <v>165</v>
      </c>
      <c r="G279" s="34" t="s">
        <v>0</v>
      </c>
      <c r="H279" s="34">
        <v>1.36</v>
      </c>
      <c r="I279" s="34">
        <v>13.6</v>
      </c>
      <c r="J279" s="34">
        <v>8.5000000000000006E-2</v>
      </c>
      <c r="K279" s="34">
        <v>2.15</v>
      </c>
      <c r="L279" s="34">
        <v>0.28500000000000003</v>
      </c>
      <c r="M279" s="34">
        <v>7.24</v>
      </c>
      <c r="N279" s="34">
        <v>0.21299999999999999</v>
      </c>
      <c r="O279" s="34">
        <v>5.42</v>
      </c>
      <c r="P279" s="34">
        <v>9.1999999999999998E-2</v>
      </c>
      <c r="Q279" s="34">
        <v>9.1999999999999993</v>
      </c>
      <c r="R279" s="34">
        <v>0.125</v>
      </c>
      <c r="S279" s="34">
        <v>125</v>
      </c>
      <c r="T279" s="34">
        <v>3.6299999999999999E-2</v>
      </c>
      <c r="U279" s="34">
        <f t="shared" si="3"/>
        <v>270</v>
      </c>
      <c r="V279" s="34">
        <f>VLOOKUP(U279,'Powder Core Toroid OD'!$A$2:$B$36,2,FALSE)</f>
        <v>6.6</v>
      </c>
    </row>
    <row r="280" spans="1:22" hidden="1">
      <c r="A280" s="42">
        <v>55268</v>
      </c>
      <c r="B280" s="34" t="s">
        <v>139</v>
      </c>
      <c r="C280" s="158">
        <v>270</v>
      </c>
      <c r="D280" s="34">
        <v>160</v>
      </c>
      <c r="E280" s="34" t="s">
        <v>21</v>
      </c>
      <c r="F280" s="34">
        <v>132</v>
      </c>
      <c r="G280" s="34" t="s">
        <v>0</v>
      </c>
      <c r="H280" s="34">
        <v>1.36</v>
      </c>
      <c r="I280" s="34">
        <v>13.6</v>
      </c>
      <c r="J280" s="34">
        <v>8.5000000000000006E-2</v>
      </c>
      <c r="K280" s="34">
        <v>2.15</v>
      </c>
      <c r="L280" s="34">
        <v>0.28500000000000003</v>
      </c>
      <c r="M280" s="34">
        <v>7.24</v>
      </c>
      <c r="N280" s="34">
        <v>0.21299999999999999</v>
      </c>
      <c r="O280" s="34">
        <v>5.42</v>
      </c>
      <c r="P280" s="34">
        <v>9.1999999999999998E-2</v>
      </c>
      <c r="Q280" s="34">
        <v>9.1999999999999993</v>
      </c>
      <c r="R280" s="34">
        <v>0.125</v>
      </c>
      <c r="S280" s="34">
        <v>125</v>
      </c>
      <c r="T280" s="34">
        <v>3.6299999999999999E-2</v>
      </c>
      <c r="U280" s="34">
        <f t="shared" si="3"/>
        <v>270</v>
      </c>
      <c r="V280" s="34">
        <f>VLOOKUP(U280,'Powder Core Toroid OD'!$A$2:$B$36,2,FALSE)</f>
        <v>6.6</v>
      </c>
    </row>
    <row r="281" spans="1:22" hidden="1">
      <c r="A281" s="42">
        <v>55269</v>
      </c>
      <c r="B281" s="34" t="s">
        <v>138</v>
      </c>
      <c r="C281" s="158">
        <v>270</v>
      </c>
      <c r="D281" s="34">
        <v>147</v>
      </c>
      <c r="E281" s="34" t="s">
        <v>21</v>
      </c>
      <c r="F281" s="34">
        <v>122</v>
      </c>
      <c r="G281" s="34" t="s">
        <v>0</v>
      </c>
      <c r="H281" s="34">
        <v>1.36</v>
      </c>
      <c r="I281" s="34">
        <v>13.6</v>
      </c>
      <c r="J281" s="34">
        <v>8.5000000000000006E-2</v>
      </c>
      <c r="K281" s="34">
        <v>2.15</v>
      </c>
      <c r="L281" s="34">
        <v>0.28500000000000003</v>
      </c>
      <c r="M281" s="34">
        <v>7.24</v>
      </c>
      <c r="N281" s="34">
        <v>0.21299999999999999</v>
      </c>
      <c r="O281" s="34">
        <v>5.42</v>
      </c>
      <c r="P281" s="34">
        <v>9.1999999999999998E-2</v>
      </c>
      <c r="Q281" s="34">
        <v>9.1999999999999993</v>
      </c>
      <c r="R281" s="34">
        <v>0.125</v>
      </c>
      <c r="S281" s="34">
        <v>125</v>
      </c>
      <c r="T281" s="34">
        <v>3.6299999999999999E-2</v>
      </c>
      <c r="U281" s="34">
        <f t="shared" si="3"/>
        <v>270</v>
      </c>
      <c r="V281" s="34">
        <f>VLOOKUP(U281,'Powder Core Toroid OD'!$A$2:$B$36,2,FALSE)</f>
        <v>6.6</v>
      </c>
    </row>
    <row r="282" spans="1:22" customFormat="1" hidden="1">
      <c r="A282" s="8">
        <v>5527</v>
      </c>
      <c r="B282" t="s">
        <v>326</v>
      </c>
      <c r="C282" s="1" t="s">
        <v>675</v>
      </c>
      <c r="D282" s="1">
        <v>26</v>
      </c>
      <c r="E282" s="1" t="s">
        <v>298</v>
      </c>
      <c r="F282" s="1">
        <v>67</v>
      </c>
      <c r="G282" s="1" t="s">
        <v>301</v>
      </c>
      <c r="H282" s="1">
        <v>16.8</v>
      </c>
      <c r="I282" s="1">
        <v>168</v>
      </c>
      <c r="J282" s="1">
        <v>1.101</v>
      </c>
      <c r="K282" s="1">
        <v>27.97</v>
      </c>
      <c r="L282" s="1">
        <v>2.1850000000000001</v>
      </c>
      <c r="M282" s="4">
        <v>55.5</v>
      </c>
      <c r="N282" s="1">
        <v>0.65800000000000003</v>
      </c>
      <c r="O282" s="1">
        <v>16.7</v>
      </c>
      <c r="P282" s="1">
        <v>1.72</v>
      </c>
      <c r="Q282" s="1">
        <v>172</v>
      </c>
      <c r="R282" s="1">
        <v>28.9</v>
      </c>
      <c r="S282" s="1">
        <v>28900</v>
      </c>
      <c r="T282" s="1"/>
    </row>
    <row r="283" spans="1:22" hidden="1">
      <c r="A283" s="42">
        <v>55270</v>
      </c>
      <c r="B283" s="34" t="s">
        <v>137</v>
      </c>
      <c r="C283" s="158">
        <v>270</v>
      </c>
      <c r="D283" s="34">
        <v>125</v>
      </c>
      <c r="E283" s="34" t="s">
        <v>21</v>
      </c>
      <c r="F283" s="34">
        <v>103</v>
      </c>
      <c r="G283" s="34" t="s">
        <v>0</v>
      </c>
      <c r="H283" s="34">
        <v>1.36</v>
      </c>
      <c r="I283" s="34">
        <v>13.6</v>
      </c>
      <c r="J283" s="34">
        <v>8.5000000000000006E-2</v>
      </c>
      <c r="K283" s="34">
        <v>2.15</v>
      </c>
      <c r="L283" s="34">
        <v>0.28500000000000003</v>
      </c>
      <c r="M283" s="34">
        <v>7.24</v>
      </c>
      <c r="N283" s="34">
        <v>0.21299999999999999</v>
      </c>
      <c r="O283" s="34">
        <v>5.42</v>
      </c>
      <c r="P283" s="34">
        <v>9.1999999999999998E-2</v>
      </c>
      <c r="Q283" s="34">
        <v>9.1999999999999993</v>
      </c>
      <c r="R283" s="34">
        <v>0.125</v>
      </c>
      <c r="S283" s="34">
        <v>125</v>
      </c>
      <c r="T283" s="34">
        <v>3.6299999999999999E-2</v>
      </c>
      <c r="U283" s="34">
        <f t="shared" ref="U283:U291" si="4">C283*1</f>
        <v>270</v>
      </c>
      <c r="V283" s="34">
        <f>VLOOKUP(U283,'Powder Core Toroid OD'!$A$2:$B$36,2,FALSE)</f>
        <v>6.6</v>
      </c>
    </row>
    <row r="284" spans="1:22" hidden="1">
      <c r="A284" s="42">
        <v>55271</v>
      </c>
      <c r="B284" s="34" t="s">
        <v>136</v>
      </c>
      <c r="C284" s="158">
        <v>270</v>
      </c>
      <c r="D284" s="34">
        <v>60</v>
      </c>
      <c r="E284" s="34" t="s">
        <v>21</v>
      </c>
      <c r="F284" s="34">
        <v>50</v>
      </c>
      <c r="G284" s="34" t="s">
        <v>0</v>
      </c>
      <c r="H284" s="34">
        <v>1.36</v>
      </c>
      <c r="I284" s="34">
        <v>13.6</v>
      </c>
      <c r="J284" s="34">
        <v>8.5000000000000006E-2</v>
      </c>
      <c r="K284" s="34">
        <v>2.15</v>
      </c>
      <c r="L284" s="34">
        <v>0.28500000000000003</v>
      </c>
      <c r="M284" s="34">
        <v>7.24</v>
      </c>
      <c r="N284" s="34">
        <v>0.21299999999999999</v>
      </c>
      <c r="O284" s="34">
        <v>5.42</v>
      </c>
      <c r="P284" s="34">
        <v>9.1999999999999998E-2</v>
      </c>
      <c r="Q284" s="34">
        <v>9.1999999999999993</v>
      </c>
      <c r="R284" s="34">
        <v>0.125</v>
      </c>
      <c r="S284" s="34">
        <v>125</v>
      </c>
      <c r="T284" s="34">
        <v>3.6299999999999999E-2</v>
      </c>
      <c r="U284" s="34">
        <f t="shared" si="4"/>
        <v>270</v>
      </c>
      <c r="V284" s="34">
        <f>VLOOKUP(U284,'Powder Core Toroid OD'!$A$2:$B$36,2,FALSE)</f>
        <v>6.6</v>
      </c>
    </row>
    <row r="285" spans="1:22" hidden="1">
      <c r="A285" s="42">
        <v>55272</v>
      </c>
      <c r="B285" s="34" t="s">
        <v>271</v>
      </c>
      <c r="C285" s="158">
        <v>270</v>
      </c>
      <c r="D285" s="34">
        <v>26</v>
      </c>
      <c r="E285" s="34" t="s">
        <v>21</v>
      </c>
      <c r="F285" s="34">
        <v>21</v>
      </c>
      <c r="G285" s="34" t="s">
        <v>0</v>
      </c>
      <c r="H285" s="34">
        <v>1.36</v>
      </c>
      <c r="I285" s="34">
        <v>13.6</v>
      </c>
      <c r="J285" s="34">
        <v>8.5000000000000006E-2</v>
      </c>
      <c r="K285" s="34">
        <v>2.15</v>
      </c>
      <c r="L285" s="34">
        <v>0.28500000000000003</v>
      </c>
      <c r="M285" s="34">
        <v>7.24</v>
      </c>
      <c r="N285" s="34">
        <v>0.21299999999999999</v>
      </c>
      <c r="O285" s="34">
        <v>5.42</v>
      </c>
      <c r="P285" s="34">
        <v>9.1999999999999998E-2</v>
      </c>
      <c r="Q285" s="34">
        <v>9.1999999999999993</v>
      </c>
      <c r="R285" s="34">
        <v>0.125</v>
      </c>
      <c r="S285" s="34">
        <v>125</v>
      </c>
      <c r="T285" s="34">
        <v>3.6299999999999999E-2</v>
      </c>
      <c r="U285" s="34">
        <f t="shared" si="4"/>
        <v>270</v>
      </c>
      <c r="V285" s="34">
        <f>VLOOKUP(U285,'Powder Core Toroid OD'!$A$2:$B$36,2,FALSE)</f>
        <v>6.6</v>
      </c>
    </row>
    <row r="286" spans="1:22" hidden="1">
      <c r="A286" s="42">
        <v>55274</v>
      </c>
      <c r="B286" s="34" t="s">
        <v>135</v>
      </c>
      <c r="C286" s="158">
        <v>280</v>
      </c>
      <c r="D286" s="34">
        <v>173</v>
      </c>
      <c r="E286" s="34" t="s">
        <v>21</v>
      </c>
      <c r="F286" s="34">
        <v>74</v>
      </c>
      <c r="G286" s="34" t="s">
        <v>0</v>
      </c>
      <c r="H286" s="34">
        <v>2.1800000000000002</v>
      </c>
      <c r="I286" s="34">
        <v>21.8</v>
      </c>
      <c r="J286" s="34">
        <v>0.16800000000000001</v>
      </c>
      <c r="K286" s="34">
        <v>4.26</v>
      </c>
      <c r="L286" s="34">
        <v>0.40500000000000003</v>
      </c>
      <c r="M286" s="34">
        <v>10.3</v>
      </c>
      <c r="N286" s="41">
        <v>0.15</v>
      </c>
      <c r="O286" s="34">
        <v>3.8099999999999996</v>
      </c>
      <c r="P286" s="34">
        <v>7.5200000000000003E-2</v>
      </c>
      <c r="Q286" s="34">
        <v>7.52</v>
      </c>
      <c r="R286" s="34">
        <v>0.16400000000000001</v>
      </c>
      <c r="S286" s="34">
        <v>164</v>
      </c>
      <c r="T286" s="34">
        <v>0.14299999999999999</v>
      </c>
      <c r="U286" s="34">
        <f t="shared" si="4"/>
        <v>280</v>
      </c>
      <c r="V286" s="34">
        <f>VLOOKUP(U286,'Powder Core Toroid OD'!$A$2:$B$36,2,FALSE)</f>
        <v>9.65</v>
      </c>
    </row>
    <row r="287" spans="1:22" hidden="1">
      <c r="A287" s="42">
        <v>55275</v>
      </c>
      <c r="B287" s="34" t="s">
        <v>134</v>
      </c>
      <c r="C287" s="158">
        <v>280</v>
      </c>
      <c r="D287" s="34">
        <v>300</v>
      </c>
      <c r="E287" s="34" t="s">
        <v>21</v>
      </c>
      <c r="F287" s="34">
        <v>128</v>
      </c>
      <c r="G287" s="34" t="s">
        <v>0</v>
      </c>
      <c r="H287" s="34">
        <v>2.1800000000000002</v>
      </c>
      <c r="I287" s="34">
        <v>21.8</v>
      </c>
      <c r="J287" s="34">
        <v>0.16800000000000001</v>
      </c>
      <c r="K287" s="34">
        <v>4.26</v>
      </c>
      <c r="L287" s="34">
        <v>0.40500000000000003</v>
      </c>
      <c r="M287" s="34">
        <v>10.3</v>
      </c>
      <c r="N287" s="41">
        <v>0.15</v>
      </c>
      <c r="O287" s="34">
        <v>3.8099999999999996</v>
      </c>
      <c r="P287" s="34">
        <v>7.5200000000000003E-2</v>
      </c>
      <c r="Q287" s="34">
        <v>7.52</v>
      </c>
      <c r="R287" s="34">
        <v>0.16400000000000001</v>
      </c>
      <c r="S287" s="34">
        <v>164</v>
      </c>
      <c r="T287" s="34">
        <v>0.14299999999999999</v>
      </c>
      <c r="U287" s="34">
        <f t="shared" si="4"/>
        <v>280</v>
      </c>
      <c r="V287" s="34">
        <f>VLOOKUP(U287,'Powder Core Toroid OD'!$A$2:$B$36,2,FALSE)</f>
        <v>9.65</v>
      </c>
    </row>
    <row r="288" spans="1:22" hidden="1">
      <c r="A288" s="42">
        <v>55276</v>
      </c>
      <c r="B288" s="34" t="s">
        <v>133</v>
      </c>
      <c r="C288" s="158">
        <v>280</v>
      </c>
      <c r="D288" s="34">
        <v>550</v>
      </c>
      <c r="E288" s="34" t="s">
        <v>21</v>
      </c>
      <c r="F288" s="34">
        <v>232</v>
      </c>
      <c r="G288" s="34" t="s">
        <v>0</v>
      </c>
      <c r="H288" s="34">
        <v>2.1800000000000002</v>
      </c>
      <c r="I288" s="34">
        <v>21.8</v>
      </c>
      <c r="J288" s="34">
        <v>0.16800000000000001</v>
      </c>
      <c r="K288" s="34">
        <v>4.26</v>
      </c>
      <c r="L288" s="34">
        <v>0.40500000000000003</v>
      </c>
      <c r="M288" s="34">
        <v>10.3</v>
      </c>
      <c r="N288" s="41">
        <v>0.15</v>
      </c>
      <c r="O288" s="34">
        <v>3.8099999999999996</v>
      </c>
      <c r="P288" s="34">
        <v>7.5200000000000003E-2</v>
      </c>
      <c r="Q288" s="34">
        <v>7.52</v>
      </c>
      <c r="R288" s="34">
        <v>0.16400000000000001</v>
      </c>
      <c r="S288" s="34">
        <v>164</v>
      </c>
      <c r="T288" s="34">
        <v>0.14299999999999999</v>
      </c>
      <c r="U288" s="34">
        <f t="shared" si="4"/>
        <v>280</v>
      </c>
      <c r="V288" s="34">
        <f>VLOOKUP(U288,'Powder Core Toroid OD'!$A$2:$B$36,2,FALSE)</f>
        <v>9.65</v>
      </c>
    </row>
    <row r="289" spans="1:22" hidden="1">
      <c r="A289" s="42">
        <v>55277</v>
      </c>
      <c r="B289" s="34" t="s">
        <v>132</v>
      </c>
      <c r="C289" s="158">
        <v>280</v>
      </c>
      <c r="D289" s="34">
        <v>200</v>
      </c>
      <c r="E289" s="34" t="s">
        <v>21</v>
      </c>
      <c r="F289" s="34">
        <v>84</v>
      </c>
      <c r="G289" s="34" t="s">
        <v>0</v>
      </c>
      <c r="H289" s="34">
        <v>2.1800000000000002</v>
      </c>
      <c r="I289" s="34">
        <v>21.8</v>
      </c>
      <c r="J289" s="34">
        <v>0.16800000000000001</v>
      </c>
      <c r="K289" s="34">
        <v>4.26</v>
      </c>
      <c r="L289" s="34">
        <v>0.40500000000000003</v>
      </c>
      <c r="M289" s="34">
        <v>10.3</v>
      </c>
      <c r="N289" s="41">
        <v>0.15</v>
      </c>
      <c r="O289" s="34">
        <v>3.8099999999999996</v>
      </c>
      <c r="P289" s="34">
        <v>7.5200000000000003E-2</v>
      </c>
      <c r="Q289" s="34">
        <v>7.52</v>
      </c>
      <c r="R289" s="34">
        <v>0.16400000000000001</v>
      </c>
      <c r="S289" s="34">
        <v>164</v>
      </c>
      <c r="T289" s="34">
        <v>0.14299999999999999</v>
      </c>
      <c r="U289" s="34">
        <f t="shared" si="4"/>
        <v>280</v>
      </c>
      <c r="V289" s="34">
        <f>VLOOKUP(U289,'Powder Core Toroid OD'!$A$2:$B$36,2,FALSE)</f>
        <v>9.65</v>
      </c>
    </row>
    <row r="290" spans="1:22" hidden="1">
      <c r="A290" s="42">
        <v>55278</v>
      </c>
      <c r="B290" s="34" t="s">
        <v>131</v>
      </c>
      <c r="C290" s="158">
        <v>280</v>
      </c>
      <c r="D290" s="34">
        <v>160</v>
      </c>
      <c r="E290" s="34" t="s">
        <v>21</v>
      </c>
      <c r="F290" s="34">
        <v>68</v>
      </c>
      <c r="G290" s="34" t="s">
        <v>0</v>
      </c>
      <c r="H290" s="34">
        <v>2.1800000000000002</v>
      </c>
      <c r="I290" s="34">
        <v>21.8</v>
      </c>
      <c r="J290" s="34">
        <v>0.16800000000000001</v>
      </c>
      <c r="K290" s="34">
        <v>4.26</v>
      </c>
      <c r="L290" s="34">
        <v>0.40500000000000003</v>
      </c>
      <c r="M290" s="34">
        <v>10.3</v>
      </c>
      <c r="N290" s="41">
        <v>0.15</v>
      </c>
      <c r="O290" s="34">
        <v>3.8099999999999996</v>
      </c>
      <c r="P290" s="34">
        <v>7.5200000000000003E-2</v>
      </c>
      <c r="Q290" s="34">
        <v>7.52</v>
      </c>
      <c r="R290" s="34">
        <v>0.16400000000000001</v>
      </c>
      <c r="S290" s="34">
        <v>164</v>
      </c>
      <c r="T290" s="34">
        <v>0.14299999999999999</v>
      </c>
      <c r="U290" s="34">
        <f t="shared" si="4"/>
        <v>280</v>
      </c>
      <c r="V290" s="34">
        <f>VLOOKUP(U290,'Powder Core Toroid OD'!$A$2:$B$36,2,FALSE)</f>
        <v>9.65</v>
      </c>
    </row>
    <row r="291" spans="1:22" hidden="1">
      <c r="A291" s="42">
        <v>55279</v>
      </c>
      <c r="B291" s="34" t="s">
        <v>130</v>
      </c>
      <c r="C291" s="158">
        <v>280</v>
      </c>
      <c r="D291" s="34">
        <v>147</v>
      </c>
      <c r="E291" s="34" t="s">
        <v>21</v>
      </c>
      <c r="F291" s="34">
        <v>63</v>
      </c>
      <c r="G291" s="34" t="s">
        <v>0</v>
      </c>
      <c r="H291" s="34">
        <v>2.1800000000000002</v>
      </c>
      <c r="I291" s="34">
        <v>21.8</v>
      </c>
      <c r="J291" s="34">
        <v>0.16800000000000001</v>
      </c>
      <c r="K291" s="34">
        <v>4.26</v>
      </c>
      <c r="L291" s="34">
        <v>0.40500000000000003</v>
      </c>
      <c r="M291" s="34">
        <v>10.3</v>
      </c>
      <c r="N291" s="41">
        <v>0.15</v>
      </c>
      <c r="O291" s="34">
        <v>3.8099999999999996</v>
      </c>
      <c r="P291" s="34">
        <v>7.5200000000000003E-2</v>
      </c>
      <c r="Q291" s="34">
        <v>7.52</v>
      </c>
      <c r="R291" s="34">
        <v>0.16400000000000001</v>
      </c>
      <c r="S291" s="34">
        <v>164</v>
      </c>
      <c r="T291" s="34">
        <v>0.14299999999999999</v>
      </c>
      <c r="U291" s="34">
        <f t="shared" si="4"/>
        <v>280</v>
      </c>
      <c r="V291" s="34">
        <f>VLOOKUP(U291,'Powder Core Toroid OD'!$A$2:$B$36,2,FALSE)</f>
        <v>9.65</v>
      </c>
    </row>
    <row r="292" spans="1:22" customFormat="1" hidden="1">
      <c r="A292" s="8">
        <v>5528</v>
      </c>
      <c r="B292" t="s">
        <v>325</v>
      </c>
      <c r="C292" s="1" t="s">
        <v>676</v>
      </c>
      <c r="D292" s="1">
        <v>26</v>
      </c>
      <c r="E292" s="1" t="s">
        <v>298</v>
      </c>
      <c r="F292" s="1">
        <v>116</v>
      </c>
      <c r="G292" s="1" t="s">
        <v>297</v>
      </c>
      <c r="H292" s="1">
        <v>12.3</v>
      </c>
      <c r="I292" s="1">
        <v>123</v>
      </c>
      <c r="J292" s="1">
        <v>1.101</v>
      </c>
      <c r="K292" s="1">
        <v>27.97</v>
      </c>
      <c r="L292" s="1">
        <v>2.1920000000000002</v>
      </c>
      <c r="M292" s="1">
        <v>55.68</v>
      </c>
      <c r="N292" s="1">
        <v>0.82699999999999996</v>
      </c>
      <c r="O292" s="5">
        <v>21</v>
      </c>
      <c r="P292" s="4">
        <v>3.5</v>
      </c>
      <c r="Q292" s="1">
        <v>350</v>
      </c>
      <c r="R292" s="1">
        <v>43.1</v>
      </c>
      <c r="S292" s="1">
        <v>43100</v>
      </c>
      <c r="T292" s="1"/>
    </row>
    <row r="293" spans="1:22" customFormat="1" hidden="1">
      <c r="A293" s="8">
        <v>5528</v>
      </c>
      <c r="B293" t="s">
        <v>324</v>
      </c>
      <c r="C293" s="1" t="s">
        <v>676</v>
      </c>
      <c r="D293" s="1">
        <v>40</v>
      </c>
      <c r="E293" s="1" t="s">
        <v>298</v>
      </c>
      <c r="F293" s="1">
        <v>157</v>
      </c>
      <c r="G293" s="1" t="s">
        <v>297</v>
      </c>
      <c r="H293" s="1">
        <v>12.3</v>
      </c>
      <c r="I293" s="1">
        <v>123</v>
      </c>
      <c r="J293" s="1">
        <v>1.101</v>
      </c>
      <c r="K293" s="1">
        <v>27.97</v>
      </c>
      <c r="L293" s="1">
        <v>2.1920000000000002</v>
      </c>
      <c r="M293" s="1">
        <v>55.68</v>
      </c>
      <c r="N293" s="1">
        <v>0.82699999999999996</v>
      </c>
      <c r="O293" s="5">
        <v>21</v>
      </c>
      <c r="P293" s="4">
        <v>3.5</v>
      </c>
      <c r="Q293" s="1">
        <v>350</v>
      </c>
      <c r="R293" s="1">
        <v>43.1</v>
      </c>
      <c r="S293" s="1">
        <v>43100</v>
      </c>
      <c r="T293" s="1"/>
    </row>
    <row r="294" spans="1:22" customFormat="1" hidden="1">
      <c r="A294" s="8">
        <v>5528</v>
      </c>
      <c r="B294" t="s">
        <v>323</v>
      </c>
      <c r="C294" s="1" t="s">
        <v>676</v>
      </c>
      <c r="D294" s="1">
        <v>60</v>
      </c>
      <c r="E294" s="1" t="s">
        <v>298</v>
      </c>
      <c r="F294" s="1">
        <v>219</v>
      </c>
      <c r="G294" s="1" t="s">
        <v>297</v>
      </c>
      <c r="H294" s="1">
        <v>12.3</v>
      </c>
      <c r="I294" s="1">
        <v>123</v>
      </c>
      <c r="J294" s="1">
        <v>1.101</v>
      </c>
      <c r="K294" s="1">
        <v>27.97</v>
      </c>
      <c r="L294" s="1">
        <v>2.1920000000000002</v>
      </c>
      <c r="M294" s="1">
        <v>55.68</v>
      </c>
      <c r="N294" s="1">
        <v>0.82699999999999996</v>
      </c>
      <c r="O294" s="5">
        <v>21</v>
      </c>
      <c r="P294" s="4">
        <v>3.5</v>
      </c>
      <c r="Q294" s="1">
        <v>350</v>
      </c>
      <c r="R294" s="1">
        <v>43.1</v>
      </c>
      <c r="S294" s="1">
        <v>43100</v>
      </c>
      <c r="T294" s="1"/>
    </row>
    <row r="295" spans="1:22" customFormat="1" hidden="1">
      <c r="A295" s="8">
        <v>5528</v>
      </c>
      <c r="B295" t="s">
        <v>322</v>
      </c>
      <c r="C295" s="1" t="s">
        <v>676</v>
      </c>
      <c r="D295" s="1">
        <v>90</v>
      </c>
      <c r="E295" s="1" t="s">
        <v>298</v>
      </c>
      <c r="F295" s="1">
        <v>322</v>
      </c>
      <c r="G295" s="1" t="s">
        <v>297</v>
      </c>
      <c r="H295" s="1">
        <v>12.3</v>
      </c>
      <c r="I295" s="1">
        <v>123</v>
      </c>
      <c r="J295" s="1">
        <v>1.101</v>
      </c>
      <c r="K295" s="1">
        <v>27.97</v>
      </c>
      <c r="L295" s="1">
        <v>2.1920000000000002</v>
      </c>
      <c r="M295" s="1">
        <v>55.68</v>
      </c>
      <c r="N295" s="1">
        <v>0.82699999999999996</v>
      </c>
      <c r="O295" s="5">
        <v>21</v>
      </c>
      <c r="P295" s="4">
        <v>3.5</v>
      </c>
      <c r="Q295" s="1">
        <v>350</v>
      </c>
      <c r="R295" s="1">
        <v>43.1</v>
      </c>
      <c r="S295" s="1">
        <v>43100</v>
      </c>
      <c r="T295" s="1"/>
    </row>
    <row r="296" spans="1:22" hidden="1">
      <c r="A296" s="42">
        <v>55280</v>
      </c>
      <c r="B296" s="34" t="s">
        <v>129</v>
      </c>
      <c r="C296" s="158">
        <v>280</v>
      </c>
      <c r="D296" s="34">
        <v>125</v>
      </c>
      <c r="E296" s="34" t="s">
        <v>21</v>
      </c>
      <c r="F296" s="34">
        <v>53</v>
      </c>
      <c r="G296" s="34" t="s">
        <v>0</v>
      </c>
      <c r="H296" s="34">
        <v>2.1800000000000002</v>
      </c>
      <c r="I296" s="34">
        <v>21.8</v>
      </c>
      <c r="J296" s="34">
        <v>0.16800000000000001</v>
      </c>
      <c r="K296" s="34">
        <v>4.26</v>
      </c>
      <c r="L296" s="34">
        <v>0.40500000000000003</v>
      </c>
      <c r="M296" s="34">
        <v>10.3</v>
      </c>
      <c r="N296" s="41">
        <v>0.15</v>
      </c>
      <c r="O296" s="34">
        <v>3.8099999999999996</v>
      </c>
      <c r="P296" s="34">
        <v>7.5200000000000003E-2</v>
      </c>
      <c r="Q296" s="34">
        <v>7.52</v>
      </c>
      <c r="R296" s="34">
        <v>0.16400000000000001</v>
      </c>
      <c r="S296" s="34">
        <v>164</v>
      </c>
      <c r="T296" s="34">
        <v>0.14299999999999999</v>
      </c>
      <c r="U296" s="34">
        <f t="shared" ref="U296:U305" si="5">C296*1</f>
        <v>280</v>
      </c>
      <c r="V296" s="34">
        <f>VLOOKUP(U296,'Powder Core Toroid OD'!$A$2:$B$36,2,FALSE)</f>
        <v>9.65</v>
      </c>
    </row>
    <row r="297" spans="1:22" hidden="1">
      <c r="A297" s="42">
        <v>55281</v>
      </c>
      <c r="B297" s="34" t="s">
        <v>128</v>
      </c>
      <c r="C297" s="158">
        <v>280</v>
      </c>
      <c r="D297" s="34">
        <v>60</v>
      </c>
      <c r="E297" s="34" t="s">
        <v>21</v>
      </c>
      <c r="F297" s="34">
        <v>25</v>
      </c>
      <c r="G297" s="34" t="s">
        <v>0</v>
      </c>
      <c r="H297" s="34">
        <v>2.1800000000000002</v>
      </c>
      <c r="I297" s="34">
        <v>21.8</v>
      </c>
      <c r="J297" s="34">
        <v>0.16800000000000001</v>
      </c>
      <c r="K297" s="34">
        <v>4.26</v>
      </c>
      <c r="L297" s="34">
        <v>0.40500000000000003</v>
      </c>
      <c r="M297" s="34">
        <v>10.3</v>
      </c>
      <c r="N297" s="41">
        <v>0.15</v>
      </c>
      <c r="O297" s="34">
        <v>3.8099999999999996</v>
      </c>
      <c r="P297" s="34">
        <v>7.5200000000000003E-2</v>
      </c>
      <c r="Q297" s="34">
        <v>7.52</v>
      </c>
      <c r="R297" s="34">
        <v>0.16400000000000001</v>
      </c>
      <c r="S297" s="34">
        <v>164</v>
      </c>
      <c r="T297" s="34">
        <v>0.14299999999999999</v>
      </c>
      <c r="U297" s="34">
        <f t="shared" si="5"/>
        <v>280</v>
      </c>
      <c r="V297" s="34">
        <f>VLOOKUP(U297,'Powder Core Toroid OD'!$A$2:$B$36,2,FALSE)</f>
        <v>9.65</v>
      </c>
    </row>
    <row r="298" spans="1:22" hidden="1">
      <c r="A298" s="42">
        <v>55282</v>
      </c>
      <c r="B298" s="34" t="s">
        <v>270</v>
      </c>
      <c r="C298" s="158">
        <v>280</v>
      </c>
      <c r="D298" s="34">
        <v>26</v>
      </c>
      <c r="E298" s="34" t="s">
        <v>21</v>
      </c>
      <c r="F298" s="34">
        <v>11</v>
      </c>
      <c r="G298" s="34" t="s">
        <v>0</v>
      </c>
      <c r="H298" s="34">
        <v>2.1800000000000002</v>
      </c>
      <c r="I298" s="34">
        <v>21.8</v>
      </c>
      <c r="J298" s="34">
        <v>0.16800000000000001</v>
      </c>
      <c r="K298" s="34">
        <v>4.26</v>
      </c>
      <c r="L298" s="34">
        <v>0.40500000000000003</v>
      </c>
      <c r="M298" s="34">
        <v>10.3</v>
      </c>
      <c r="N298" s="41">
        <v>0.15</v>
      </c>
      <c r="O298" s="34">
        <v>3.8099999999999996</v>
      </c>
      <c r="P298" s="34">
        <v>7.5200000000000003E-2</v>
      </c>
      <c r="Q298" s="34">
        <v>7.52</v>
      </c>
      <c r="R298" s="34">
        <v>0.16400000000000001</v>
      </c>
      <c r="S298" s="34">
        <v>164</v>
      </c>
      <c r="T298" s="34">
        <v>0.14299999999999999</v>
      </c>
      <c r="U298" s="34">
        <f t="shared" si="5"/>
        <v>280</v>
      </c>
      <c r="V298" s="34">
        <f>VLOOKUP(U298,'Powder Core Toroid OD'!$A$2:$B$36,2,FALSE)</f>
        <v>9.65</v>
      </c>
    </row>
    <row r="299" spans="1:22" hidden="1">
      <c r="A299" s="42">
        <v>55283</v>
      </c>
      <c r="B299" s="34" t="s">
        <v>269</v>
      </c>
      <c r="C299" s="158">
        <v>280</v>
      </c>
      <c r="D299" s="34">
        <v>14</v>
      </c>
      <c r="E299" s="34" t="s">
        <v>21</v>
      </c>
      <c r="F299" s="34">
        <v>6</v>
      </c>
      <c r="G299" s="34" t="s">
        <v>0</v>
      </c>
      <c r="H299" s="34">
        <v>2.1800000000000002</v>
      </c>
      <c r="I299" s="34">
        <v>21.8</v>
      </c>
      <c r="J299" s="34">
        <v>0.16800000000000001</v>
      </c>
      <c r="K299" s="34">
        <v>4.26</v>
      </c>
      <c r="L299" s="34">
        <v>0.40500000000000003</v>
      </c>
      <c r="M299" s="34">
        <v>10.3</v>
      </c>
      <c r="N299" s="41">
        <v>0.15</v>
      </c>
      <c r="O299" s="34">
        <v>3.8099999999999996</v>
      </c>
      <c r="P299" s="34">
        <v>7.5200000000000003E-2</v>
      </c>
      <c r="Q299" s="34">
        <v>7.52</v>
      </c>
      <c r="R299" s="34">
        <v>0.16400000000000001</v>
      </c>
      <c r="S299" s="34">
        <v>164</v>
      </c>
      <c r="T299" s="34">
        <v>0.14299999999999999</v>
      </c>
      <c r="U299" s="34">
        <f t="shared" si="5"/>
        <v>280</v>
      </c>
      <c r="V299" s="34">
        <f>VLOOKUP(U299,'Powder Core Toroid OD'!$A$2:$B$36,2,FALSE)</f>
        <v>9.65</v>
      </c>
    </row>
    <row r="300" spans="1:22" hidden="1">
      <c r="A300" s="42">
        <v>55284</v>
      </c>
      <c r="B300" s="34" t="s">
        <v>127</v>
      </c>
      <c r="C300" s="158">
        <v>290</v>
      </c>
      <c r="D300" s="34">
        <v>173</v>
      </c>
      <c r="E300" s="34" t="s">
        <v>21</v>
      </c>
      <c r="F300" s="34">
        <v>92</v>
      </c>
      <c r="G300" s="34" t="s">
        <v>0</v>
      </c>
      <c r="H300" s="34">
        <v>2.1800000000000002</v>
      </c>
      <c r="I300" s="34">
        <v>21.8</v>
      </c>
      <c r="J300" s="34">
        <v>0.16800000000000001</v>
      </c>
      <c r="K300" s="34">
        <v>4.26</v>
      </c>
      <c r="L300" s="34">
        <v>0.40500000000000003</v>
      </c>
      <c r="M300" s="34">
        <v>10.3</v>
      </c>
      <c r="N300" s="34">
        <v>0.18099999999999999</v>
      </c>
      <c r="O300" s="40">
        <v>4.5999999999999996</v>
      </c>
      <c r="P300" s="34">
        <v>9.4500000000000001E-2</v>
      </c>
      <c r="Q300" s="34">
        <v>9.4499999999999993</v>
      </c>
      <c r="R300" s="34">
        <v>0.20599999999999999</v>
      </c>
      <c r="S300" s="34">
        <v>206</v>
      </c>
      <c r="T300" s="34">
        <v>0.14299999999999999</v>
      </c>
      <c r="U300" s="34">
        <f t="shared" si="5"/>
        <v>290</v>
      </c>
      <c r="V300" s="34">
        <f>VLOOKUP(U300,'Powder Core Toroid OD'!$A$2:$B$36,2,FALSE)</f>
        <v>9.65</v>
      </c>
    </row>
    <row r="301" spans="1:22" hidden="1">
      <c r="A301" s="42">
        <v>55285</v>
      </c>
      <c r="B301" s="34" t="s">
        <v>126</v>
      </c>
      <c r="C301" s="158">
        <v>290</v>
      </c>
      <c r="D301" s="34">
        <v>300</v>
      </c>
      <c r="E301" s="34" t="s">
        <v>21</v>
      </c>
      <c r="F301" s="34">
        <v>159</v>
      </c>
      <c r="G301" s="34" t="s">
        <v>0</v>
      </c>
      <c r="H301" s="34">
        <v>2.1800000000000002</v>
      </c>
      <c r="I301" s="34">
        <v>21.8</v>
      </c>
      <c r="J301" s="34">
        <v>0.16800000000000001</v>
      </c>
      <c r="K301" s="34">
        <v>4.26</v>
      </c>
      <c r="L301" s="34">
        <v>0.40500000000000003</v>
      </c>
      <c r="M301" s="34">
        <v>10.3</v>
      </c>
      <c r="N301" s="34">
        <v>0.18099999999999999</v>
      </c>
      <c r="O301" s="40">
        <v>4.5999999999999996</v>
      </c>
      <c r="P301" s="34">
        <v>9.4500000000000001E-2</v>
      </c>
      <c r="Q301" s="34">
        <v>9.4499999999999993</v>
      </c>
      <c r="R301" s="34">
        <v>0.20599999999999999</v>
      </c>
      <c r="S301" s="34">
        <v>206</v>
      </c>
      <c r="T301" s="34">
        <v>0.14299999999999999</v>
      </c>
      <c r="U301" s="34">
        <f t="shared" si="5"/>
        <v>290</v>
      </c>
      <c r="V301" s="34">
        <f>VLOOKUP(U301,'Powder Core Toroid OD'!$A$2:$B$36,2,FALSE)</f>
        <v>9.65</v>
      </c>
    </row>
    <row r="302" spans="1:22" hidden="1">
      <c r="A302" s="42">
        <v>55286</v>
      </c>
      <c r="B302" s="34" t="s">
        <v>125</v>
      </c>
      <c r="C302" s="158">
        <v>290</v>
      </c>
      <c r="D302" s="34">
        <v>550</v>
      </c>
      <c r="E302" s="34" t="s">
        <v>21</v>
      </c>
      <c r="F302" s="34">
        <v>290</v>
      </c>
      <c r="G302" s="34" t="s">
        <v>0</v>
      </c>
      <c r="H302" s="34">
        <v>2.1800000000000002</v>
      </c>
      <c r="I302" s="34">
        <v>21.8</v>
      </c>
      <c r="J302" s="34">
        <v>0.16800000000000001</v>
      </c>
      <c r="K302" s="34">
        <v>4.26</v>
      </c>
      <c r="L302" s="34">
        <v>0.40500000000000003</v>
      </c>
      <c r="M302" s="34">
        <v>10.3</v>
      </c>
      <c r="N302" s="34">
        <v>0.18099999999999999</v>
      </c>
      <c r="O302" s="40">
        <v>4.5999999999999996</v>
      </c>
      <c r="P302" s="34">
        <v>9.4500000000000001E-2</v>
      </c>
      <c r="Q302" s="34">
        <v>9.4499999999999993</v>
      </c>
      <c r="R302" s="34">
        <v>0.20599999999999999</v>
      </c>
      <c r="S302" s="34">
        <v>206</v>
      </c>
      <c r="T302" s="34">
        <v>0.14299999999999999</v>
      </c>
      <c r="U302" s="34">
        <f t="shared" si="5"/>
        <v>290</v>
      </c>
      <c r="V302" s="34">
        <f>VLOOKUP(U302,'Powder Core Toroid OD'!$A$2:$B$36,2,FALSE)</f>
        <v>9.65</v>
      </c>
    </row>
    <row r="303" spans="1:22" hidden="1">
      <c r="A303" s="42">
        <v>55287</v>
      </c>
      <c r="B303" s="34" t="s">
        <v>124</v>
      </c>
      <c r="C303" s="158">
        <v>290</v>
      </c>
      <c r="D303" s="34">
        <v>200</v>
      </c>
      <c r="E303" s="34" t="s">
        <v>21</v>
      </c>
      <c r="F303" s="34">
        <v>105</v>
      </c>
      <c r="G303" s="34" t="s">
        <v>0</v>
      </c>
      <c r="H303" s="34">
        <v>2.1800000000000002</v>
      </c>
      <c r="I303" s="34">
        <v>21.8</v>
      </c>
      <c r="J303" s="34">
        <v>0.16800000000000001</v>
      </c>
      <c r="K303" s="34">
        <v>4.26</v>
      </c>
      <c r="L303" s="34">
        <v>0.40500000000000003</v>
      </c>
      <c r="M303" s="34">
        <v>10.3</v>
      </c>
      <c r="N303" s="34">
        <v>0.18099999999999999</v>
      </c>
      <c r="O303" s="40">
        <v>4.5999999999999996</v>
      </c>
      <c r="P303" s="34">
        <v>9.4500000000000001E-2</v>
      </c>
      <c r="Q303" s="34">
        <v>9.4499999999999993</v>
      </c>
      <c r="R303" s="34">
        <v>0.20599999999999999</v>
      </c>
      <c r="S303" s="34">
        <v>206</v>
      </c>
      <c r="T303" s="34">
        <v>0.14299999999999999</v>
      </c>
      <c r="U303" s="34">
        <f t="shared" si="5"/>
        <v>290</v>
      </c>
      <c r="V303" s="34">
        <f>VLOOKUP(U303,'Powder Core Toroid OD'!$A$2:$B$36,2,FALSE)</f>
        <v>9.65</v>
      </c>
    </row>
    <row r="304" spans="1:22" hidden="1">
      <c r="A304" s="42">
        <v>55288</v>
      </c>
      <c r="B304" s="34" t="s">
        <v>123</v>
      </c>
      <c r="C304" s="158">
        <v>290</v>
      </c>
      <c r="D304" s="34">
        <v>160</v>
      </c>
      <c r="E304" s="34" t="s">
        <v>21</v>
      </c>
      <c r="F304" s="34">
        <v>84</v>
      </c>
      <c r="G304" s="34" t="s">
        <v>0</v>
      </c>
      <c r="H304" s="34">
        <v>2.1800000000000002</v>
      </c>
      <c r="I304" s="34">
        <v>21.8</v>
      </c>
      <c r="J304" s="34">
        <v>0.16800000000000001</v>
      </c>
      <c r="K304" s="34">
        <v>4.26</v>
      </c>
      <c r="L304" s="34">
        <v>0.40500000000000003</v>
      </c>
      <c r="M304" s="34">
        <v>10.3</v>
      </c>
      <c r="N304" s="34">
        <v>0.18099999999999999</v>
      </c>
      <c r="O304" s="40">
        <v>4.5999999999999996</v>
      </c>
      <c r="P304" s="34">
        <v>9.4500000000000001E-2</v>
      </c>
      <c r="Q304" s="34">
        <v>9.4499999999999993</v>
      </c>
      <c r="R304" s="34">
        <v>0.20599999999999999</v>
      </c>
      <c r="S304" s="34">
        <v>206</v>
      </c>
      <c r="T304" s="34">
        <v>0.14299999999999999</v>
      </c>
      <c r="U304" s="34">
        <f t="shared" si="5"/>
        <v>290</v>
      </c>
      <c r="V304" s="34">
        <f>VLOOKUP(U304,'Powder Core Toroid OD'!$A$2:$B$36,2,FALSE)</f>
        <v>9.65</v>
      </c>
    </row>
    <row r="305" spans="1:22" hidden="1">
      <c r="A305" s="42">
        <v>55289</v>
      </c>
      <c r="B305" s="34" t="s">
        <v>122</v>
      </c>
      <c r="C305" s="158">
        <v>290</v>
      </c>
      <c r="D305" s="34">
        <v>147</v>
      </c>
      <c r="E305" s="34" t="s">
        <v>21</v>
      </c>
      <c r="F305" s="34">
        <v>78</v>
      </c>
      <c r="G305" s="34" t="s">
        <v>0</v>
      </c>
      <c r="H305" s="34">
        <v>2.1800000000000002</v>
      </c>
      <c r="I305" s="34">
        <v>21.8</v>
      </c>
      <c r="J305" s="34">
        <v>0.16800000000000001</v>
      </c>
      <c r="K305" s="34">
        <v>4.26</v>
      </c>
      <c r="L305" s="34">
        <v>0.40500000000000003</v>
      </c>
      <c r="M305" s="34">
        <v>10.3</v>
      </c>
      <c r="N305" s="34">
        <v>0.18099999999999999</v>
      </c>
      <c r="O305" s="40">
        <v>4.5999999999999996</v>
      </c>
      <c r="P305" s="34">
        <v>9.4500000000000001E-2</v>
      </c>
      <c r="Q305" s="34">
        <v>9.4499999999999993</v>
      </c>
      <c r="R305" s="34">
        <v>0.20599999999999999</v>
      </c>
      <c r="S305" s="34">
        <v>206</v>
      </c>
      <c r="T305" s="34">
        <v>0.14299999999999999</v>
      </c>
      <c r="U305" s="34">
        <f t="shared" si="5"/>
        <v>290</v>
      </c>
      <c r="V305" s="34">
        <f>VLOOKUP(U305,'Powder Core Toroid OD'!$A$2:$B$36,2,FALSE)</f>
        <v>9.65</v>
      </c>
    </row>
    <row r="306" spans="1:22" customFormat="1" hidden="1">
      <c r="A306" s="8">
        <v>5529</v>
      </c>
      <c r="B306" t="s">
        <v>321</v>
      </c>
      <c r="C306" s="1" t="s">
        <v>677</v>
      </c>
      <c r="D306" s="1">
        <v>26</v>
      </c>
      <c r="E306" s="1" t="s">
        <v>298</v>
      </c>
      <c r="F306" s="1">
        <v>85</v>
      </c>
      <c r="G306" s="1" t="s">
        <v>301</v>
      </c>
      <c r="H306" s="1">
        <v>16.8</v>
      </c>
      <c r="I306" s="1">
        <v>168</v>
      </c>
      <c r="J306" s="1">
        <v>1.105</v>
      </c>
      <c r="K306" s="1">
        <v>28.07</v>
      </c>
      <c r="L306" s="1">
        <v>2.1850000000000001</v>
      </c>
      <c r="M306" s="4">
        <v>55.5</v>
      </c>
      <c r="N306" s="1">
        <v>0.92700000000000005</v>
      </c>
      <c r="O306" s="1">
        <v>23.5</v>
      </c>
      <c r="P306" s="1">
        <v>2.44</v>
      </c>
      <c r="Q306" s="1">
        <v>244</v>
      </c>
      <c r="R306" s="5">
        <v>41</v>
      </c>
      <c r="S306" s="1">
        <v>41000</v>
      </c>
      <c r="T306" s="1"/>
    </row>
    <row r="307" spans="1:22" hidden="1">
      <c r="A307" s="42">
        <v>55290</v>
      </c>
      <c r="B307" s="34" t="s">
        <v>121</v>
      </c>
      <c r="C307" s="158">
        <v>290</v>
      </c>
      <c r="D307" s="34">
        <v>125</v>
      </c>
      <c r="E307" s="34" t="s">
        <v>21</v>
      </c>
      <c r="F307" s="34">
        <v>66</v>
      </c>
      <c r="G307" s="34" t="s">
        <v>0</v>
      </c>
      <c r="H307" s="34">
        <v>2.1800000000000002</v>
      </c>
      <c r="I307" s="34">
        <v>21.8</v>
      </c>
      <c r="J307" s="34">
        <v>0.16800000000000001</v>
      </c>
      <c r="K307" s="34">
        <v>4.26</v>
      </c>
      <c r="L307" s="34">
        <v>0.40500000000000003</v>
      </c>
      <c r="M307" s="34">
        <v>10.3</v>
      </c>
      <c r="N307" s="34">
        <v>0.18099999999999999</v>
      </c>
      <c r="O307" s="40">
        <v>4.5999999999999996</v>
      </c>
      <c r="P307" s="34">
        <v>9.4500000000000001E-2</v>
      </c>
      <c r="Q307" s="34">
        <v>9.4499999999999993</v>
      </c>
      <c r="R307" s="34">
        <v>0.20599999999999999</v>
      </c>
      <c r="S307" s="34">
        <v>206</v>
      </c>
      <c r="T307" s="34">
        <v>0.14299999999999999</v>
      </c>
      <c r="U307" s="34">
        <f>C307*1</f>
        <v>290</v>
      </c>
      <c r="V307" s="34">
        <f>VLOOKUP(U307,'Powder Core Toroid OD'!$A$2:$B$36,2,FALSE)</f>
        <v>9.65</v>
      </c>
    </row>
    <row r="308" spans="1:22" hidden="1">
      <c r="A308" s="42">
        <v>55291</v>
      </c>
      <c r="B308" s="34" t="s">
        <v>120</v>
      </c>
      <c r="C308" s="158">
        <v>290</v>
      </c>
      <c r="D308" s="34">
        <v>60</v>
      </c>
      <c r="E308" s="34" t="s">
        <v>21</v>
      </c>
      <c r="F308" s="34">
        <v>32</v>
      </c>
      <c r="G308" s="34" t="s">
        <v>0</v>
      </c>
      <c r="H308" s="34">
        <v>2.1800000000000002</v>
      </c>
      <c r="I308" s="34">
        <v>21.8</v>
      </c>
      <c r="J308" s="34">
        <v>0.16800000000000001</v>
      </c>
      <c r="K308" s="34">
        <v>4.26</v>
      </c>
      <c r="L308" s="34">
        <v>0.40500000000000003</v>
      </c>
      <c r="M308" s="34">
        <v>10.3</v>
      </c>
      <c r="N308" s="34">
        <v>0.18099999999999999</v>
      </c>
      <c r="O308" s="40">
        <v>4.5999999999999996</v>
      </c>
      <c r="P308" s="34">
        <v>9.4500000000000001E-2</v>
      </c>
      <c r="Q308" s="34">
        <v>9.4499999999999993</v>
      </c>
      <c r="R308" s="34">
        <v>0.20599999999999999</v>
      </c>
      <c r="S308" s="34">
        <v>206</v>
      </c>
      <c r="T308" s="34">
        <v>0.14299999999999999</v>
      </c>
      <c r="U308" s="34">
        <f>C308*1</f>
        <v>290</v>
      </c>
      <c r="V308" s="34">
        <f>VLOOKUP(U308,'Powder Core Toroid OD'!$A$2:$B$36,2,FALSE)</f>
        <v>9.65</v>
      </c>
    </row>
    <row r="309" spans="1:22" hidden="1">
      <c r="A309" s="42">
        <v>55292</v>
      </c>
      <c r="B309" s="34" t="s">
        <v>268</v>
      </c>
      <c r="C309" s="158">
        <v>290</v>
      </c>
      <c r="D309" s="34">
        <v>26</v>
      </c>
      <c r="E309" s="34" t="s">
        <v>21</v>
      </c>
      <c r="F309" s="34">
        <v>14</v>
      </c>
      <c r="G309" s="34" t="s">
        <v>0</v>
      </c>
      <c r="H309" s="34">
        <v>2.1800000000000002</v>
      </c>
      <c r="I309" s="34">
        <v>21.8</v>
      </c>
      <c r="J309" s="34">
        <v>0.16800000000000001</v>
      </c>
      <c r="K309" s="34">
        <v>4.26</v>
      </c>
      <c r="L309" s="34">
        <v>0.40500000000000003</v>
      </c>
      <c r="M309" s="34">
        <v>10.3</v>
      </c>
      <c r="N309" s="34">
        <v>0.18099999999999999</v>
      </c>
      <c r="O309" s="40">
        <v>4.5999999999999996</v>
      </c>
      <c r="P309" s="34">
        <v>9.4500000000000001E-2</v>
      </c>
      <c r="Q309" s="34">
        <v>9.4499999999999993</v>
      </c>
      <c r="R309" s="34">
        <v>0.20599999999999999</v>
      </c>
      <c r="S309" s="34">
        <v>206</v>
      </c>
      <c r="T309" s="34">
        <v>0.14299999999999999</v>
      </c>
      <c r="U309" s="34">
        <f>C309*1</f>
        <v>290</v>
      </c>
      <c r="V309" s="34">
        <f>VLOOKUP(U309,'Powder Core Toroid OD'!$A$2:$B$36,2,FALSE)</f>
        <v>9.65</v>
      </c>
    </row>
    <row r="310" spans="1:22" hidden="1">
      <c r="A310" s="42">
        <v>55293</v>
      </c>
      <c r="B310" s="34" t="s">
        <v>267</v>
      </c>
      <c r="C310" s="158">
        <v>290</v>
      </c>
      <c r="D310" s="34">
        <v>14</v>
      </c>
      <c r="E310" s="34" t="s">
        <v>21</v>
      </c>
      <c r="F310" s="34">
        <v>7</v>
      </c>
      <c r="G310" s="34" t="s">
        <v>0</v>
      </c>
      <c r="H310" s="34">
        <v>2.1800000000000002</v>
      </c>
      <c r="I310" s="34">
        <v>21.8</v>
      </c>
      <c r="J310" s="34">
        <v>0.16800000000000001</v>
      </c>
      <c r="K310" s="34">
        <v>4.26</v>
      </c>
      <c r="L310" s="34">
        <v>0.40500000000000003</v>
      </c>
      <c r="M310" s="34">
        <v>10.3</v>
      </c>
      <c r="N310" s="34">
        <v>0.18099999999999999</v>
      </c>
      <c r="O310" s="40">
        <v>4.5999999999999996</v>
      </c>
      <c r="P310" s="34">
        <v>9.4500000000000001E-2</v>
      </c>
      <c r="Q310" s="34">
        <v>9.4499999999999993</v>
      </c>
      <c r="R310" s="34">
        <v>0.20599999999999999</v>
      </c>
      <c r="S310" s="34">
        <v>206</v>
      </c>
      <c r="T310" s="34">
        <v>0.14299999999999999</v>
      </c>
      <c r="U310" s="34">
        <f>C310*1</f>
        <v>290</v>
      </c>
      <c r="V310" s="34">
        <f>VLOOKUP(U310,'Powder Core Toroid OD'!$A$2:$B$36,2,FALSE)</f>
        <v>9.65</v>
      </c>
    </row>
    <row r="311" spans="1:22" customFormat="1" hidden="1">
      <c r="A311" s="8">
        <v>5530</v>
      </c>
      <c r="B311" t="s">
        <v>320</v>
      </c>
      <c r="C311" s="1" t="s">
        <v>678</v>
      </c>
      <c r="D311" s="1">
        <v>26</v>
      </c>
      <c r="E311" s="1" t="s">
        <v>298</v>
      </c>
      <c r="F311" s="1">
        <v>138</v>
      </c>
      <c r="G311" s="1" t="s">
        <v>297</v>
      </c>
      <c r="H311" s="1">
        <v>12.3</v>
      </c>
      <c r="I311" s="1">
        <v>123</v>
      </c>
      <c r="J311" s="1">
        <v>1.101</v>
      </c>
      <c r="K311" s="1">
        <v>27.97</v>
      </c>
      <c r="L311" s="1">
        <v>2.1920000000000002</v>
      </c>
      <c r="M311" s="1">
        <v>55.68</v>
      </c>
      <c r="N311" s="1">
        <v>0.98399999999999999</v>
      </c>
      <c r="O311" s="5">
        <v>25</v>
      </c>
      <c r="P311" s="1">
        <v>4.17</v>
      </c>
      <c r="Q311" s="1">
        <v>417</v>
      </c>
      <c r="R311" s="1">
        <v>51.3</v>
      </c>
      <c r="S311" s="1">
        <v>51300</v>
      </c>
      <c r="T311" s="1"/>
    </row>
    <row r="312" spans="1:22" customFormat="1" hidden="1">
      <c r="A312" s="8">
        <v>5530</v>
      </c>
      <c r="B312" t="s">
        <v>319</v>
      </c>
      <c r="C312" s="1" t="s">
        <v>678</v>
      </c>
      <c r="D312" s="1">
        <v>40</v>
      </c>
      <c r="E312" s="1" t="s">
        <v>298</v>
      </c>
      <c r="F312" s="1">
        <v>187</v>
      </c>
      <c r="G312" s="1" t="s">
        <v>297</v>
      </c>
      <c r="H312" s="1">
        <v>12.3</v>
      </c>
      <c r="I312" s="1">
        <v>123</v>
      </c>
      <c r="J312" s="1">
        <v>1.101</v>
      </c>
      <c r="K312" s="1">
        <v>27.97</v>
      </c>
      <c r="L312" s="1">
        <v>2.1920000000000002</v>
      </c>
      <c r="M312" s="1">
        <v>55.68</v>
      </c>
      <c r="N312" s="1">
        <v>0.98399999999999999</v>
      </c>
      <c r="O312" s="5">
        <v>25</v>
      </c>
      <c r="P312" s="1">
        <v>4.17</v>
      </c>
      <c r="Q312" s="1">
        <v>417</v>
      </c>
      <c r="R312" s="1">
        <v>51.3</v>
      </c>
      <c r="S312" s="1">
        <v>51300</v>
      </c>
      <c r="T312" s="1"/>
    </row>
    <row r="313" spans="1:22" customFormat="1" hidden="1">
      <c r="A313" s="8">
        <v>5530</v>
      </c>
      <c r="B313" t="s">
        <v>318</v>
      </c>
      <c r="C313" s="1" t="s">
        <v>678</v>
      </c>
      <c r="D313" s="1">
        <v>60</v>
      </c>
      <c r="E313" s="1" t="s">
        <v>298</v>
      </c>
      <c r="F313" s="1">
        <v>261</v>
      </c>
      <c r="G313" s="1" t="s">
        <v>297</v>
      </c>
      <c r="H313" s="1">
        <v>12.3</v>
      </c>
      <c r="I313" s="1">
        <v>123</v>
      </c>
      <c r="J313" s="1">
        <v>1.101</v>
      </c>
      <c r="K313" s="1">
        <v>27.97</v>
      </c>
      <c r="L313" s="1">
        <v>2.1920000000000002</v>
      </c>
      <c r="M313" s="1">
        <v>55.68</v>
      </c>
      <c r="N313" s="1">
        <v>0.98399999999999999</v>
      </c>
      <c r="O313" s="5">
        <v>25</v>
      </c>
      <c r="P313" s="1">
        <v>4.17</v>
      </c>
      <c r="Q313" s="1">
        <v>417</v>
      </c>
      <c r="R313" s="1">
        <v>51.3</v>
      </c>
      <c r="S313" s="1">
        <v>51300</v>
      </c>
      <c r="T313" s="1"/>
    </row>
    <row r="314" spans="1:22" customFormat="1" hidden="1">
      <c r="A314" s="8">
        <v>5530</v>
      </c>
      <c r="B314" t="s">
        <v>317</v>
      </c>
      <c r="C314" s="1" t="s">
        <v>678</v>
      </c>
      <c r="D314" s="1">
        <v>90</v>
      </c>
      <c r="E314" s="1" t="s">
        <v>298</v>
      </c>
      <c r="F314" s="1">
        <v>338</v>
      </c>
      <c r="G314" s="1" t="s">
        <v>297</v>
      </c>
      <c r="H314" s="1">
        <v>12.3</v>
      </c>
      <c r="I314" s="1">
        <v>123</v>
      </c>
      <c r="J314" s="1">
        <v>1.101</v>
      </c>
      <c r="K314" s="1">
        <v>27.97</v>
      </c>
      <c r="L314" s="1">
        <v>2.1920000000000002</v>
      </c>
      <c r="M314" s="1">
        <v>55.68</v>
      </c>
      <c r="N314" s="1">
        <v>0.98399999999999999</v>
      </c>
      <c r="O314" s="5">
        <v>25</v>
      </c>
      <c r="P314" s="1">
        <v>4.17</v>
      </c>
      <c r="Q314" s="1">
        <v>417</v>
      </c>
      <c r="R314" s="1">
        <v>51.3</v>
      </c>
      <c r="S314" s="1">
        <v>51300</v>
      </c>
      <c r="T314" s="1"/>
    </row>
    <row r="315" spans="1:22" hidden="1">
      <c r="A315" s="42">
        <v>55304</v>
      </c>
      <c r="B315" s="34" t="s">
        <v>119</v>
      </c>
      <c r="C315" s="158">
        <v>310</v>
      </c>
      <c r="D315" s="34">
        <v>173</v>
      </c>
      <c r="E315" s="34" t="s">
        <v>21</v>
      </c>
      <c r="F315" s="34">
        <v>124</v>
      </c>
      <c r="G315" s="34" t="s">
        <v>0</v>
      </c>
      <c r="H315" s="34">
        <v>5.67</v>
      </c>
      <c r="I315" s="34">
        <v>56.7</v>
      </c>
      <c r="J315" s="34">
        <v>0.52500000000000002</v>
      </c>
      <c r="K315" s="34">
        <v>13.3</v>
      </c>
      <c r="L315" s="41">
        <v>0.93</v>
      </c>
      <c r="M315" s="34">
        <v>23.7</v>
      </c>
      <c r="N315" s="41">
        <v>0.33</v>
      </c>
      <c r="O315" s="34">
        <v>8.39</v>
      </c>
      <c r="P315" s="34">
        <v>0.317</v>
      </c>
      <c r="Q315" s="34">
        <v>31.7</v>
      </c>
      <c r="R315" s="40">
        <v>1.8</v>
      </c>
      <c r="S315" s="34">
        <v>1800</v>
      </c>
      <c r="T315" s="34">
        <v>1.39</v>
      </c>
      <c r="U315" s="34">
        <f t="shared" ref="U315:U378" si="6">C315*1</f>
        <v>310</v>
      </c>
      <c r="V315" s="34">
        <f>VLOOKUP(U315,'Powder Core Toroid OD'!$A$2:$B$36,2,FALSE)</f>
        <v>22.9</v>
      </c>
    </row>
    <row r="316" spans="1:22" hidden="1">
      <c r="A316" s="42">
        <v>55305</v>
      </c>
      <c r="B316" s="34" t="s">
        <v>118</v>
      </c>
      <c r="C316" s="158">
        <v>310</v>
      </c>
      <c r="D316" s="34">
        <v>300</v>
      </c>
      <c r="E316" s="34" t="s">
        <v>21</v>
      </c>
      <c r="F316" s="34">
        <v>216</v>
      </c>
      <c r="G316" s="34" t="s">
        <v>0</v>
      </c>
      <c r="H316" s="34">
        <v>5.67</v>
      </c>
      <c r="I316" s="34">
        <v>56.7</v>
      </c>
      <c r="J316" s="34">
        <v>0.52500000000000002</v>
      </c>
      <c r="K316" s="34">
        <v>13.3</v>
      </c>
      <c r="L316" s="41">
        <v>0.93</v>
      </c>
      <c r="M316" s="34">
        <v>23.7</v>
      </c>
      <c r="N316" s="41">
        <v>0.33</v>
      </c>
      <c r="O316" s="34">
        <v>8.39</v>
      </c>
      <c r="P316" s="34">
        <v>0.317</v>
      </c>
      <c r="Q316" s="34">
        <v>31.7</v>
      </c>
      <c r="R316" s="40">
        <v>1.8</v>
      </c>
      <c r="S316" s="34">
        <v>1800</v>
      </c>
      <c r="T316" s="34">
        <v>1.39</v>
      </c>
      <c r="U316" s="34">
        <f t="shared" si="6"/>
        <v>310</v>
      </c>
      <c r="V316" s="34">
        <f>VLOOKUP(U316,'Powder Core Toroid OD'!$A$2:$B$36,2,FALSE)</f>
        <v>22.9</v>
      </c>
    </row>
    <row r="317" spans="1:22" hidden="1">
      <c r="A317" s="42">
        <v>55306</v>
      </c>
      <c r="B317" s="34" t="s">
        <v>117</v>
      </c>
      <c r="C317" s="158">
        <v>310</v>
      </c>
      <c r="D317" s="34">
        <v>550</v>
      </c>
      <c r="E317" s="34" t="s">
        <v>21</v>
      </c>
      <c r="F317" s="34">
        <v>396</v>
      </c>
      <c r="G317" s="34" t="s">
        <v>0</v>
      </c>
      <c r="H317" s="34">
        <v>5.67</v>
      </c>
      <c r="I317" s="34">
        <v>56.7</v>
      </c>
      <c r="J317" s="34">
        <v>0.52500000000000002</v>
      </c>
      <c r="K317" s="34">
        <v>13.3</v>
      </c>
      <c r="L317" s="41">
        <v>0.93</v>
      </c>
      <c r="M317" s="34">
        <v>23.7</v>
      </c>
      <c r="N317" s="41">
        <v>0.33</v>
      </c>
      <c r="O317" s="34">
        <v>8.39</v>
      </c>
      <c r="P317" s="34">
        <v>0.317</v>
      </c>
      <c r="Q317" s="34">
        <v>31.7</v>
      </c>
      <c r="R317" s="40">
        <v>1.8</v>
      </c>
      <c r="S317" s="34">
        <v>1800</v>
      </c>
      <c r="T317" s="34">
        <v>1.39</v>
      </c>
      <c r="U317" s="34">
        <f t="shared" si="6"/>
        <v>310</v>
      </c>
      <c r="V317" s="34">
        <f>VLOOKUP(U317,'Powder Core Toroid OD'!$A$2:$B$36,2,FALSE)</f>
        <v>22.9</v>
      </c>
    </row>
    <row r="318" spans="1:22" hidden="1">
      <c r="A318" s="42">
        <v>55307</v>
      </c>
      <c r="B318" s="34" t="s">
        <v>116</v>
      </c>
      <c r="C318" s="158">
        <v>310</v>
      </c>
      <c r="D318" s="34">
        <v>200</v>
      </c>
      <c r="E318" s="34" t="s">
        <v>21</v>
      </c>
      <c r="F318" s="34">
        <v>144</v>
      </c>
      <c r="G318" s="34" t="s">
        <v>0</v>
      </c>
      <c r="H318" s="34">
        <v>5.67</v>
      </c>
      <c r="I318" s="34">
        <v>56.7</v>
      </c>
      <c r="J318" s="34">
        <v>0.52500000000000002</v>
      </c>
      <c r="K318" s="34">
        <v>13.3</v>
      </c>
      <c r="L318" s="41">
        <v>0.93</v>
      </c>
      <c r="M318" s="34">
        <v>23.7</v>
      </c>
      <c r="N318" s="41">
        <v>0.33</v>
      </c>
      <c r="O318" s="34">
        <v>8.39</v>
      </c>
      <c r="P318" s="34">
        <v>0.317</v>
      </c>
      <c r="Q318" s="34">
        <v>31.7</v>
      </c>
      <c r="R318" s="40">
        <v>1.8</v>
      </c>
      <c r="S318" s="34">
        <v>1800</v>
      </c>
      <c r="T318" s="34">
        <v>1.39</v>
      </c>
      <c r="U318" s="34">
        <f t="shared" si="6"/>
        <v>310</v>
      </c>
      <c r="V318" s="34">
        <f>VLOOKUP(U318,'Powder Core Toroid OD'!$A$2:$B$36,2,FALSE)</f>
        <v>22.9</v>
      </c>
    </row>
    <row r="319" spans="1:22" hidden="1">
      <c r="A319" s="42">
        <v>55308</v>
      </c>
      <c r="B319" s="34" t="s">
        <v>115</v>
      </c>
      <c r="C319" s="158">
        <v>310</v>
      </c>
      <c r="D319" s="34">
        <v>160</v>
      </c>
      <c r="E319" s="34" t="s">
        <v>21</v>
      </c>
      <c r="F319" s="34">
        <v>115</v>
      </c>
      <c r="G319" s="34" t="s">
        <v>0</v>
      </c>
      <c r="H319" s="34">
        <v>5.67</v>
      </c>
      <c r="I319" s="34">
        <v>56.7</v>
      </c>
      <c r="J319" s="34">
        <v>0.52500000000000002</v>
      </c>
      <c r="K319" s="34">
        <v>13.3</v>
      </c>
      <c r="L319" s="41">
        <v>0.93</v>
      </c>
      <c r="M319" s="34">
        <v>23.7</v>
      </c>
      <c r="N319" s="41">
        <v>0.33</v>
      </c>
      <c r="O319" s="34">
        <v>8.39</v>
      </c>
      <c r="P319" s="34">
        <v>0.317</v>
      </c>
      <c r="Q319" s="34">
        <v>31.7</v>
      </c>
      <c r="R319" s="40">
        <v>1.8</v>
      </c>
      <c r="S319" s="34">
        <v>1800</v>
      </c>
      <c r="T319" s="34">
        <v>1.39</v>
      </c>
      <c r="U319" s="34">
        <f t="shared" si="6"/>
        <v>310</v>
      </c>
      <c r="V319" s="34">
        <f>VLOOKUP(U319,'Powder Core Toroid OD'!$A$2:$B$36,2,FALSE)</f>
        <v>22.9</v>
      </c>
    </row>
    <row r="320" spans="1:22" hidden="1">
      <c r="A320" s="42">
        <v>55309</v>
      </c>
      <c r="B320" s="34" t="s">
        <v>114</v>
      </c>
      <c r="C320" s="158">
        <v>310</v>
      </c>
      <c r="D320" s="34">
        <v>147</v>
      </c>
      <c r="E320" s="34" t="s">
        <v>21</v>
      </c>
      <c r="F320" s="34">
        <v>106</v>
      </c>
      <c r="G320" s="34" t="s">
        <v>0</v>
      </c>
      <c r="H320" s="34">
        <v>5.67</v>
      </c>
      <c r="I320" s="34">
        <v>56.7</v>
      </c>
      <c r="J320" s="34">
        <v>0.52500000000000002</v>
      </c>
      <c r="K320" s="34">
        <v>13.3</v>
      </c>
      <c r="L320" s="41">
        <v>0.93</v>
      </c>
      <c r="M320" s="34">
        <v>23.7</v>
      </c>
      <c r="N320" s="41">
        <v>0.33</v>
      </c>
      <c r="O320" s="34">
        <v>8.39</v>
      </c>
      <c r="P320" s="34">
        <v>0.317</v>
      </c>
      <c r="Q320" s="34">
        <v>31.7</v>
      </c>
      <c r="R320" s="40">
        <v>1.8</v>
      </c>
      <c r="S320" s="34">
        <v>1800</v>
      </c>
      <c r="T320" s="34">
        <v>1.39</v>
      </c>
      <c r="U320" s="34">
        <f t="shared" si="6"/>
        <v>310</v>
      </c>
      <c r="V320" s="34">
        <f>VLOOKUP(U320,'Powder Core Toroid OD'!$A$2:$B$36,2,FALSE)</f>
        <v>22.9</v>
      </c>
    </row>
    <row r="321" spans="1:22" hidden="1">
      <c r="A321" s="42">
        <v>55310</v>
      </c>
      <c r="B321" s="34" t="s">
        <v>113</v>
      </c>
      <c r="C321" s="158">
        <v>310</v>
      </c>
      <c r="D321" s="34">
        <v>125</v>
      </c>
      <c r="E321" s="34" t="s">
        <v>21</v>
      </c>
      <c r="F321" s="34">
        <v>90</v>
      </c>
      <c r="G321" s="34" t="s">
        <v>0</v>
      </c>
      <c r="H321" s="34">
        <v>5.67</v>
      </c>
      <c r="I321" s="34">
        <v>56.7</v>
      </c>
      <c r="J321" s="34">
        <v>0.52500000000000002</v>
      </c>
      <c r="K321" s="34">
        <v>13.3</v>
      </c>
      <c r="L321" s="41">
        <v>0.93</v>
      </c>
      <c r="M321" s="34">
        <v>23.7</v>
      </c>
      <c r="N321" s="41">
        <v>0.33</v>
      </c>
      <c r="O321" s="34">
        <v>8.39</v>
      </c>
      <c r="P321" s="34">
        <v>0.317</v>
      </c>
      <c r="Q321" s="34">
        <v>31.7</v>
      </c>
      <c r="R321" s="40">
        <v>1.8</v>
      </c>
      <c r="S321" s="34">
        <v>1800</v>
      </c>
      <c r="T321" s="34">
        <v>1.39</v>
      </c>
      <c r="U321" s="34">
        <f t="shared" si="6"/>
        <v>310</v>
      </c>
      <c r="V321" s="34">
        <f>VLOOKUP(U321,'Powder Core Toroid OD'!$A$2:$B$36,2,FALSE)</f>
        <v>22.9</v>
      </c>
    </row>
    <row r="322" spans="1:22" hidden="1">
      <c r="A322" s="42">
        <v>55312</v>
      </c>
      <c r="B322" s="34" t="s">
        <v>266</v>
      </c>
      <c r="C322" s="158">
        <v>310</v>
      </c>
      <c r="D322" s="34">
        <v>26</v>
      </c>
      <c r="E322" s="34" t="s">
        <v>21</v>
      </c>
      <c r="F322" s="34">
        <v>19</v>
      </c>
      <c r="G322" s="34" t="s">
        <v>0</v>
      </c>
      <c r="H322" s="34">
        <v>5.67</v>
      </c>
      <c r="I322" s="34">
        <v>56.7</v>
      </c>
      <c r="J322" s="34">
        <v>0.52500000000000002</v>
      </c>
      <c r="K322" s="34">
        <v>13.3</v>
      </c>
      <c r="L322" s="41">
        <v>0.93</v>
      </c>
      <c r="M322" s="34">
        <v>23.7</v>
      </c>
      <c r="N322" s="41">
        <v>0.33</v>
      </c>
      <c r="O322" s="34">
        <v>8.39</v>
      </c>
      <c r="P322" s="34">
        <v>0.317</v>
      </c>
      <c r="Q322" s="34">
        <v>31.7</v>
      </c>
      <c r="R322" s="40">
        <v>1.8</v>
      </c>
      <c r="S322" s="34">
        <v>1800</v>
      </c>
      <c r="T322" s="34">
        <v>1.39</v>
      </c>
      <c r="U322" s="34">
        <f t="shared" si="6"/>
        <v>310</v>
      </c>
      <c r="V322" s="34">
        <f>VLOOKUP(U322,'Powder Core Toroid OD'!$A$2:$B$36,2,FALSE)</f>
        <v>22.9</v>
      </c>
    </row>
    <row r="323" spans="1:22" hidden="1">
      <c r="A323" s="42">
        <v>55313</v>
      </c>
      <c r="B323" s="34" t="s">
        <v>265</v>
      </c>
      <c r="C323" s="158">
        <v>310</v>
      </c>
      <c r="D323" s="34">
        <v>14</v>
      </c>
      <c r="E323" s="34" t="s">
        <v>21</v>
      </c>
      <c r="F323" s="34">
        <v>9.9</v>
      </c>
      <c r="G323" s="34" t="s">
        <v>0</v>
      </c>
      <c r="H323" s="34">
        <v>5.67</v>
      </c>
      <c r="I323" s="34">
        <v>56.7</v>
      </c>
      <c r="J323" s="34">
        <v>0.52500000000000002</v>
      </c>
      <c r="K323" s="34">
        <v>13.3</v>
      </c>
      <c r="L323" s="41">
        <v>0.93</v>
      </c>
      <c r="M323" s="34">
        <v>23.7</v>
      </c>
      <c r="N323" s="41">
        <v>0.33</v>
      </c>
      <c r="O323" s="34">
        <v>8.39</v>
      </c>
      <c r="P323" s="34">
        <v>0.317</v>
      </c>
      <c r="Q323" s="34">
        <v>31.7</v>
      </c>
      <c r="R323" s="40">
        <v>1.8</v>
      </c>
      <c r="S323" s="34">
        <v>1800</v>
      </c>
      <c r="T323" s="34">
        <v>1.39</v>
      </c>
      <c r="U323" s="34">
        <f t="shared" si="6"/>
        <v>310</v>
      </c>
      <c r="V323" s="34">
        <f>VLOOKUP(U323,'Powder Core Toroid OD'!$A$2:$B$36,2,FALSE)</f>
        <v>22.9</v>
      </c>
    </row>
    <row r="324" spans="1:22" hidden="1">
      <c r="A324" s="42">
        <v>55318</v>
      </c>
      <c r="B324" s="34" t="s">
        <v>112</v>
      </c>
      <c r="C324" s="158">
        <v>324</v>
      </c>
      <c r="D324" s="34">
        <v>173</v>
      </c>
      <c r="E324" s="34" t="s">
        <v>21</v>
      </c>
      <c r="F324" s="34">
        <v>162</v>
      </c>
      <c r="G324" s="34" t="s">
        <v>0</v>
      </c>
      <c r="H324" s="34">
        <v>8.98</v>
      </c>
      <c r="I324" s="34">
        <v>89.800000000000011</v>
      </c>
      <c r="J324" s="34">
        <v>0.84799999999999998</v>
      </c>
      <c r="K324" s="34">
        <v>21.5</v>
      </c>
      <c r="L324" s="34">
        <v>1.4450000000000001</v>
      </c>
      <c r="M324" s="34">
        <v>36.71</v>
      </c>
      <c r="N324" s="34">
        <v>0.44700000000000001</v>
      </c>
      <c r="O324" s="34">
        <v>11.4</v>
      </c>
      <c r="P324" s="34">
        <v>0.67800000000000005</v>
      </c>
      <c r="Q324" s="34">
        <v>67.800000000000011</v>
      </c>
      <c r="R324" s="40">
        <v>6.09</v>
      </c>
      <c r="S324" s="34">
        <v>6090</v>
      </c>
      <c r="T324" s="34">
        <v>3.64</v>
      </c>
      <c r="U324" s="34">
        <f t="shared" si="6"/>
        <v>324</v>
      </c>
      <c r="V324" s="34">
        <f>VLOOKUP(U324,'Powder Core Toroid OD'!$A$2:$B$36,2,FALSE)</f>
        <v>35.799999999999997</v>
      </c>
    </row>
    <row r="325" spans="1:22" hidden="1">
      <c r="A325" s="42">
        <v>55319</v>
      </c>
      <c r="B325" s="34" t="s">
        <v>111</v>
      </c>
      <c r="C325" s="158">
        <v>324</v>
      </c>
      <c r="D325" s="34">
        <v>300</v>
      </c>
      <c r="E325" s="34" t="s">
        <v>21</v>
      </c>
      <c r="F325" s="34">
        <v>281</v>
      </c>
      <c r="G325" s="34" t="s">
        <v>0</v>
      </c>
      <c r="H325" s="34">
        <v>8.98</v>
      </c>
      <c r="I325" s="34">
        <v>89.800000000000011</v>
      </c>
      <c r="J325" s="34">
        <v>0.84799999999999998</v>
      </c>
      <c r="K325" s="34">
        <v>21.5</v>
      </c>
      <c r="L325" s="34">
        <v>1.4450000000000001</v>
      </c>
      <c r="M325" s="34">
        <v>36.71</v>
      </c>
      <c r="N325" s="34">
        <v>0.44700000000000001</v>
      </c>
      <c r="O325" s="34">
        <v>11.4</v>
      </c>
      <c r="P325" s="34">
        <v>0.67800000000000005</v>
      </c>
      <c r="Q325" s="34">
        <v>67.800000000000011</v>
      </c>
      <c r="R325" s="40">
        <v>6.09</v>
      </c>
      <c r="S325" s="34">
        <v>6090</v>
      </c>
      <c r="T325" s="34">
        <v>3.64</v>
      </c>
      <c r="U325" s="34">
        <f t="shared" si="6"/>
        <v>324</v>
      </c>
      <c r="V325" s="34">
        <f>VLOOKUP(U325,'Powder Core Toroid OD'!$A$2:$B$36,2,FALSE)</f>
        <v>35.799999999999997</v>
      </c>
    </row>
    <row r="326" spans="1:22" hidden="1">
      <c r="A326" s="42">
        <v>55320</v>
      </c>
      <c r="B326" s="34" t="s">
        <v>110</v>
      </c>
      <c r="C326" s="158">
        <v>324</v>
      </c>
      <c r="D326" s="34">
        <v>550</v>
      </c>
      <c r="E326" s="34" t="s">
        <v>21</v>
      </c>
      <c r="F326" s="34">
        <v>515</v>
      </c>
      <c r="G326" s="34" t="s">
        <v>0</v>
      </c>
      <c r="H326" s="34">
        <v>8.98</v>
      </c>
      <c r="I326" s="34">
        <v>89.800000000000011</v>
      </c>
      <c r="J326" s="34">
        <v>0.84799999999999998</v>
      </c>
      <c r="K326" s="34">
        <v>21.5</v>
      </c>
      <c r="L326" s="34">
        <v>1.4450000000000001</v>
      </c>
      <c r="M326" s="34">
        <v>36.71</v>
      </c>
      <c r="N326" s="34">
        <v>0.44700000000000001</v>
      </c>
      <c r="O326" s="34">
        <v>11.4</v>
      </c>
      <c r="P326" s="34">
        <v>0.67800000000000005</v>
      </c>
      <c r="Q326" s="34">
        <v>67.800000000000011</v>
      </c>
      <c r="R326" s="40">
        <v>6.09</v>
      </c>
      <c r="S326" s="34">
        <v>6090</v>
      </c>
      <c r="T326" s="34">
        <v>3.64</v>
      </c>
      <c r="U326" s="34">
        <f t="shared" si="6"/>
        <v>324</v>
      </c>
      <c r="V326" s="34">
        <f>VLOOKUP(U326,'Powder Core Toroid OD'!$A$2:$B$36,2,FALSE)</f>
        <v>35.799999999999997</v>
      </c>
    </row>
    <row r="327" spans="1:22" hidden="1">
      <c r="A327" s="42">
        <v>55321</v>
      </c>
      <c r="B327" s="34" t="s">
        <v>109</v>
      </c>
      <c r="C327" s="158">
        <v>324</v>
      </c>
      <c r="D327" s="34">
        <v>200</v>
      </c>
      <c r="E327" s="34" t="s">
        <v>21</v>
      </c>
      <c r="F327" s="34">
        <v>187</v>
      </c>
      <c r="G327" s="34" t="s">
        <v>0</v>
      </c>
      <c r="H327" s="34">
        <v>8.98</v>
      </c>
      <c r="I327" s="34">
        <v>89.800000000000011</v>
      </c>
      <c r="J327" s="34">
        <v>0.84799999999999998</v>
      </c>
      <c r="K327" s="34">
        <v>21.5</v>
      </c>
      <c r="L327" s="34">
        <v>1.4450000000000001</v>
      </c>
      <c r="M327" s="34">
        <v>36.71</v>
      </c>
      <c r="N327" s="34">
        <v>0.44700000000000001</v>
      </c>
      <c r="O327" s="34">
        <v>11.4</v>
      </c>
      <c r="P327" s="34">
        <v>0.67800000000000005</v>
      </c>
      <c r="Q327" s="34">
        <v>67.800000000000011</v>
      </c>
      <c r="R327" s="40">
        <v>6.09</v>
      </c>
      <c r="S327" s="34">
        <v>6090</v>
      </c>
      <c r="T327" s="34">
        <v>3.64</v>
      </c>
      <c r="U327" s="34">
        <f t="shared" si="6"/>
        <v>324</v>
      </c>
      <c r="V327" s="34">
        <f>VLOOKUP(U327,'Powder Core Toroid OD'!$A$2:$B$36,2,FALSE)</f>
        <v>35.799999999999997</v>
      </c>
    </row>
    <row r="328" spans="1:22" hidden="1">
      <c r="A328" s="42">
        <v>55322</v>
      </c>
      <c r="B328" s="34" t="s">
        <v>108</v>
      </c>
      <c r="C328" s="158">
        <v>324</v>
      </c>
      <c r="D328" s="34">
        <v>160</v>
      </c>
      <c r="E328" s="34" t="s">
        <v>21</v>
      </c>
      <c r="F328" s="34">
        <v>150</v>
      </c>
      <c r="G328" s="34" t="s">
        <v>0</v>
      </c>
      <c r="H328" s="34">
        <v>8.98</v>
      </c>
      <c r="I328" s="34">
        <v>89.800000000000011</v>
      </c>
      <c r="J328" s="34">
        <v>0.84799999999999998</v>
      </c>
      <c r="K328" s="34">
        <v>21.5</v>
      </c>
      <c r="L328" s="34">
        <v>1.4450000000000001</v>
      </c>
      <c r="M328" s="34">
        <v>36.71</v>
      </c>
      <c r="N328" s="34">
        <v>0.44700000000000001</v>
      </c>
      <c r="O328" s="34">
        <v>11.4</v>
      </c>
      <c r="P328" s="34">
        <v>0.67800000000000005</v>
      </c>
      <c r="Q328" s="34">
        <v>67.800000000000011</v>
      </c>
      <c r="R328" s="40">
        <v>6.09</v>
      </c>
      <c r="S328" s="34">
        <v>6090</v>
      </c>
      <c r="T328" s="34">
        <v>3.64</v>
      </c>
      <c r="U328" s="34">
        <f t="shared" si="6"/>
        <v>324</v>
      </c>
      <c r="V328" s="34">
        <f>VLOOKUP(U328,'Powder Core Toroid OD'!$A$2:$B$36,2,FALSE)</f>
        <v>35.799999999999997</v>
      </c>
    </row>
    <row r="329" spans="1:22" hidden="1">
      <c r="A329" s="42">
        <v>55323</v>
      </c>
      <c r="B329" s="34" t="s">
        <v>107</v>
      </c>
      <c r="C329" s="158">
        <v>324</v>
      </c>
      <c r="D329" s="34">
        <v>147</v>
      </c>
      <c r="E329" s="34" t="s">
        <v>21</v>
      </c>
      <c r="F329" s="34">
        <v>138</v>
      </c>
      <c r="G329" s="34" t="s">
        <v>0</v>
      </c>
      <c r="H329" s="34">
        <v>8.98</v>
      </c>
      <c r="I329" s="34">
        <v>89.800000000000011</v>
      </c>
      <c r="J329" s="34">
        <v>0.84799999999999998</v>
      </c>
      <c r="K329" s="34">
        <v>21.5</v>
      </c>
      <c r="L329" s="34">
        <v>1.4450000000000001</v>
      </c>
      <c r="M329" s="34">
        <v>36.71</v>
      </c>
      <c r="N329" s="34">
        <v>0.44700000000000001</v>
      </c>
      <c r="O329" s="34">
        <v>11.4</v>
      </c>
      <c r="P329" s="34">
        <v>0.67800000000000005</v>
      </c>
      <c r="Q329" s="34">
        <v>67.800000000000011</v>
      </c>
      <c r="R329" s="40">
        <v>6.09</v>
      </c>
      <c r="S329" s="34">
        <v>6090</v>
      </c>
      <c r="T329" s="34">
        <v>3.64</v>
      </c>
      <c r="U329" s="34">
        <f t="shared" si="6"/>
        <v>324</v>
      </c>
      <c r="V329" s="34">
        <f>VLOOKUP(U329,'Powder Core Toroid OD'!$A$2:$B$36,2,FALSE)</f>
        <v>35.799999999999997</v>
      </c>
    </row>
    <row r="330" spans="1:22" hidden="1">
      <c r="A330" s="42">
        <v>55324</v>
      </c>
      <c r="B330" s="34" t="s">
        <v>106</v>
      </c>
      <c r="C330" s="158">
        <v>324</v>
      </c>
      <c r="D330" s="34">
        <v>125</v>
      </c>
      <c r="E330" s="34" t="s">
        <v>21</v>
      </c>
      <c r="F330" s="34">
        <v>117</v>
      </c>
      <c r="G330" s="34" t="s">
        <v>0</v>
      </c>
      <c r="H330" s="34">
        <v>8.98</v>
      </c>
      <c r="I330" s="34">
        <v>89.800000000000011</v>
      </c>
      <c r="J330" s="34">
        <v>0.84799999999999998</v>
      </c>
      <c r="K330" s="34">
        <v>21.5</v>
      </c>
      <c r="L330" s="34">
        <v>1.4450000000000001</v>
      </c>
      <c r="M330" s="34">
        <v>36.71</v>
      </c>
      <c r="N330" s="34">
        <v>0.44700000000000001</v>
      </c>
      <c r="O330" s="34">
        <v>11.4</v>
      </c>
      <c r="P330" s="34">
        <v>0.67800000000000005</v>
      </c>
      <c r="Q330" s="34">
        <v>67.800000000000011</v>
      </c>
      <c r="R330" s="40">
        <v>6.09</v>
      </c>
      <c r="S330" s="34">
        <v>6090</v>
      </c>
      <c r="T330" s="34">
        <v>3.64</v>
      </c>
      <c r="U330" s="34">
        <f t="shared" si="6"/>
        <v>324</v>
      </c>
      <c r="V330" s="34">
        <f>VLOOKUP(U330,'Powder Core Toroid OD'!$A$2:$B$36,2,FALSE)</f>
        <v>35.799999999999997</v>
      </c>
    </row>
    <row r="331" spans="1:22" hidden="1">
      <c r="A331" s="42">
        <v>55326</v>
      </c>
      <c r="B331" s="34" t="s">
        <v>264</v>
      </c>
      <c r="C331" s="158">
        <v>324</v>
      </c>
      <c r="D331" s="34">
        <v>26</v>
      </c>
      <c r="E331" s="34" t="s">
        <v>21</v>
      </c>
      <c r="F331" s="34">
        <v>24</v>
      </c>
      <c r="G331" s="34" t="s">
        <v>0</v>
      </c>
      <c r="H331" s="34">
        <v>8.98</v>
      </c>
      <c r="I331" s="34">
        <v>89.800000000000011</v>
      </c>
      <c r="J331" s="34">
        <v>0.84799999999999998</v>
      </c>
      <c r="K331" s="34">
        <v>21.5</v>
      </c>
      <c r="L331" s="34">
        <v>1.4450000000000001</v>
      </c>
      <c r="M331" s="34">
        <v>36.71</v>
      </c>
      <c r="N331" s="34">
        <v>0.44700000000000001</v>
      </c>
      <c r="O331" s="34">
        <v>11.4</v>
      </c>
      <c r="P331" s="34">
        <v>0.67800000000000005</v>
      </c>
      <c r="Q331" s="34">
        <v>67.800000000000011</v>
      </c>
      <c r="R331" s="40">
        <v>6.09</v>
      </c>
      <c r="S331" s="34">
        <v>6090</v>
      </c>
      <c r="T331" s="34">
        <v>3.64</v>
      </c>
      <c r="U331" s="34">
        <f t="shared" si="6"/>
        <v>324</v>
      </c>
      <c r="V331" s="34">
        <f>VLOOKUP(U331,'Powder Core Toroid OD'!$A$2:$B$36,2,FALSE)</f>
        <v>35.799999999999997</v>
      </c>
    </row>
    <row r="332" spans="1:22" hidden="1">
      <c r="A332" s="42">
        <v>55327</v>
      </c>
      <c r="B332" s="34" t="s">
        <v>263</v>
      </c>
      <c r="C332" s="158">
        <v>324</v>
      </c>
      <c r="D332" s="34">
        <v>14</v>
      </c>
      <c r="E332" s="34" t="s">
        <v>21</v>
      </c>
      <c r="F332" s="34">
        <v>13</v>
      </c>
      <c r="G332" s="34" t="s">
        <v>0</v>
      </c>
      <c r="H332" s="34">
        <v>8.98</v>
      </c>
      <c r="I332" s="34">
        <v>89.800000000000011</v>
      </c>
      <c r="J332" s="34">
        <v>0.84799999999999998</v>
      </c>
      <c r="K332" s="34">
        <v>21.5</v>
      </c>
      <c r="L332" s="34">
        <v>1.4450000000000001</v>
      </c>
      <c r="M332" s="34">
        <v>36.71</v>
      </c>
      <c r="N332" s="34">
        <v>0.44700000000000001</v>
      </c>
      <c r="O332" s="34">
        <v>11.4</v>
      </c>
      <c r="P332" s="34">
        <v>0.67800000000000005</v>
      </c>
      <c r="Q332" s="34">
        <v>67.800000000000011</v>
      </c>
      <c r="R332" s="40">
        <v>6.09</v>
      </c>
      <c r="S332" s="34">
        <v>6090</v>
      </c>
      <c r="T332" s="34">
        <v>3.64</v>
      </c>
      <c r="U332" s="34">
        <f t="shared" si="6"/>
        <v>324</v>
      </c>
      <c r="V332" s="34">
        <f>VLOOKUP(U332,'Powder Core Toroid OD'!$A$2:$B$36,2,FALSE)</f>
        <v>35.799999999999997</v>
      </c>
    </row>
    <row r="333" spans="1:22" hidden="1">
      <c r="A333" s="42">
        <v>55344</v>
      </c>
      <c r="B333" s="34" t="s">
        <v>105</v>
      </c>
      <c r="C333" s="158">
        <v>350</v>
      </c>
      <c r="D333" s="34">
        <v>173</v>
      </c>
      <c r="E333" s="34" t="s">
        <v>21</v>
      </c>
      <c r="F333" s="34">
        <v>146</v>
      </c>
      <c r="G333" s="34" t="s">
        <v>0</v>
      </c>
      <c r="H333" s="34">
        <v>5.88</v>
      </c>
      <c r="I333" s="34">
        <v>58.8</v>
      </c>
      <c r="J333" s="34">
        <v>0.54200000000000004</v>
      </c>
      <c r="K333" s="34">
        <v>13.7</v>
      </c>
      <c r="L333" s="34">
        <v>0.95799999999999996</v>
      </c>
      <c r="M333" s="34">
        <v>24.4</v>
      </c>
      <c r="N333" s="41">
        <v>0.38</v>
      </c>
      <c r="O333" s="34">
        <v>9.66</v>
      </c>
      <c r="P333" s="34">
        <v>0.38800000000000001</v>
      </c>
      <c r="Q333" s="34">
        <v>38.800000000000004</v>
      </c>
      <c r="R333" s="40">
        <v>2.2799999999999998</v>
      </c>
      <c r="S333" s="34">
        <v>2280</v>
      </c>
      <c r="T333" s="34">
        <v>1.49</v>
      </c>
      <c r="U333" s="34">
        <f t="shared" si="6"/>
        <v>350</v>
      </c>
      <c r="V333" s="34">
        <f>VLOOKUP(U333,'Powder Core Toroid OD'!$A$2:$B$36,2,FALSE)</f>
        <v>23.6</v>
      </c>
    </row>
    <row r="334" spans="1:22" hidden="1">
      <c r="A334" s="42">
        <v>55345</v>
      </c>
      <c r="B334" s="34" t="s">
        <v>104</v>
      </c>
      <c r="C334" s="158">
        <v>350</v>
      </c>
      <c r="D334" s="34">
        <v>300</v>
      </c>
      <c r="E334" s="34" t="s">
        <v>21</v>
      </c>
      <c r="F334" s="34">
        <v>253</v>
      </c>
      <c r="G334" s="34" t="s">
        <v>0</v>
      </c>
      <c r="H334" s="34">
        <v>5.88</v>
      </c>
      <c r="I334" s="34">
        <v>58.8</v>
      </c>
      <c r="J334" s="34">
        <v>0.54200000000000004</v>
      </c>
      <c r="K334" s="34">
        <v>13.7</v>
      </c>
      <c r="L334" s="34">
        <v>0.95799999999999996</v>
      </c>
      <c r="M334" s="34">
        <v>24.4</v>
      </c>
      <c r="N334" s="41">
        <v>0.38</v>
      </c>
      <c r="O334" s="34">
        <v>9.66</v>
      </c>
      <c r="P334" s="34">
        <v>0.38800000000000001</v>
      </c>
      <c r="Q334" s="34">
        <v>38.800000000000004</v>
      </c>
      <c r="R334" s="40">
        <v>2.2799999999999998</v>
      </c>
      <c r="S334" s="34">
        <v>2280</v>
      </c>
      <c r="T334" s="34">
        <v>1.49</v>
      </c>
      <c r="U334" s="34">
        <f t="shared" si="6"/>
        <v>350</v>
      </c>
      <c r="V334" s="34">
        <f>VLOOKUP(U334,'Powder Core Toroid OD'!$A$2:$B$36,2,FALSE)</f>
        <v>23.6</v>
      </c>
    </row>
    <row r="335" spans="1:22" hidden="1">
      <c r="A335" s="42">
        <v>55347</v>
      </c>
      <c r="B335" s="34" t="s">
        <v>103</v>
      </c>
      <c r="C335" s="158">
        <v>350</v>
      </c>
      <c r="D335" s="34">
        <v>200</v>
      </c>
      <c r="E335" s="34" t="s">
        <v>21</v>
      </c>
      <c r="F335" s="34">
        <v>169</v>
      </c>
      <c r="G335" s="34" t="s">
        <v>0</v>
      </c>
      <c r="H335" s="34">
        <v>5.88</v>
      </c>
      <c r="I335" s="34">
        <v>58.8</v>
      </c>
      <c r="J335" s="34">
        <v>0.54200000000000004</v>
      </c>
      <c r="K335" s="34">
        <v>13.7</v>
      </c>
      <c r="L335" s="34">
        <v>0.95799999999999996</v>
      </c>
      <c r="M335" s="34">
        <v>24.4</v>
      </c>
      <c r="N335" s="41">
        <v>0.38</v>
      </c>
      <c r="O335" s="34">
        <v>9.66</v>
      </c>
      <c r="P335" s="34">
        <v>0.38800000000000001</v>
      </c>
      <c r="Q335" s="34">
        <v>38.800000000000004</v>
      </c>
      <c r="R335" s="40">
        <v>2.2799999999999998</v>
      </c>
      <c r="S335" s="34">
        <v>2280</v>
      </c>
      <c r="T335" s="34">
        <v>1.49</v>
      </c>
      <c r="U335" s="34">
        <f t="shared" si="6"/>
        <v>350</v>
      </c>
      <c r="V335" s="34">
        <f>VLOOKUP(U335,'Powder Core Toroid OD'!$A$2:$B$36,2,FALSE)</f>
        <v>23.6</v>
      </c>
    </row>
    <row r="336" spans="1:22" hidden="1">
      <c r="A336" s="42">
        <v>55348</v>
      </c>
      <c r="B336" s="34" t="s">
        <v>102</v>
      </c>
      <c r="C336" s="158">
        <v>350</v>
      </c>
      <c r="D336" s="34">
        <v>160</v>
      </c>
      <c r="E336" s="34" t="s">
        <v>21</v>
      </c>
      <c r="F336" s="34">
        <v>135</v>
      </c>
      <c r="G336" s="34" t="s">
        <v>0</v>
      </c>
      <c r="H336" s="34">
        <v>5.88</v>
      </c>
      <c r="I336" s="34">
        <v>58.8</v>
      </c>
      <c r="J336" s="34">
        <v>0.54200000000000004</v>
      </c>
      <c r="K336" s="34">
        <v>13.7</v>
      </c>
      <c r="L336" s="34">
        <v>0.95799999999999996</v>
      </c>
      <c r="M336" s="34">
        <v>24.4</v>
      </c>
      <c r="N336" s="41">
        <v>0.38</v>
      </c>
      <c r="O336" s="34">
        <v>9.66</v>
      </c>
      <c r="P336" s="34">
        <v>0.38800000000000001</v>
      </c>
      <c r="Q336" s="34">
        <v>38.800000000000004</v>
      </c>
      <c r="R336" s="40">
        <v>2.2799999999999998</v>
      </c>
      <c r="S336" s="34">
        <v>2280</v>
      </c>
      <c r="T336" s="34">
        <v>1.49</v>
      </c>
      <c r="U336" s="34">
        <f t="shared" si="6"/>
        <v>350</v>
      </c>
      <c r="V336" s="34">
        <f>VLOOKUP(U336,'Powder Core Toroid OD'!$A$2:$B$36,2,FALSE)</f>
        <v>23.6</v>
      </c>
    </row>
    <row r="337" spans="1:22" hidden="1">
      <c r="A337" s="42">
        <v>55349</v>
      </c>
      <c r="B337" s="34" t="s">
        <v>101</v>
      </c>
      <c r="C337" s="158">
        <v>350</v>
      </c>
      <c r="D337" s="34">
        <v>147</v>
      </c>
      <c r="E337" s="34" t="s">
        <v>21</v>
      </c>
      <c r="F337" s="34">
        <v>124</v>
      </c>
      <c r="G337" s="34" t="s">
        <v>0</v>
      </c>
      <c r="H337" s="34">
        <v>5.88</v>
      </c>
      <c r="I337" s="34">
        <v>58.8</v>
      </c>
      <c r="J337" s="34">
        <v>0.54200000000000004</v>
      </c>
      <c r="K337" s="34">
        <v>13.7</v>
      </c>
      <c r="L337" s="34">
        <v>0.95799999999999996</v>
      </c>
      <c r="M337" s="34">
        <v>24.4</v>
      </c>
      <c r="N337" s="41">
        <v>0.38</v>
      </c>
      <c r="O337" s="34">
        <v>9.66</v>
      </c>
      <c r="P337" s="34">
        <v>0.38800000000000001</v>
      </c>
      <c r="Q337" s="34">
        <v>38.800000000000004</v>
      </c>
      <c r="R337" s="40">
        <v>2.2799999999999998</v>
      </c>
      <c r="S337" s="34">
        <v>2280</v>
      </c>
      <c r="T337" s="34">
        <v>1.49</v>
      </c>
      <c r="U337" s="34">
        <f t="shared" si="6"/>
        <v>350</v>
      </c>
      <c r="V337" s="34">
        <f>VLOOKUP(U337,'Powder Core Toroid OD'!$A$2:$B$36,2,FALSE)</f>
        <v>23.6</v>
      </c>
    </row>
    <row r="338" spans="1:22" hidden="1">
      <c r="A338" s="42">
        <v>55350</v>
      </c>
      <c r="B338" s="34" t="s">
        <v>100</v>
      </c>
      <c r="C338" s="158">
        <v>350</v>
      </c>
      <c r="D338" s="34">
        <v>125</v>
      </c>
      <c r="E338" s="34" t="s">
        <v>21</v>
      </c>
      <c r="F338" s="34">
        <v>105</v>
      </c>
      <c r="G338" s="34" t="s">
        <v>0</v>
      </c>
      <c r="H338" s="34">
        <v>5.88</v>
      </c>
      <c r="I338" s="34">
        <v>58.8</v>
      </c>
      <c r="J338" s="34">
        <v>0.54200000000000004</v>
      </c>
      <c r="K338" s="34">
        <v>13.7</v>
      </c>
      <c r="L338" s="34">
        <v>0.95799999999999996</v>
      </c>
      <c r="M338" s="34">
        <v>24.4</v>
      </c>
      <c r="N338" s="41">
        <v>0.38</v>
      </c>
      <c r="O338" s="34">
        <v>9.66</v>
      </c>
      <c r="P338" s="34">
        <v>0.38800000000000001</v>
      </c>
      <c r="Q338" s="34">
        <v>38.800000000000004</v>
      </c>
      <c r="R338" s="40">
        <v>2.2799999999999998</v>
      </c>
      <c r="S338" s="34">
        <v>2280</v>
      </c>
      <c r="T338" s="34">
        <v>1.49</v>
      </c>
      <c r="U338" s="34">
        <f t="shared" si="6"/>
        <v>350</v>
      </c>
      <c r="V338" s="34">
        <f>VLOOKUP(U338,'Powder Core Toroid OD'!$A$2:$B$36,2,FALSE)</f>
        <v>23.6</v>
      </c>
    </row>
    <row r="339" spans="1:22" hidden="1">
      <c r="A339" s="42">
        <v>55351</v>
      </c>
      <c r="B339" s="34" t="s">
        <v>99</v>
      </c>
      <c r="C339" s="158">
        <v>350</v>
      </c>
      <c r="D339" s="34">
        <v>60</v>
      </c>
      <c r="E339" s="34" t="s">
        <v>21</v>
      </c>
      <c r="F339" s="34">
        <v>51</v>
      </c>
      <c r="G339" s="34" t="s">
        <v>0</v>
      </c>
      <c r="H339" s="34">
        <v>5.88</v>
      </c>
      <c r="I339" s="34">
        <v>58.8</v>
      </c>
      <c r="J339" s="34">
        <v>0.54200000000000004</v>
      </c>
      <c r="K339" s="34">
        <v>13.7</v>
      </c>
      <c r="L339" s="34">
        <v>0.95799999999999996</v>
      </c>
      <c r="M339" s="34">
        <v>24.4</v>
      </c>
      <c r="N339" s="41">
        <v>0.38</v>
      </c>
      <c r="O339" s="34">
        <v>9.66</v>
      </c>
      <c r="P339" s="34">
        <v>0.38800000000000001</v>
      </c>
      <c r="Q339" s="34">
        <v>38.800000000000004</v>
      </c>
      <c r="R339" s="40">
        <v>2.2799999999999998</v>
      </c>
      <c r="S339" s="34">
        <v>2280</v>
      </c>
      <c r="T339" s="34">
        <v>1.49</v>
      </c>
      <c r="U339" s="34">
        <f t="shared" si="6"/>
        <v>350</v>
      </c>
      <c r="V339" s="34">
        <f>VLOOKUP(U339,'Powder Core Toroid OD'!$A$2:$B$36,2,FALSE)</f>
        <v>23.6</v>
      </c>
    </row>
    <row r="340" spans="1:22" hidden="1">
      <c r="A340" s="42">
        <v>55352</v>
      </c>
      <c r="B340" s="34" t="s">
        <v>262</v>
      </c>
      <c r="C340" s="158">
        <v>350</v>
      </c>
      <c r="D340" s="34">
        <v>26</v>
      </c>
      <c r="E340" s="34" t="s">
        <v>21</v>
      </c>
      <c r="F340" s="34">
        <v>22</v>
      </c>
      <c r="G340" s="34" t="s">
        <v>0</v>
      </c>
      <c r="H340" s="34">
        <v>5.88</v>
      </c>
      <c r="I340" s="34">
        <v>58.8</v>
      </c>
      <c r="J340" s="34">
        <v>0.54200000000000004</v>
      </c>
      <c r="K340" s="34">
        <v>13.7</v>
      </c>
      <c r="L340" s="34">
        <v>0.95799999999999996</v>
      </c>
      <c r="M340" s="34">
        <v>24.4</v>
      </c>
      <c r="N340" s="41">
        <v>0.38</v>
      </c>
      <c r="O340" s="34">
        <v>9.66</v>
      </c>
      <c r="P340" s="34">
        <v>0.38800000000000001</v>
      </c>
      <c r="Q340" s="34">
        <v>38.800000000000004</v>
      </c>
      <c r="R340" s="40">
        <v>2.2799999999999998</v>
      </c>
      <c r="S340" s="34">
        <v>2280</v>
      </c>
      <c r="T340" s="34">
        <v>1.49</v>
      </c>
      <c r="U340" s="34">
        <f t="shared" si="6"/>
        <v>350</v>
      </c>
      <c r="V340" s="34">
        <f>VLOOKUP(U340,'Powder Core Toroid OD'!$A$2:$B$36,2,FALSE)</f>
        <v>23.6</v>
      </c>
    </row>
    <row r="341" spans="1:22" hidden="1">
      <c r="A341" s="42">
        <v>55353</v>
      </c>
      <c r="B341" s="34" t="s">
        <v>261</v>
      </c>
      <c r="C341" s="158">
        <v>350</v>
      </c>
      <c r="D341" s="34">
        <v>14</v>
      </c>
      <c r="E341" s="34" t="s">
        <v>21</v>
      </c>
      <c r="F341" s="34">
        <v>12</v>
      </c>
      <c r="G341" s="34" t="s">
        <v>0</v>
      </c>
      <c r="H341" s="34">
        <v>5.88</v>
      </c>
      <c r="I341" s="34">
        <v>58.8</v>
      </c>
      <c r="J341" s="34">
        <v>0.54200000000000004</v>
      </c>
      <c r="K341" s="34">
        <v>13.7</v>
      </c>
      <c r="L341" s="34">
        <v>0.95799999999999996</v>
      </c>
      <c r="M341" s="34">
        <v>24.4</v>
      </c>
      <c r="N341" s="41">
        <v>0.38</v>
      </c>
      <c r="O341" s="34">
        <v>9.66</v>
      </c>
      <c r="P341" s="34">
        <v>0.38800000000000001</v>
      </c>
      <c r="Q341" s="34">
        <v>38.800000000000004</v>
      </c>
      <c r="R341" s="40">
        <v>2.2799999999999998</v>
      </c>
      <c r="S341" s="34">
        <v>2280</v>
      </c>
      <c r="T341" s="34">
        <v>1.49</v>
      </c>
      <c r="U341" s="34">
        <f t="shared" si="6"/>
        <v>350</v>
      </c>
      <c r="V341" s="34">
        <f>VLOOKUP(U341,'Powder Core Toroid OD'!$A$2:$B$36,2,FALSE)</f>
        <v>23.6</v>
      </c>
    </row>
    <row r="342" spans="1:22" hidden="1">
      <c r="A342" s="42">
        <v>55374</v>
      </c>
      <c r="B342" s="34" t="s">
        <v>98</v>
      </c>
      <c r="C342" s="158">
        <v>380</v>
      </c>
      <c r="D342" s="34">
        <v>173</v>
      </c>
      <c r="E342" s="34" t="s">
        <v>21</v>
      </c>
      <c r="F342" s="34">
        <v>123</v>
      </c>
      <c r="G342" s="34" t="s">
        <v>0</v>
      </c>
      <c r="H342" s="34">
        <v>4.1399999999999997</v>
      </c>
      <c r="I342" s="34">
        <v>41.4</v>
      </c>
      <c r="J342" s="34">
        <v>0.35499999999999998</v>
      </c>
      <c r="K342" s="34">
        <v>9.01</v>
      </c>
      <c r="L342" s="41">
        <v>0.71</v>
      </c>
      <c r="M342" s="34">
        <v>18.100000000000001</v>
      </c>
      <c r="N342" s="41">
        <v>0.28000000000000003</v>
      </c>
      <c r="O342" s="34">
        <v>7.12</v>
      </c>
      <c r="P342" s="34">
        <v>0.23200000000000001</v>
      </c>
      <c r="Q342" s="34">
        <v>23.200000000000003</v>
      </c>
      <c r="R342" s="41">
        <v>0.96048</v>
      </c>
      <c r="S342" s="34">
        <v>960</v>
      </c>
      <c r="T342" s="34">
        <v>0.63800000000000001</v>
      </c>
      <c r="U342" s="34">
        <f t="shared" si="6"/>
        <v>380</v>
      </c>
      <c r="V342" s="34">
        <f>VLOOKUP(U342,'Powder Core Toroid OD'!$A$2:$B$36,2,FALSE)</f>
        <v>17.3</v>
      </c>
    </row>
    <row r="343" spans="1:22" hidden="1">
      <c r="A343" s="42">
        <v>55375</v>
      </c>
      <c r="B343" s="34" t="s">
        <v>97</v>
      </c>
      <c r="C343" s="158">
        <v>380</v>
      </c>
      <c r="D343" s="34">
        <v>300</v>
      </c>
      <c r="E343" s="34" t="s">
        <v>21</v>
      </c>
      <c r="F343" s="34">
        <v>214</v>
      </c>
      <c r="G343" s="34" t="s">
        <v>0</v>
      </c>
      <c r="H343" s="34">
        <v>4.1399999999999997</v>
      </c>
      <c r="I343" s="34">
        <v>41.4</v>
      </c>
      <c r="J343" s="34">
        <v>0.35499999999999998</v>
      </c>
      <c r="K343" s="34">
        <v>9.01</v>
      </c>
      <c r="L343" s="41">
        <v>0.71</v>
      </c>
      <c r="M343" s="34">
        <v>18.100000000000001</v>
      </c>
      <c r="N343" s="41">
        <v>0.28000000000000003</v>
      </c>
      <c r="O343" s="34">
        <v>7.12</v>
      </c>
      <c r="P343" s="34">
        <v>0.23200000000000001</v>
      </c>
      <c r="Q343" s="34">
        <v>23.200000000000003</v>
      </c>
      <c r="R343" s="41">
        <v>0.96048</v>
      </c>
      <c r="S343" s="34">
        <v>960</v>
      </c>
      <c r="T343" s="34">
        <v>0.63800000000000001</v>
      </c>
      <c r="U343" s="34">
        <f t="shared" si="6"/>
        <v>380</v>
      </c>
      <c r="V343" s="34">
        <f>VLOOKUP(U343,'Powder Core Toroid OD'!$A$2:$B$36,2,FALSE)</f>
        <v>17.3</v>
      </c>
    </row>
    <row r="344" spans="1:22" hidden="1">
      <c r="A344" s="42">
        <v>55377</v>
      </c>
      <c r="B344" s="34" t="s">
        <v>96</v>
      </c>
      <c r="C344" s="158">
        <v>380</v>
      </c>
      <c r="D344" s="34">
        <v>200</v>
      </c>
      <c r="E344" s="34" t="s">
        <v>21</v>
      </c>
      <c r="F344" s="34">
        <v>142</v>
      </c>
      <c r="G344" s="34" t="s">
        <v>0</v>
      </c>
      <c r="H344" s="34">
        <v>4.1399999999999997</v>
      </c>
      <c r="I344" s="34">
        <v>41.4</v>
      </c>
      <c r="J344" s="34">
        <v>0.35499999999999998</v>
      </c>
      <c r="K344" s="34">
        <v>9.01</v>
      </c>
      <c r="L344" s="41">
        <v>0.71</v>
      </c>
      <c r="M344" s="34">
        <v>18.100000000000001</v>
      </c>
      <c r="N344" s="41">
        <v>0.28000000000000003</v>
      </c>
      <c r="O344" s="34">
        <v>7.12</v>
      </c>
      <c r="P344" s="34">
        <v>0.23200000000000001</v>
      </c>
      <c r="Q344" s="34">
        <v>23.200000000000003</v>
      </c>
      <c r="R344" s="41">
        <v>0.96048</v>
      </c>
      <c r="S344" s="34">
        <v>960</v>
      </c>
      <c r="T344" s="34">
        <v>0.63800000000000001</v>
      </c>
      <c r="U344" s="34">
        <f t="shared" si="6"/>
        <v>380</v>
      </c>
      <c r="V344" s="34">
        <f>VLOOKUP(U344,'Powder Core Toroid OD'!$A$2:$B$36,2,FALSE)</f>
        <v>17.3</v>
      </c>
    </row>
    <row r="345" spans="1:22" hidden="1">
      <c r="A345" s="42">
        <v>55378</v>
      </c>
      <c r="B345" s="34" t="s">
        <v>95</v>
      </c>
      <c r="C345" s="158">
        <v>380</v>
      </c>
      <c r="D345" s="34">
        <v>160</v>
      </c>
      <c r="E345" s="34" t="s">
        <v>21</v>
      </c>
      <c r="F345" s="34">
        <v>114</v>
      </c>
      <c r="G345" s="34" t="s">
        <v>0</v>
      </c>
      <c r="H345" s="34">
        <v>4.1399999999999997</v>
      </c>
      <c r="I345" s="34">
        <v>41.4</v>
      </c>
      <c r="J345" s="34">
        <v>0.35499999999999998</v>
      </c>
      <c r="K345" s="34">
        <v>9.01</v>
      </c>
      <c r="L345" s="41">
        <v>0.71</v>
      </c>
      <c r="M345" s="34">
        <v>18.100000000000001</v>
      </c>
      <c r="N345" s="41">
        <v>0.28000000000000003</v>
      </c>
      <c r="O345" s="34">
        <v>7.12</v>
      </c>
      <c r="P345" s="34">
        <v>0.23200000000000001</v>
      </c>
      <c r="Q345" s="34">
        <v>23.200000000000003</v>
      </c>
      <c r="R345" s="41">
        <v>0.96048</v>
      </c>
      <c r="S345" s="34">
        <v>960</v>
      </c>
      <c r="T345" s="34">
        <v>0.63800000000000001</v>
      </c>
      <c r="U345" s="34">
        <f t="shared" si="6"/>
        <v>380</v>
      </c>
      <c r="V345" s="34">
        <f>VLOOKUP(U345,'Powder Core Toroid OD'!$A$2:$B$36,2,FALSE)</f>
        <v>17.3</v>
      </c>
    </row>
    <row r="346" spans="1:22" hidden="1">
      <c r="A346" s="42">
        <v>55379</v>
      </c>
      <c r="B346" s="34" t="s">
        <v>94</v>
      </c>
      <c r="C346" s="158">
        <v>380</v>
      </c>
      <c r="D346" s="34">
        <v>147</v>
      </c>
      <c r="E346" s="34" t="s">
        <v>21</v>
      </c>
      <c r="F346" s="34">
        <v>105</v>
      </c>
      <c r="G346" s="34" t="s">
        <v>0</v>
      </c>
      <c r="H346" s="34">
        <v>4.1399999999999997</v>
      </c>
      <c r="I346" s="34">
        <v>41.4</v>
      </c>
      <c r="J346" s="34">
        <v>0.35499999999999998</v>
      </c>
      <c r="K346" s="34">
        <v>9.01</v>
      </c>
      <c r="L346" s="41">
        <v>0.71</v>
      </c>
      <c r="M346" s="34">
        <v>18.100000000000001</v>
      </c>
      <c r="N346" s="41">
        <v>0.28000000000000003</v>
      </c>
      <c r="O346" s="34">
        <v>7.12</v>
      </c>
      <c r="P346" s="34">
        <v>0.23200000000000001</v>
      </c>
      <c r="Q346" s="34">
        <v>23.200000000000003</v>
      </c>
      <c r="R346" s="41">
        <v>0.96048</v>
      </c>
      <c r="S346" s="34">
        <v>960</v>
      </c>
      <c r="T346" s="34">
        <v>0.63800000000000001</v>
      </c>
      <c r="U346" s="34">
        <f t="shared" si="6"/>
        <v>380</v>
      </c>
      <c r="V346" s="34">
        <f>VLOOKUP(U346,'Powder Core Toroid OD'!$A$2:$B$36,2,FALSE)</f>
        <v>17.3</v>
      </c>
    </row>
    <row r="347" spans="1:22" hidden="1">
      <c r="A347" s="42">
        <v>55380</v>
      </c>
      <c r="B347" s="34" t="s">
        <v>93</v>
      </c>
      <c r="C347" s="158">
        <v>380</v>
      </c>
      <c r="D347" s="34">
        <v>125</v>
      </c>
      <c r="E347" s="34" t="s">
        <v>21</v>
      </c>
      <c r="F347" s="34">
        <v>89</v>
      </c>
      <c r="G347" s="34" t="s">
        <v>0</v>
      </c>
      <c r="H347" s="34">
        <v>4.1399999999999997</v>
      </c>
      <c r="I347" s="34">
        <v>41.4</v>
      </c>
      <c r="J347" s="34">
        <v>0.35499999999999998</v>
      </c>
      <c r="K347" s="34">
        <v>9.01</v>
      </c>
      <c r="L347" s="41">
        <v>0.71</v>
      </c>
      <c r="M347" s="34">
        <v>18.100000000000001</v>
      </c>
      <c r="N347" s="41">
        <v>0.28000000000000003</v>
      </c>
      <c r="O347" s="34">
        <v>7.12</v>
      </c>
      <c r="P347" s="34">
        <v>0.23200000000000001</v>
      </c>
      <c r="Q347" s="34">
        <v>23.200000000000003</v>
      </c>
      <c r="R347" s="41">
        <v>0.96048</v>
      </c>
      <c r="S347" s="34">
        <v>960</v>
      </c>
      <c r="T347" s="34">
        <v>0.63800000000000001</v>
      </c>
      <c r="U347" s="34">
        <f t="shared" si="6"/>
        <v>380</v>
      </c>
      <c r="V347" s="34">
        <f>VLOOKUP(U347,'Powder Core Toroid OD'!$A$2:$B$36,2,FALSE)</f>
        <v>17.3</v>
      </c>
    </row>
    <row r="348" spans="1:22" hidden="1">
      <c r="A348" s="42">
        <v>55381</v>
      </c>
      <c r="B348" s="34" t="s">
        <v>92</v>
      </c>
      <c r="C348" s="158">
        <v>380</v>
      </c>
      <c r="D348" s="34">
        <v>60</v>
      </c>
      <c r="E348" s="34" t="s">
        <v>21</v>
      </c>
      <c r="F348" s="34">
        <v>43</v>
      </c>
      <c r="G348" s="34" t="s">
        <v>0</v>
      </c>
      <c r="H348" s="34">
        <v>4.1399999999999997</v>
      </c>
      <c r="I348" s="34">
        <v>41.4</v>
      </c>
      <c r="J348" s="34">
        <v>0.35499999999999998</v>
      </c>
      <c r="K348" s="34">
        <v>9.01</v>
      </c>
      <c r="L348" s="41">
        <v>0.71</v>
      </c>
      <c r="M348" s="34">
        <v>18.100000000000001</v>
      </c>
      <c r="N348" s="41">
        <v>0.28000000000000003</v>
      </c>
      <c r="O348" s="34">
        <v>7.12</v>
      </c>
      <c r="P348" s="34">
        <v>0.23200000000000001</v>
      </c>
      <c r="Q348" s="34">
        <v>23.200000000000003</v>
      </c>
      <c r="R348" s="41">
        <v>0.96048</v>
      </c>
      <c r="S348" s="34">
        <v>960</v>
      </c>
      <c r="T348" s="34">
        <v>0.63800000000000001</v>
      </c>
      <c r="U348" s="34">
        <f t="shared" si="6"/>
        <v>380</v>
      </c>
      <c r="V348" s="34">
        <f>VLOOKUP(U348,'Powder Core Toroid OD'!$A$2:$B$36,2,FALSE)</f>
        <v>17.3</v>
      </c>
    </row>
    <row r="349" spans="1:22" hidden="1">
      <c r="A349" s="42">
        <v>55382</v>
      </c>
      <c r="B349" s="34" t="s">
        <v>260</v>
      </c>
      <c r="C349" s="158">
        <v>380</v>
      </c>
      <c r="D349" s="34">
        <v>26</v>
      </c>
      <c r="E349" s="34" t="s">
        <v>21</v>
      </c>
      <c r="F349" s="34">
        <v>19</v>
      </c>
      <c r="G349" s="34" t="s">
        <v>0</v>
      </c>
      <c r="H349" s="34">
        <v>4.1399999999999997</v>
      </c>
      <c r="I349" s="34">
        <v>41.4</v>
      </c>
      <c r="J349" s="34">
        <v>0.35499999999999998</v>
      </c>
      <c r="K349" s="34">
        <v>9.01</v>
      </c>
      <c r="L349" s="41">
        <v>0.71</v>
      </c>
      <c r="M349" s="34">
        <v>18.100000000000001</v>
      </c>
      <c r="N349" s="41">
        <v>0.28000000000000003</v>
      </c>
      <c r="O349" s="34">
        <v>7.12</v>
      </c>
      <c r="P349" s="34">
        <v>0.23200000000000001</v>
      </c>
      <c r="Q349" s="34">
        <v>23.200000000000003</v>
      </c>
      <c r="R349" s="41">
        <v>0.96048</v>
      </c>
      <c r="S349" s="34">
        <v>960</v>
      </c>
      <c r="T349" s="34">
        <v>0.63800000000000001</v>
      </c>
      <c r="U349" s="34">
        <f t="shared" si="6"/>
        <v>380</v>
      </c>
      <c r="V349" s="34">
        <f>VLOOKUP(U349,'Powder Core Toroid OD'!$A$2:$B$36,2,FALSE)</f>
        <v>17.3</v>
      </c>
    </row>
    <row r="350" spans="1:22" hidden="1">
      <c r="A350" s="42">
        <v>55383</v>
      </c>
      <c r="B350" s="34" t="s">
        <v>259</v>
      </c>
      <c r="C350" s="158">
        <v>380</v>
      </c>
      <c r="D350" s="34">
        <v>14</v>
      </c>
      <c r="E350" s="34" t="s">
        <v>21</v>
      </c>
      <c r="F350" s="34">
        <v>10</v>
      </c>
      <c r="G350" s="34" t="s">
        <v>0</v>
      </c>
      <c r="H350" s="34">
        <v>4.1399999999999997</v>
      </c>
      <c r="I350" s="34">
        <v>41.4</v>
      </c>
      <c r="J350" s="34">
        <v>0.35499999999999998</v>
      </c>
      <c r="K350" s="34">
        <v>9.01</v>
      </c>
      <c r="L350" s="41">
        <v>0.71</v>
      </c>
      <c r="M350" s="34">
        <v>18.100000000000001</v>
      </c>
      <c r="N350" s="41">
        <v>0.28000000000000003</v>
      </c>
      <c r="O350" s="34">
        <v>7.12</v>
      </c>
      <c r="P350" s="34">
        <v>0.23200000000000001</v>
      </c>
      <c r="Q350" s="34">
        <v>23.200000000000003</v>
      </c>
      <c r="R350" s="41">
        <v>0.96048</v>
      </c>
      <c r="S350" s="34">
        <v>960</v>
      </c>
      <c r="T350" s="34">
        <v>0.63800000000000001</v>
      </c>
      <c r="U350" s="34">
        <f t="shared" si="6"/>
        <v>380</v>
      </c>
      <c r="V350" s="34">
        <f>VLOOKUP(U350,'Powder Core Toroid OD'!$A$2:$B$36,2,FALSE)</f>
        <v>17.3</v>
      </c>
    </row>
    <row r="351" spans="1:22" hidden="1">
      <c r="A351" s="42">
        <v>55404</v>
      </c>
      <c r="B351" s="34" t="s">
        <v>91</v>
      </c>
      <c r="C351" s="158">
        <v>410</v>
      </c>
      <c r="D351" s="34">
        <v>173</v>
      </c>
      <c r="E351" s="34" t="s">
        <v>21</v>
      </c>
      <c r="F351" s="34">
        <v>95</v>
      </c>
      <c r="G351" s="34" t="s">
        <v>0</v>
      </c>
      <c r="H351" s="34">
        <v>1.65</v>
      </c>
      <c r="I351" s="34">
        <v>16.5</v>
      </c>
      <c r="J351" s="34">
        <v>0.13600000000000001</v>
      </c>
      <c r="K351" s="34">
        <v>3.45</v>
      </c>
      <c r="L351" s="34">
        <v>0.29499999999999998</v>
      </c>
      <c r="M351" s="40">
        <v>7.5</v>
      </c>
      <c r="N351" s="34">
        <v>0.22500000000000001</v>
      </c>
      <c r="O351" s="34">
        <v>5.72</v>
      </c>
      <c r="P351" s="34">
        <v>7.2499999999999995E-2</v>
      </c>
      <c r="Q351" s="34">
        <v>7.2499999999999991</v>
      </c>
      <c r="R351" s="34">
        <v>0.12</v>
      </c>
      <c r="S351" s="34">
        <v>120</v>
      </c>
      <c r="T351" s="34">
        <v>9.35E-2</v>
      </c>
      <c r="U351" s="34">
        <f t="shared" si="6"/>
        <v>410</v>
      </c>
      <c r="V351" s="34">
        <f>VLOOKUP(U351,'Powder Core Toroid OD'!$A$2:$B$36,2,FALSE)</f>
        <v>6.86</v>
      </c>
    </row>
    <row r="352" spans="1:22" hidden="1">
      <c r="A352" s="42">
        <v>55405</v>
      </c>
      <c r="B352" s="34" t="s">
        <v>90</v>
      </c>
      <c r="C352" s="158">
        <v>410</v>
      </c>
      <c r="D352" s="34">
        <v>300</v>
      </c>
      <c r="E352" s="34" t="s">
        <v>21</v>
      </c>
      <c r="F352" s="34">
        <v>166</v>
      </c>
      <c r="G352" s="34" t="s">
        <v>0</v>
      </c>
      <c r="H352" s="34">
        <v>1.65</v>
      </c>
      <c r="I352" s="34">
        <v>16.5</v>
      </c>
      <c r="J352" s="34">
        <v>0.13600000000000001</v>
      </c>
      <c r="K352" s="34">
        <v>3.45</v>
      </c>
      <c r="L352" s="34">
        <v>0.29499999999999998</v>
      </c>
      <c r="M352" s="40">
        <v>7.5</v>
      </c>
      <c r="N352" s="34">
        <v>0.22500000000000001</v>
      </c>
      <c r="O352" s="34">
        <v>5.72</v>
      </c>
      <c r="P352" s="34">
        <v>7.2499999999999995E-2</v>
      </c>
      <c r="Q352" s="34">
        <v>7.2499999999999991</v>
      </c>
      <c r="R352" s="34">
        <v>0.12</v>
      </c>
      <c r="S352" s="34">
        <v>120</v>
      </c>
      <c r="T352" s="34">
        <v>9.35E-2</v>
      </c>
      <c r="U352" s="34">
        <f t="shared" si="6"/>
        <v>410</v>
      </c>
      <c r="V352" s="34">
        <f>VLOOKUP(U352,'Powder Core Toroid OD'!$A$2:$B$36,2,FALSE)</f>
        <v>6.86</v>
      </c>
    </row>
    <row r="353" spans="1:22" hidden="1">
      <c r="A353" s="42">
        <v>55407</v>
      </c>
      <c r="B353" s="34" t="s">
        <v>89</v>
      </c>
      <c r="C353" s="158">
        <v>410</v>
      </c>
      <c r="D353" s="34">
        <v>200</v>
      </c>
      <c r="E353" s="34" t="s">
        <v>21</v>
      </c>
      <c r="F353" s="34">
        <v>112</v>
      </c>
      <c r="G353" s="34" t="s">
        <v>0</v>
      </c>
      <c r="H353" s="34">
        <v>1.65</v>
      </c>
      <c r="I353" s="34">
        <v>16.5</v>
      </c>
      <c r="J353" s="34">
        <v>0.13600000000000001</v>
      </c>
      <c r="K353" s="34">
        <v>3.45</v>
      </c>
      <c r="L353" s="34">
        <v>0.29499999999999998</v>
      </c>
      <c r="M353" s="40">
        <v>7.5</v>
      </c>
      <c r="N353" s="34">
        <v>0.22500000000000001</v>
      </c>
      <c r="O353" s="34">
        <v>5.72</v>
      </c>
      <c r="P353" s="34">
        <v>7.2499999999999995E-2</v>
      </c>
      <c r="Q353" s="34">
        <v>7.2499999999999991</v>
      </c>
      <c r="R353" s="34">
        <v>0.12</v>
      </c>
      <c r="S353" s="34">
        <v>120</v>
      </c>
      <c r="T353" s="34">
        <v>9.35E-2</v>
      </c>
      <c r="U353" s="34">
        <f t="shared" si="6"/>
        <v>410</v>
      </c>
      <c r="V353" s="34">
        <f>VLOOKUP(U353,'Powder Core Toroid OD'!$A$2:$B$36,2,FALSE)</f>
        <v>6.86</v>
      </c>
    </row>
    <row r="354" spans="1:22" hidden="1">
      <c r="A354" s="42">
        <v>55408</v>
      </c>
      <c r="B354" s="34" t="s">
        <v>88</v>
      </c>
      <c r="C354" s="158">
        <v>410</v>
      </c>
      <c r="D354" s="34">
        <v>160</v>
      </c>
      <c r="E354" s="34" t="s">
        <v>21</v>
      </c>
      <c r="F354" s="34">
        <v>89</v>
      </c>
      <c r="G354" s="34" t="s">
        <v>0</v>
      </c>
      <c r="H354" s="34">
        <v>1.65</v>
      </c>
      <c r="I354" s="34">
        <v>16.5</v>
      </c>
      <c r="J354" s="34">
        <v>0.13600000000000001</v>
      </c>
      <c r="K354" s="34">
        <v>3.45</v>
      </c>
      <c r="L354" s="34">
        <v>0.29499999999999998</v>
      </c>
      <c r="M354" s="40">
        <v>7.5</v>
      </c>
      <c r="N354" s="34">
        <v>0.22500000000000001</v>
      </c>
      <c r="O354" s="34">
        <v>5.72</v>
      </c>
      <c r="P354" s="34">
        <v>7.2499999999999995E-2</v>
      </c>
      <c r="Q354" s="34">
        <v>7.2499999999999991</v>
      </c>
      <c r="R354" s="34">
        <v>0.12</v>
      </c>
      <c r="S354" s="34">
        <v>120</v>
      </c>
      <c r="T354" s="34">
        <v>9.35E-2</v>
      </c>
      <c r="U354" s="34">
        <f t="shared" si="6"/>
        <v>410</v>
      </c>
      <c r="V354" s="34">
        <f>VLOOKUP(U354,'Powder Core Toroid OD'!$A$2:$B$36,2,FALSE)</f>
        <v>6.86</v>
      </c>
    </row>
    <row r="355" spans="1:22" hidden="1">
      <c r="A355" s="42">
        <v>55409</v>
      </c>
      <c r="B355" s="34" t="s">
        <v>87</v>
      </c>
      <c r="C355" s="158">
        <v>410</v>
      </c>
      <c r="D355" s="34">
        <v>147</v>
      </c>
      <c r="E355" s="34" t="s">
        <v>21</v>
      </c>
      <c r="F355" s="34">
        <v>81</v>
      </c>
      <c r="G355" s="34" t="s">
        <v>0</v>
      </c>
      <c r="H355" s="34">
        <v>1.65</v>
      </c>
      <c r="I355" s="34">
        <v>16.5</v>
      </c>
      <c r="J355" s="34">
        <v>0.13600000000000001</v>
      </c>
      <c r="K355" s="34">
        <v>3.45</v>
      </c>
      <c r="L355" s="34">
        <v>0.29499999999999998</v>
      </c>
      <c r="M355" s="40">
        <v>7.5</v>
      </c>
      <c r="N355" s="34">
        <v>0.22500000000000001</v>
      </c>
      <c r="O355" s="34">
        <v>5.72</v>
      </c>
      <c r="P355" s="34">
        <v>7.2499999999999995E-2</v>
      </c>
      <c r="Q355" s="34">
        <v>7.2499999999999991</v>
      </c>
      <c r="R355" s="34">
        <v>0.12</v>
      </c>
      <c r="S355" s="34">
        <v>120</v>
      </c>
      <c r="T355" s="34">
        <v>9.35E-2</v>
      </c>
      <c r="U355" s="34">
        <f t="shared" si="6"/>
        <v>410</v>
      </c>
      <c r="V355" s="34">
        <f>VLOOKUP(U355,'Powder Core Toroid OD'!$A$2:$B$36,2,FALSE)</f>
        <v>6.86</v>
      </c>
    </row>
    <row r="356" spans="1:22" hidden="1">
      <c r="A356" s="42">
        <v>55410</v>
      </c>
      <c r="B356" s="34" t="s">
        <v>86</v>
      </c>
      <c r="C356" s="158">
        <v>410</v>
      </c>
      <c r="D356" s="34">
        <v>125</v>
      </c>
      <c r="E356" s="34" t="s">
        <v>21</v>
      </c>
      <c r="F356" s="34">
        <v>70</v>
      </c>
      <c r="G356" s="34" t="s">
        <v>0</v>
      </c>
      <c r="H356" s="34">
        <v>1.65</v>
      </c>
      <c r="I356" s="34">
        <v>16.5</v>
      </c>
      <c r="J356" s="34">
        <v>0.13600000000000001</v>
      </c>
      <c r="K356" s="34">
        <v>3.45</v>
      </c>
      <c r="L356" s="34">
        <v>0.29499999999999998</v>
      </c>
      <c r="M356" s="40">
        <v>7.5</v>
      </c>
      <c r="N356" s="34">
        <v>0.22500000000000001</v>
      </c>
      <c r="O356" s="34">
        <v>5.72</v>
      </c>
      <c r="P356" s="34">
        <v>7.2499999999999995E-2</v>
      </c>
      <c r="Q356" s="34">
        <v>7.2499999999999991</v>
      </c>
      <c r="R356" s="34">
        <v>0.12</v>
      </c>
      <c r="S356" s="34">
        <v>120</v>
      </c>
      <c r="T356" s="34">
        <v>9.35E-2</v>
      </c>
      <c r="U356" s="34">
        <f t="shared" si="6"/>
        <v>410</v>
      </c>
      <c r="V356" s="34">
        <f>VLOOKUP(U356,'Powder Core Toroid OD'!$A$2:$B$36,2,FALSE)</f>
        <v>6.86</v>
      </c>
    </row>
    <row r="357" spans="1:22" hidden="1">
      <c r="A357" s="42">
        <v>55411</v>
      </c>
      <c r="B357" s="34" t="s">
        <v>712</v>
      </c>
      <c r="C357" s="158">
        <v>410</v>
      </c>
      <c r="D357" s="34">
        <v>60</v>
      </c>
      <c r="E357" s="34" t="s">
        <v>21</v>
      </c>
      <c r="F357" s="34">
        <v>33</v>
      </c>
      <c r="G357" s="34" t="s">
        <v>0</v>
      </c>
      <c r="H357" s="34">
        <v>1.65</v>
      </c>
      <c r="I357" s="34">
        <v>16.5</v>
      </c>
      <c r="J357" s="34">
        <v>0.13600000000000001</v>
      </c>
      <c r="K357" s="34">
        <v>3.45</v>
      </c>
      <c r="L357" s="34">
        <v>0.29499999999999998</v>
      </c>
      <c r="M357" s="40">
        <v>7.5</v>
      </c>
      <c r="N357" s="34">
        <v>0.22500000000000001</v>
      </c>
      <c r="O357" s="34">
        <v>5.72</v>
      </c>
      <c r="P357" s="34">
        <v>7.2499999999999995E-2</v>
      </c>
      <c r="Q357" s="34">
        <v>7.2499999999999991</v>
      </c>
      <c r="R357" s="34">
        <v>0.12</v>
      </c>
      <c r="S357" s="34">
        <v>120</v>
      </c>
      <c r="T357" s="34">
        <v>9.35E-2</v>
      </c>
      <c r="U357" s="34">
        <f t="shared" si="6"/>
        <v>410</v>
      </c>
      <c r="V357" s="34">
        <f>VLOOKUP(U357,'Powder Core Toroid OD'!$A$2:$B$36,2,FALSE)</f>
        <v>6.86</v>
      </c>
    </row>
    <row r="358" spans="1:22" hidden="1">
      <c r="A358" s="42">
        <v>55432</v>
      </c>
      <c r="B358" s="34" t="s">
        <v>85</v>
      </c>
      <c r="C358" s="158">
        <v>438</v>
      </c>
      <c r="D358" s="34">
        <v>173</v>
      </c>
      <c r="E358" s="34" t="s">
        <v>21</v>
      </c>
      <c r="F358" s="34">
        <v>390</v>
      </c>
      <c r="G358" s="34" t="s">
        <v>0</v>
      </c>
      <c r="H358" s="34">
        <v>10.7</v>
      </c>
      <c r="I358" s="34">
        <v>107</v>
      </c>
      <c r="J358" s="34">
        <v>0.91800000000000004</v>
      </c>
      <c r="K358" s="34">
        <v>23.3</v>
      </c>
      <c r="L358" s="34">
        <v>1.875</v>
      </c>
      <c r="M358" s="34">
        <v>47.63</v>
      </c>
      <c r="N358" s="34">
        <v>0.745</v>
      </c>
      <c r="O358" s="35">
        <v>19</v>
      </c>
      <c r="P358" s="34">
        <v>1.99</v>
      </c>
      <c r="Q358" s="34">
        <v>199</v>
      </c>
      <c r="R358" s="34">
        <v>21.3</v>
      </c>
      <c r="S358" s="34">
        <v>21300</v>
      </c>
      <c r="T358" s="34">
        <v>4.2699999999999996</v>
      </c>
      <c r="U358" s="34">
        <f t="shared" si="6"/>
        <v>438</v>
      </c>
      <c r="V358" s="34">
        <f>VLOOKUP(U358,'Powder Core Toroid OD'!$A$2:$B$36,2,FALSE)</f>
        <v>46.7</v>
      </c>
    </row>
    <row r="359" spans="1:22" hidden="1">
      <c r="A359" s="42">
        <v>55433</v>
      </c>
      <c r="B359" s="34" t="s">
        <v>84</v>
      </c>
      <c r="C359" s="158">
        <v>438</v>
      </c>
      <c r="D359" s="34">
        <v>300</v>
      </c>
      <c r="E359" s="34" t="s">
        <v>21</v>
      </c>
      <c r="F359" s="34">
        <v>674</v>
      </c>
      <c r="G359" s="34" t="s">
        <v>0</v>
      </c>
      <c r="H359" s="34">
        <v>10.7</v>
      </c>
      <c r="I359" s="34">
        <v>107</v>
      </c>
      <c r="J359" s="34">
        <v>0.91800000000000004</v>
      </c>
      <c r="K359" s="34">
        <v>23.3</v>
      </c>
      <c r="L359" s="34">
        <v>1.875</v>
      </c>
      <c r="M359" s="34">
        <v>47.63</v>
      </c>
      <c r="N359" s="34">
        <v>0.745</v>
      </c>
      <c r="O359" s="35">
        <v>19</v>
      </c>
      <c r="P359" s="34">
        <v>1.99</v>
      </c>
      <c r="Q359" s="34">
        <v>199</v>
      </c>
      <c r="R359" s="34">
        <v>21.3</v>
      </c>
      <c r="S359" s="34">
        <v>21300</v>
      </c>
      <c r="T359" s="34">
        <v>4.2699999999999996</v>
      </c>
      <c r="U359" s="34">
        <f t="shared" si="6"/>
        <v>438</v>
      </c>
      <c r="V359" s="34">
        <f>VLOOKUP(U359,'Powder Core Toroid OD'!$A$2:$B$36,2,FALSE)</f>
        <v>46.7</v>
      </c>
    </row>
    <row r="360" spans="1:22" hidden="1">
      <c r="A360" s="42">
        <v>55435</v>
      </c>
      <c r="B360" s="34" t="s">
        <v>83</v>
      </c>
      <c r="C360" s="158">
        <v>438</v>
      </c>
      <c r="D360" s="34">
        <v>200</v>
      </c>
      <c r="E360" s="34" t="s">
        <v>21</v>
      </c>
      <c r="F360" s="34">
        <v>450</v>
      </c>
      <c r="G360" s="34" t="s">
        <v>0</v>
      </c>
      <c r="H360" s="34">
        <v>10.7</v>
      </c>
      <c r="I360" s="34">
        <v>107</v>
      </c>
      <c r="J360" s="34">
        <v>0.91800000000000004</v>
      </c>
      <c r="K360" s="34">
        <v>23.3</v>
      </c>
      <c r="L360" s="34">
        <v>1.875</v>
      </c>
      <c r="M360" s="34">
        <v>47.63</v>
      </c>
      <c r="N360" s="34">
        <v>0.745</v>
      </c>
      <c r="O360" s="35">
        <v>19</v>
      </c>
      <c r="P360" s="34">
        <v>1.99</v>
      </c>
      <c r="Q360" s="34">
        <v>199</v>
      </c>
      <c r="R360" s="34">
        <v>21.3</v>
      </c>
      <c r="S360" s="34">
        <v>21300</v>
      </c>
      <c r="T360" s="34">
        <v>4.2699999999999996</v>
      </c>
      <c r="U360" s="34">
        <f t="shared" si="6"/>
        <v>438</v>
      </c>
      <c r="V360" s="34">
        <f>VLOOKUP(U360,'Powder Core Toroid OD'!$A$2:$B$36,2,FALSE)</f>
        <v>46.7</v>
      </c>
    </row>
    <row r="361" spans="1:22" hidden="1">
      <c r="A361" s="42">
        <v>55436</v>
      </c>
      <c r="B361" s="34" t="s">
        <v>82</v>
      </c>
      <c r="C361" s="158">
        <v>438</v>
      </c>
      <c r="D361" s="34">
        <v>160</v>
      </c>
      <c r="E361" s="34" t="s">
        <v>21</v>
      </c>
      <c r="F361" s="34">
        <v>360</v>
      </c>
      <c r="G361" s="34" t="s">
        <v>0</v>
      </c>
      <c r="H361" s="34">
        <v>10.7</v>
      </c>
      <c r="I361" s="34">
        <v>107</v>
      </c>
      <c r="J361" s="34">
        <v>0.91800000000000004</v>
      </c>
      <c r="K361" s="34">
        <v>23.3</v>
      </c>
      <c r="L361" s="34">
        <v>1.875</v>
      </c>
      <c r="M361" s="34">
        <v>47.63</v>
      </c>
      <c r="N361" s="34">
        <v>0.745</v>
      </c>
      <c r="O361" s="35">
        <v>19</v>
      </c>
      <c r="P361" s="34">
        <v>1.99</v>
      </c>
      <c r="Q361" s="34">
        <v>199</v>
      </c>
      <c r="R361" s="34">
        <v>21.3</v>
      </c>
      <c r="S361" s="34">
        <v>21300</v>
      </c>
      <c r="T361" s="34">
        <v>4.2699999999999996</v>
      </c>
      <c r="U361" s="34">
        <f t="shared" si="6"/>
        <v>438</v>
      </c>
      <c r="V361" s="34">
        <f>VLOOKUP(U361,'Powder Core Toroid OD'!$A$2:$B$36,2,FALSE)</f>
        <v>46.7</v>
      </c>
    </row>
    <row r="362" spans="1:22" hidden="1">
      <c r="A362" s="42">
        <v>55437</v>
      </c>
      <c r="B362" s="34" t="s">
        <v>81</v>
      </c>
      <c r="C362" s="158">
        <v>438</v>
      </c>
      <c r="D362" s="34">
        <v>147</v>
      </c>
      <c r="E362" s="34" t="s">
        <v>21</v>
      </c>
      <c r="F362" s="34">
        <v>330</v>
      </c>
      <c r="G362" s="34" t="s">
        <v>0</v>
      </c>
      <c r="H362" s="34">
        <v>10.7</v>
      </c>
      <c r="I362" s="34">
        <v>107</v>
      </c>
      <c r="J362" s="34">
        <v>0.91800000000000004</v>
      </c>
      <c r="K362" s="34">
        <v>23.3</v>
      </c>
      <c r="L362" s="34">
        <v>1.875</v>
      </c>
      <c r="M362" s="34">
        <v>47.63</v>
      </c>
      <c r="N362" s="34">
        <v>0.745</v>
      </c>
      <c r="O362" s="35">
        <v>19</v>
      </c>
      <c r="P362" s="34">
        <v>1.99</v>
      </c>
      <c r="Q362" s="34">
        <v>199</v>
      </c>
      <c r="R362" s="34">
        <v>21.3</v>
      </c>
      <c r="S362" s="34">
        <v>21300</v>
      </c>
      <c r="T362" s="34">
        <v>4.2699999999999996</v>
      </c>
      <c r="U362" s="34">
        <f t="shared" si="6"/>
        <v>438</v>
      </c>
      <c r="V362" s="34">
        <f>VLOOKUP(U362,'Powder Core Toroid OD'!$A$2:$B$36,2,FALSE)</f>
        <v>46.7</v>
      </c>
    </row>
    <row r="363" spans="1:22" hidden="1">
      <c r="A363" s="42">
        <v>55438</v>
      </c>
      <c r="B363" s="34" t="s">
        <v>80</v>
      </c>
      <c r="C363" s="158">
        <v>438</v>
      </c>
      <c r="D363" s="34">
        <v>125</v>
      </c>
      <c r="E363" s="34" t="s">
        <v>21</v>
      </c>
      <c r="F363" s="34">
        <v>281</v>
      </c>
      <c r="G363" s="34" t="s">
        <v>0</v>
      </c>
      <c r="H363" s="34">
        <v>10.7</v>
      </c>
      <c r="I363" s="34">
        <v>107</v>
      </c>
      <c r="J363" s="34">
        <v>0.91800000000000004</v>
      </c>
      <c r="K363" s="34">
        <v>23.3</v>
      </c>
      <c r="L363" s="34">
        <v>1.875</v>
      </c>
      <c r="M363" s="34">
        <v>47.63</v>
      </c>
      <c r="N363" s="34">
        <v>0.745</v>
      </c>
      <c r="O363" s="35">
        <v>19</v>
      </c>
      <c r="P363" s="34">
        <v>1.99</v>
      </c>
      <c r="Q363" s="34">
        <v>199</v>
      </c>
      <c r="R363" s="34">
        <v>21.3</v>
      </c>
      <c r="S363" s="34">
        <v>21300</v>
      </c>
      <c r="T363" s="34">
        <v>4.2699999999999996</v>
      </c>
      <c r="U363" s="34">
        <f t="shared" si="6"/>
        <v>438</v>
      </c>
      <c r="V363" s="34">
        <f>VLOOKUP(U363,'Powder Core Toroid OD'!$A$2:$B$36,2,FALSE)</f>
        <v>46.7</v>
      </c>
    </row>
    <row r="364" spans="1:22" hidden="1">
      <c r="A364" s="42">
        <v>55439</v>
      </c>
      <c r="B364" s="34" t="s">
        <v>79</v>
      </c>
      <c r="C364" s="158">
        <v>438</v>
      </c>
      <c r="D364" s="34">
        <v>60</v>
      </c>
      <c r="E364" s="34" t="s">
        <v>21</v>
      </c>
      <c r="F364" s="34">
        <v>135</v>
      </c>
      <c r="G364" s="34" t="s">
        <v>0</v>
      </c>
      <c r="H364" s="34">
        <v>10.7</v>
      </c>
      <c r="I364" s="34">
        <v>107</v>
      </c>
      <c r="J364" s="34">
        <v>0.91800000000000004</v>
      </c>
      <c r="K364" s="34">
        <v>23.3</v>
      </c>
      <c r="L364" s="34">
        <v>1.875</v>
      </c>
      <c r="M364" s="34">
        <v>47.63</v>
      </c>
      <c r="N364" s="34">
        <v>0.745</v>
      </c>
      <c r="O364" s="35">
        <v>19</v>
      </c>
      <c r="P364" s="34">
        <v>1.99</v>
      </c>
      <c r="Q364" s="34">
        <v>199</v>
      </c>
      <c r="R364" s="34">
        <v>21.3</v>
      </c>
      <c r="S364" s="34">
        <v>21300</v>
      </c>
      <c r="T364" s="34">
        <v>4.2699999999999996</v>
      </c>
      <c r="U364" s="34">
        <f t="shared" si="6"/>
        <v>438</v>
      </c>
      <c r="V364" s="34">
        <f>VLOOKUP(U364,'Powder Core Toroid OD'!$A$2:$B$36,2,FALSE)</f>
        <v>46.7</v>
      </c>
    </row>
    <row r="365" spans="1:22" hidden="1">
      <c r="A365" s="42">
        <v>55440</v>
      </c>
      <c r="B365" s="34" t="s">
        <v>258</v>
      </c>
      <c r="C365" s="158">
        <v>438</v>
      </c>
      <c r="D365" s="34">
        <v>26</v>
      </c>
      <c r="E365" s="34" t="s">
        <v>21</v>
      </c>
      <c r="F365" s="34">
        <v>59</v>
      </c>
      <c r="G365" s="34" t="s">
        <v>0</v>
      </c>
      <c r="H365" s="34">
        <v>10.7</v>
      </c>
      <c r="I365" s="34">
        <v>107</v>
      </c>
      <c r="J365" s="34">
        <v>0.91800000000000004</v>
      </c>
      <c r="K365" s="34">
        <v>23.3</v>
      </c>
      <c r="L365" s="34">
        <v>1.875</v>
      </c>
      <c r="M365" s="34">
        <v>47.63</v>
      </c>
      <c r="N365" s="34">
        <v>0.745</v>
      </c>
      <c r="O365" s="35">
        <v>19</v>
      </c>
      <c r="P365" s="34">
        <v>1.99</v>
      </c>
      <c r="Q365" s="34">
        <v>199</v>
      </c>
      <c r="R365" s="34">
        <v>21.3</v>
      </c>
      <c r="S365" s="34">
        <v>21300</v>
      </c>
      <c r="T365" s="34">
        <v>4.2699999999999996</v>
      </c>
      <c r="U365" s="34">
        <f t="shared" si="6"/>
        <v>438</v>
      </c>
      <c r="V365" s="34">
        <f>VLOOKUP(U365,'Powder Core Toroid OD'!$A$2:$B$36,2,FALSE)</f>
        <v>46.7</v>
      </c>
    </row>
    <row r="366" spans="1:22" hidden="1">
      <c r="A366" s="42">
        <v>55441</v>
      </c>
      <c r="B366" s="34" t="s">
        <v>257</v>
      </c>
      <c r="C366" s="158">
        <v>438</v>
      </c>
      <c r="D366" s="34">
        <v>14</v>
      </c>
      <c r="E366" s="34" t="s">
        <v>21</v>
      </c>
      <c r="F366" s="34">
        <v>32</v>
      </c>
      <c r="G366" s="34" t="s">
        <v>0</v>
      </c>
      <c r="H366" s="34">
        <v>10.7</v>
      </c>
      <c r="I366" s="34">
        <v>107</v>
      </c>
      <c r="J366" s="34">
        <v>0.91800000000000004</v>
      </c>
      <c r="K366" s="34">
        <v>23.3</v>
      </c>
      <c r="L366" s="34">
        <v>1.875</v>
      </c>
      <c r="M366" s="34">
        <v>47.63</v>
      </c>
      <c r="N366" s="34">
        <v>0.745</v>
      </c>
      <c r="O366" s="35">
        <v>19</v>
      </c>
      <c r="P366" s="34">
        <v>1.99</v>
      </c>
      <c r="Q366" s="34">
        <v>199</v>
      </c>
      <c r="R366" s="34">
        <v>21.3</v>
      </c>
      <c r="S366" s="34">
        <v>21300</v>
      </c>
      <c r="T366" s="34">
        <v>4.2699999999999996</v>
      </c>
      <c r="U366" s="34">
        <f t="shared" si="6"/>
        <v>438</v>
      </c>
      <c r="V366" s="34">
        <f>VLOOKUP(U366,'Powder Core Toroid OD'!$A$2:$B$36,2,FALSE)</f>
        <v>46.7</v>
      </c>
    </row>
    <row r="367" spans="1:22" hidden="1">
      <c r="A367" s="42">
        <v>55542</v>
      </c>
      <c r="B367" s="34" t="s">
        <v>78</v>
      </c>
      <c r="C367" s="158">
        <v>548</v>
      </c>
      <c r="D367" s="34">
        <v>173</v>
      </c>
      <c r="E367" s="34" t="s">
        <v>21</v>
      </c>
      <c r="F367" s="34">
        <v>176</v>
      </c>
      <c r="G367" s="34" t="s">
        <v>0</v>
      </c>
      <c r="H367" s="34">
        <v>8.14</v>
      </c>
      <c r="I367" s="34">
        <v>81.400000000000006</v>
      </c>
      <c r="J367" s="34">
        <v>0.76600000000000001</v>
      </c>
      <c r="K367" s="34">
        <v>19.399999999999999</v>
      </c>
      <c r="L367" s="34">
        <v>1.325</v>
      </c>
      <c r="M367" s="34">
        <v>33.659999999999997</v>
      </c>
      <c r="N367" s="41">
        <v>0.45</v>
      </c>
      <c r="O367" s="34">
        <v>11.5</v>
      </c>
      <c r="P367" s="34">
        <v>0.65600000000000003</v>
      </c>
      <c r="Q367" s="34">
        <v>65.600000000000009</v>
      </c>
      <c r="R367" s="40">
        <v>5.34</v>
      </c>
      <c r="S367" s="34">
        <v>5340</v>
      </c>
      <c r="T367" s="34">
        <v>2.97</v>
      </c>
      <c r="U367" s="34">
        <f t="shared" si="6"/>
        <v>548</v>
      </c>
      <c r="V367" s="34">
        <f>VLOOKUP(U367,'Powder Core Toroid OD'!$A$2:$B$36,2,FALSE)</f>
        <v>32.799999999999997</v>
      </c>
    </row>
    <row r="368" spans="1:22" hidden="1">
      <c r="A368" s="42">
        <v>55543</v>
      </c>
      <c r="B368" s="34" t="s">
        <v>77</v>
      </c>
      <c r="C368" s="158">
        <v>548</v>
      </c>
      <c r="D368" s="34">
        <v>300</v>
      </c>
      <c r="E368" s="34" t="s">
        <v>21</v>
      </c>
      <c r="F368" s="34">
        <v>305</v>
      </c>
      <c r="G368" s="34" t="s">
        <v>0</v>
      </c>
      <c r="H368" s="34">
        <v>8.14</v>
      </c>
      <c r="I368" s="34">
        <v>81.400000000000006</v>
      </c>
      <c r="J368" s="34">
        <v>0.76600000000000001</v>
      </c>
      <c r="K368" s="34">
        <v>19.399999999999999</v>
      </c>
      <c r="L368" s="34">
        <v>1.325</v>
      </c>
      <c r="M368" s="34">
        <v>33.659999999999997</v>
      </c>
      <c r="N368" s="41">
        <v>0.45</v>
      </c>
      <c r="O368" s="34">
        <v>11.5</v>
      </c>
      <c r="P368" s="34">
        <v>0.65600000000000003</v>
      </c>
      <c r="Q368" s="34">
        <v>65.600000000000009</v>
      </c>
      <c r="R368" s="40">
        <v>5.34</v>
      </c>
      <c r="S368" s="34">
        <v>5340</v>
      </c>
      <c r="T368" s="34">
        <v>2.97</v>
      </c>
      <c r="U368" s="34">
        <f t="shared" si="6"/>
        <v>548</v>
      </c>
      <c r="V368" s="34">
        <f>VLOOKUP(U368,'Powder Core Toroid OD'!$A$2:$B$36,2,FALSE)</f>
        <v>32.799999999999997</v>
      </c>
    </row>
    <row r="369" spans="1:22" hidden="1">
      <c r="A369" s="42">
        <v>55544</v>
      </c>
      <c r="B369" s="34" t="s">
        <v>76</v>
      </c>
      <c r="C369" s="158">
        <v>548</v>
      </c>
      <c r="D369" s="34">
        <v>550</v>
      </c>
      <c r="E369" s="34" t="s">
        <v>21</v>
      </c>
      <c r="F369" s="34">
        <v>559</v>
      </c>
      <c r="G369" s="34" t="s">
        <v>0</v>
      </c>
      <c r="H369" s="34">
        <v>8.14</v>
      </c>
      <c r="I369" s="34">
        <v>81.400000000000006</v>
      </c>
      <c r="J369" s="34">
        <v>0.76600000000000001</v>
      </c>
      <c r="K369" s="34">
        <v>19.399999999999999</v>
      </c>
      <c r="L369" s="34">
        <v>1.325</v>
      </c>
      <c r="M369" s="34">
        <v>33.659999999999997</v>
      </c>
      <c r="N369" s="41">
        <v>0.45</v>
      </c>
      <c r="O369" s="34">
        <v>11.5</v>
      </c>
      <c r="P369" s="34">
        <v>0.65600000000000003</v>
      </c>
      <c r="Q369" s="34">
        <v>65.600000000000009</v>
      </c>
      <c r="R369" s="40">
        <v>5.34</v>
      </c>
      <c r="S369" s="34">
        <v>5340</v>
      </c>
      <c r="T369" s="34">
        <v>2.97</v>
      </c>
      <c r="U369" s="34">
        <f t="shared" si="6"/>
        <v>548</v>
      </c>
      <c r="V369" s="34">
        <f>VLOOKUP(U369,'Powder Core Toroid OD'!$A$2:$B$36,2,FALSE)</f>
        <v>32.799999999999997</v>
      </c>
    </row>
    <row r="370" spans="1:22" hidden="1">
      <c r="A370" s="42">
        <v>55545</v>
      </c>
      <c r="B370" s="34" t="s">
        <v>75</v>
      </c>
      <c r="C370" s="158">
        <v>548</v>
      </c>
      <c r="D370" s="34">
        <v>200</v>
      </c>
      <c r="E370" s="34" t="s">
        <v>21</v>
      </c>
      <c r="F370" s="34">
        <v>203</v>
      </c>
      <c r="G370" s="34" t="s">
        <v>0</v>
      </c>
      <c r="H370" s="34">
        <v>8.14</v>
      </c>
      <c r="I370" s="34">
        <v>81.400000000000006</v>
      </c>
      <c r="J370" s="34">
        <v>0.76600000000000001</v>
      </c>
      <c r="K370" s="34">
        <v>19.399999999999999</v>
      </c>
      <c r="L370" s="34">
        <v>1.325</v>
      </c>
      <c r="M370" s="34">
        <v>33.659999999999997</v>
      </c>
      <c r="N370" s="41">
        <v>0.45</v>
      </c>
      <c r="O370" s="34">
        <v>11.5</v>
      </c>
      <c r="P370" s="34">
        <v>0.65600000000000003</v>
      </c>
      <c r="Q370" s="34">
        <v>65.600000000000009</v>
      </c>
      <c r="R370" s="40">
        <v>5.34</v>
      </c>
      <c r="S370" s="34">
        <v>5340</v>
      </c>
      <c r="T370" s="34">
        <v>2.97</v>
      </c>
      <c r="U370" s="34">
        <f t="shared" si="6"/>
        <v>548</v>
      </c>
      <c r="V370" s="34">
        <f>VLOOKUP(U370,'Powder Core Toroid OD'!$A$2:$B$36,2,FALSE)</f>
        <v>32.799999999999997</v>
      </c>
    </row>
    <row r="371" spans="1:22" hidden="1">
      <c r="A371" s="42">
        <v>55546</v>
      </c>
      <c r="B371" s="34" t="s">
        <v>74</v>
      </c>
      <c r="C371" s="158">
        <v>548</v>
      </c>
      <c r="D371" s="34">
        <v>160</v>
      </c>
      <c r="E371" s="34" t="s">
        <v>21</v>
      </c>
      <c r="F371" s="34">
        <v>163</v>
      </c>
      <c r="G371" s="34" t="s">
        <v>0</v>
      </c>
      <c r="H371" s="34">
        <v>8.14</v>
      </c>
      <c r="I371" s="34">
        <v>81.400000000000006</v>
      </c>
      <c r="J371" s="34">
        <v>0.76600000000000001</v>
      </c>
      <c r="K371" s="34">
        <v>19.399999999999999</v>
      </c>
      <c r="L371" s="34">
        <v>1.325</v>
      </c>
      <c r="M371" s="34">
        <v>33.659999999999997</v>
      </c>
      <c r="N371" s="41">
        <v>0.45</v>
      </c>
      <c r="O371" s="34">
        <v>11.5</v>
      </c>
      <c r="P371" s="34">
        <v>0.65600000000000003</v>
      </c>
      <c r="Q371" s="34">
        <v>65.600000000000009</v>
      </c>
      <c r="R371" s="40">
        <v>5.34</v>
      </c>
      <c r="S371" s="34">
        <v>5340</v>
      </c>
      <c r="T371" s="34">
        <v>2.97</v>
      </c>
      <c r="U371" s="34">
        <f t="shared" si="6"/>
        <v>548</v>
      </c>
      <c r="V371" s="34">
        <f>VLOOKUP(U371,'Powder Core Toroid OD'!$A$2:$B$36,2,FALSE)</f>
        <v>32.799999999999997</v>
      </c>
    </row>
    <row r="372" spans="1:22" hidden="1">
      <c r="A372" s="42">
        <v>55547</v>
      </c>
      <c r="B372" s="34" t="s">
        <v>73</v>
      </c>
      <c r="C372" s="158">
        <v>548</v>
      </c>
      <c r="D372" s="34">
        <v>147</v>
      </c>
      <c r="E372" s="34" t="s">
        <v>21</v>
      </c>
      <c r="F372" s="34">
        <v>150</v>
      </c>
      <c r="G372" s="34" t="s">
        <v>0</v>
      </c>
      <c r="H372" s="34">
        <v>8.14</v>
      </c>
      <c r="I372" s="34">
        <v>81.400000000000006</v>
      </c>
      <c r="J372" s="34">
        <v>0.76600000000000001</v>
      </c>
      <c r="K372" s="34">
        <v>19.399999999999999</v>
      </c>
      <c r="L372" s="34">
        <v>1.325</v>
      </c>
      <c r="M372" s="34">
        <v>33.659999999999997</v>
      </c>
      <c r="N372" s="41">
        <v>0.45</v>
      </c>
      <c r="O372" s="34">
        <v>11.5</v>
      </c>
      <c r="P372" s="34">
        <v>0.65600000000000003</v>
      </c>
      <c r="Q372" s="34">
        <v>65.600000000000009</v>
      </c>
      <c r="R372" s="40">
        <v>5.34</v>
      </c>
      <c r="S372" s="34">
        <v>5340</v>
      </c>
      <c r="T372" s="34">
        <v>2.97</v>
      </c>
      <c r="U372" s="34">
        <f t="shared" si="6"/>
        <v>548</v>
      </c>
      <c r="V372" s="34">
        <f>VLOOKUP(U372,'Powder Core Toroid OD'!$A$2:$B$36,2,FALSE)</f>
        <v>32.799999999999997</v>
      </c>
    </row>
    <row r="373" spans="1:22" hidden="1">
      <c r="A373" s="42">
        <v>55548</v>
      </c>
      <c r="B373" s="34" t="s">
        <v>72</v>
      </c>
      <c r="C373" s="158">
        <v>548</v>
      </c>
      <c r="D373" s="34">
        <v>125</v>
      </c>
      <c r="E373" s="34" t="s">
        <v>21</v>
      </c>
      <c r="F373" s="34">
        <v>127</v>
      </c>
      <c r="G373" s="34" t="s">
        <v>0</v>
      </c>
      <c r="H373" s="34">
        <v>8.14</v>
      </c>
      <c r="I373" s="34">
        <v>81.400000000000006</v>
      </c>
      <c r="J373" s="34">
        <v>0.76600000000000001</v>
      </c>
      <c r="K373" s="34">
        <v>19.399999999999999</v>
      </c>
      <c r="L373" s="34">
        <v>1.325</v>
      </c>
      <c r="M373" s="34">
        <v>33.659999999999997</v>
      </c>
      <c r="N373" s="41">
        <v>0.45</v>
      </c>
      <c r="O373" s="34">
        <v>11.5</v>
      </c>
      <c r="P373" s="34">
        <v>0.65600000000000003</v>
      </c>
      <c r="Q373" s="34">
        <v>65.600000000000009</v>
      </c>
      <c r="R373" s="40">
        <v>5.34</v>
      </c>
      <c r="S373" s="34">
        <v>5340</v>
      </c>
      <c r="T373" s="34">
        <v>2.97</v>
      </c>
      <c r="U373" s="34">
        <f t="shared" si="6"/>
        <v>548</v>
      </c>
      <c r="V373" s="34">
        <f>VLOOKUP(U373,'Powder Core Toroid OD'!$A$2:$B$36,2,FALSE)</f>
        <v>32.799999999999997</v>
      </c>
    </row>
    <row r="374" spans="1:22" hidden="1">
      <c r="A374" s="42">
        <v>55550</v>
      </c>
      <c r="B374" s="34" t="s">
        <v>256</v>
      </c>
      <c r="C374" s="158">
        <v>548</v>
      </c>
      <c r="D374" s="34">
        <v>26</v>
      </c>
      <c r="E374" s="34" t="s">
        <v>21</v>
      </c>
      <c r="F374" s="34">
        <v>28</v>
      </c>
      <c r="G374" s="34" t="s">
        <v>0</v>
      </c>
      <c r="H374" s="34">
        <v>8.14</v>
      </c>
      <c r="I374" s="34">
        <v>81.400000000000006</v>
      </c>
      <c r="J374" s="34">
        <v>0.76600000000000001</v>
      </c>
      <c r="K374" s="34">
        <v>19.399999999999999</v>
      </c>
      <c r="L374" s="34">
        <v>1.325</v>
      </c>
      <c r="M374" s="34">
        <v>33.659999999999997</v>
      </c>
      <c r="N374" s="41">
        <v>0.45</v>
      </c>
      <c r="O374" s="34">
        <v>11.5</v>
      </c>
      <c r="P374" s="34">
        <v>0.65600000000000003</v>
      </c>
      <c r="Q374" s="34">
        <v>65.600000000000009</v>
      </c>
      <c r="R374" s="40">
        <v>5.34</v>
      </c>
      <c r="S374" s="34">
        <v>5340</v>
      </c>
      <c r="T374" s="34">
        <v>2.97</v>
      </c>
      <c r="U374" s="34">
        <f t="shared" si="6"/>
        <v>548</v>
      </c>
      <c r="V374" s="34">
        <f>VLOOKUP(U374,'Powder Core Toroid OD'!$A$2:$B$36,2,FALSE)</f>
        <v>32.799999999999997</v>
      </c>
    </row>
    <row r="375" spans="1:22" hidden="1">
      <c r="A375" s="42">
        <v>55551</v>
      </c>
      <c r="B375" s="34" t="s">
        <v>255</v>
      </c>
      <c r="C375" s="158">
        <v>548</v>
      </c>
      <c r="D375" s="34">
        <v>14</v>
      </c>
      <c r="E375" s="34" t="s">
        <v>21</v>
      </c>
      <c r="F375" s="34">
        <v>14</v>
      </c>
      <c r="G375" s="34" t="s">
        <v>0</v>
      </c>
      <c r="H375" s="34">
        <v>8.14</v>
      </c>
      <c r="I375" s="34">
        <v>81.400000000000006</v>
      </c>
      <c r="J375" s="34">
        <v>0.76600000000000001</v>
      </c>
      <c r="K375" s="34">
        <v>19.399999999999999</v>
      </c>
      <c r="L375" s="34">
        <v>1.325</v>
      </c>
      <c r="M375" s="34">
        <v>33.659999999999997</v>
      </c>
      <c r="N375" s="41">
        <v>0.45</v>
      </c>
      <c r="O375" s="34">
        <v>11.5</v>
      </c>
      <c r="P375" s="34">
        <v>0.65600000000000003</v>
      </c>
      <c r="Q375" s="34">
        <v>65.600000000000009</v>
      </c>
      <c r="R375" s="40">
        <v>5.34</v>
      </c>
      <c r="S375" s="34">
        <v>5340</v>
      </c>
      <c r="T375" s="34">
        <v>2.97</v>
      </c>
      <c r="U375" s="34">
        <f t="shared" si="6"/>
        <v>548</v>
      </c>
      <c r="V375" s="34">
        <f>VLOOKUP(U375,'Powder Core Toroid OD'!$A$2:$B$36,2,FALSE)</f>
        <v>32.799999999999997</v>
      </c>
    </row>
    <row r="376" spans="1:22" hidden="1">
      <c r="A376" s="42">
        <v>55579</v>
      </c>
      <c r="B376" s="34" t="s">
        <v>71</v>
      </c>
      <c r="C376" s="158">
        <v>585</v>
      </c>
      <c r="D376" s="34">
        <v>173</v>
      </c>
      <c r="E376" s="34" t="s">
        <v>21</v>
      </c>
      <c r="F376" s="34">
        <v>109</v>
      </c>
      <c r="G376" s="34" t="s">
        <v>0</v>
      </c>
      <c r="H376" s="34">
        <v>8.9499999999999993</v>
      </c>
      <c r="I376" s="34">
        <v>89.5</v>
      </c>
      <c r="J376" s="34">
        <v>0.88800000000000001</v>
      </c>
      <c r="K376" s="34">
        <v>22.5</v>
      </c>
      <c r="L376" s="34">
        <v>1.385</v>
      </c>
      <c r="M376" s="34">
        <v>35.18</v>
      </c>
      <c r="N376" s="34">
        <v>0.38500000000000001</v>
      </c>
      <c r="O376" s="34">
        <v>9.7799999999999994</v>
      </c>
      <c r="P376" s="34">
        <v>0.46400000000000002</v>
      </c>
      <c r="Q376" s="34">
        <v>46.4</v>
      </c>
      <c r="R376" s="40">
        <v>4.1500000000000004</v>
      </c>
      <c r="S376" s="34">
        <v>4150</v>
      </c>
      <c r="T376" s="34">
        <v>3.99</v>
      </c>
      <c r="U376" s="34">
        <f t="shared" si="6"/>
        <v>585</v>
      </c>
      <c r="V376" s="34">
        <f>VLOOKUP(U376,'Powder Core Toroid OD'!$A$2:$B$36,2,FALSE)</f>
        <v>34.299999999999997</v>
      </c>
    </row>
    <row r="377" spans="1:22" hidden="1">
      <c r="A377" s="42">
        <v>55580</v>
      </c>
      <c r="B377" s="34" t="s">
        <v>70</v>
      </c>
      <c r="C377" s="158">
        <v>585</v>
      </c>
      <c r="D377" s="34">
        <v>300</v>
      </c>
      <c r="E377" s="34" t="s">
        <v>21</v>
      </c>
      <c r="F377" s="34">
        <v>190</v>
      </c>
      <c r="G377" s="34" t="s">
        <v>0</v>
      </c>
      <c r="H377" s="34">
        <v>8.9499999999999993</v>
      </c>
      <c r="I377" s="34">
        <v>89.5</v>
      </c>
      <c r="J377" s="34">
        <v>0.88800000000000001</v>
      </c>
      <c r="K377" s="34">
        <v>22.5</v>
      </c>
      <c r="L377" s="34">
        <v>1.385</v>
      </c>
      <c r="M377" s="34">
        <v>35.18</v>
      </c>
      <c r="N377" s="34">
        <v>0.38500000000000001</v>
      </c>
      <c r="O377" s="34">
        <v>9.7799999999999994</v>
      </c>
      <c r="P377" s="34">
        <v>0.46400000000000002</v>
      </c>
      <c r="Q377" s="34">
        <v>46.4</v>
      </c>
      <c r="R377" s="40">
        <v>4.1500000000000004</v>
      </c>
      <c r="S377" s="34">
        <v>4150</v>
      </c>
      <c r="T377" s="34">
        <v>3.99</v>
      </c>
      <c r="U377" s="34">
        <f t="shared" si="6"/>
        <v>585</v>
      </c>
      <c r="V377" s="34">
        <f>VLOOKUP(U377,'Powder Core Toroid OD'!$A$2:$B$36,2,FALSE)</f>
        <v>34.299999999999997</v>
      </c>
    </row>
    <row r="378" spans="1:22" hidden="1">
      <c r="A378" s="42">
        <v>55581</v>
      </c>
      <c r="B378" s="34" t="s">
        <v>69</v>
      </c>
      <c r="C378" s="158">
        <v>585</v>
      </c>
      <c r="D378" s="34">
        <v>550</v>
      </c>
      <c r="E378" s="34" t="s">
        <v>21</v>
      </c>
      <c r="F378" s="34">
        <v>348</v>
      </c>
      <c r="G378" s="34" t="s">
        <v>0</v>
      </c>
      <c r="H378" s="34">
        <v>8.9499999999999993</v>
      </c>
      <c r="I378" s="34">
        <v>89.5</v>
      </c>
      <c r="J378" s="34">
        <v>0.88800000000000001</v>
      </c>
      <c r="K378" s="34">
        <v>22.5</v>
      </c>
      <c r="L378" s="34">
        <v>1.385</v>
      </c>
      <c r="M378" s="34">
        <v>35.18</v>
      </c>
      <c r="N378" s="34">
        <v>0.38500000000000001</v>
      </c>
      <c r="O378" s="34">
        <v>9.7799999999999994</v>
      </c>
      <c r="P378" s="34">
        <v>0.46400000000000002</v>
      </c>
      <c r="Q378" s="34">
        <v>46.4</v>
      </c>
      <c r="R378" s="40">
        <v>4.1500000000000004</v>
      </c>
      <c r="S378" s="34">
        <v>4150</v>
      </c>
      <c r="T378" s="34">
        <v>3.99</v>
      </c>
      <c r="U378" s="34">
        <f t="shared" si="6"/>
        <v>585</v>
      </c>
      <c r="V378" s="34">
        <f>VLOOKUP(U378,'Powder Core Toroid OD'!$A$2:$B$36,2,FALSE)</f>
        <v>34.299999999999997</v>
      </c>
    </row>
    <row r="379" spans="1:22" hidden="1">
      <c r="A379" s="42">
        <v>55582</v>
      </c>
      <c r="B379" s="34" t="s">
        <v>68</v>
      </c>
      <c r="C379" s="158">
        <v>585</v>
      </c>
      <c r="D379" s="34">
        <v>200</v>
      </c>
      <c r="E379" s="34" t="s">
        <v>21</v>
      </c>
      <c r="F379" s="34">
        <v>126</v>
      </c>
      <c r="G379" s="34" t="s">
        <v>0</v>
      </c>
      <c r="H379" s="34">
        <v>8.9499999999999993</v>
      </c>
      <c r="I379" s="34">
        <v>89.5</v>
      </c>
      <c r="J379" s="34">
        <v>0.88800000000000001</v>
      </c>
      <c r="K379" s="34">
        <v>22.5</v>
      </c>
      <c r="L379" s="34">
        <v>1.385</v>
      </c>
      <c r="M379" s="34">
        <v>35.18</v>
      </c>
      <c r="N379" s="34">
        <v>0.38500000000000001</v>
      </c>
      <c r="O379" s="34">
        <v>9.7799999999999994</v>
      </c>
      <c r="P379" s="34">
        <v>0.46400000000000002</v>
      </c>
      <c r="Q379" s="34">
        <v>46.4</v>
      </c>
      <c r="R379" s="40">
        <v>4.1500000000000004</v>
      </c>
      <c r="S379" s="34">
        <v>4150</v>
      </c>
      <c r="T379" s="34">
        <v>3.99</v>
      </c>
      <c r="U379" s="34">
        <f t="shared" ref="U379:U442" si="7">C379*1</f>
        <v>585</v>
      </c>
      <c r="V379" s="34">
        <f>VLOOKUP(U379,'Powder Core Toroid OD'!$A$2:$B$36,2,FALSE)</f>
        <v>34.299999999999997</v>
      </c>
    </row>
    <row r="380" spans="1:22" hidden="1">
      <c r="A380" s="42">
        <v>55583</v>
      </c>
      <c r="B380" s="34" t="s">
        <v>67</v>
      </c>
      <c r="C380" s="158">
        <v>585</v>
      </c>
      <c r="D380" s="34">
        <v>160</v>
      </c>
      <c r="E380" s="34" t="s">
        <v>21</v>
      </c>
      <c r="F380" s="34">
        <v>101</v>
      </c>
      <c r="G380" s="34" t="s">
        <v>0</v>
      </c>
      <c r="H380" s="34">
        <v>8.9499999999999993</v>
      </c>
      <c r="I380" s="34">
        <v>89.5</v>
      </c>
      <c r="J380" s="34">
        <v>0.88800000000000001</v>
      </c>
      <c r="K380" s="34">
        <v>22.5</v>
      </c>
      <c r="L380" s="34">
        <v>1.385</v>
      </c>
      <c r="M380" s="34">
        <v>35.18</v>
      </c>
      <c r="N380" s="34">
        <v>0.38500000000000001</v>
      </c>
      <c r="O380" s="34">
        <v>9.7799999999999994</v>
      </c>
      <c r="P380" s="34">
        <v>0.46400000000000002</v>
      </c>
      <c r="Q380" s="34">
        <v>46.4</v>
      </c>
      <c r="R380" s="40">
        <v>4.1500000000000004</v>
      </c>
      <c r="S380" s="34">
        <v>4150</v>
      </c>
      <c r="T380" s="34">
        <v>3.99</v>
      </c>
      <c r="U380" s="34">
        <f t="shared" si="7"/>
        <v>585</v>
      </c>
      <c r="V380" s="34">
        <f>VLOOKUP(U380,'Powder Core Toroid OD'!$A$2:$B$36,2,FALSE)</f>
        <v>34.299999999999997</v>
      </c>
    </row>
    <row r="381" spans="1:22" hidden="1">
      <c r="A381" s="42">
        <v>55585</v>
      </c>
      <c r="B381" s="34" t="s">
        <v>66</v>
      </c>
      <c r="C381" s="158">
        <v>585</v>
      </c>
      <c r="D381" s="34">
        <v>125</v>
      </c>
      <c r="E381" s="34" t="s">
        <v>21</v>
      </c>
      <c r="F381" s="34">
        <v>79</v>
      </c>
      <c r="G381" s="34" t="s">
        <v>0</v>
      </c>
      <c r="H381" s="34">
        <v>8.9499999999999993</v>
      </c>
      <c r="I381" s="34">
        <v>89.5</v>
      </c>
      <c r="J381" s="34">
        <v>0.88800000000000001</v>
      </c>
      <c r="K381" s="34">
        <v>22.5</v>
      </c>
      <c r="L381" s="34">
        <v>1.385</v>
      </c>
      <c r="M381" s="34">
        <v>35.18</v>
      </c>
      <c r="N381" s="34">
        <v>0.38500000000000001</v>
      </c>
      <c r="O381" s="34">
        <v>9.7799999999999994</v>
      </c>
      <c r="P381" s="34">
        <v>0.46400000000000002</v>
      </c>
      <c r="Q381" s="34">
        <v>46.4</v>
      </c>
      <c r="R381" s="40">
        <v>4.1500000000000004</v>
      </c>
      <c r="S381" s="34">
        <v>4150</v>
      </c>
      <c r="T381" s="34">
        <v>3.99</v>
      </c>
      <c r="U381" s="34">
        <f t="shared" si="7"/>
        <v>585</v>
      </c>
      <c r="V381" s="34">
        <f>VLOOKUP(U381,'Powder Core Toroid OD'!$A$2:$B$36,2,FALSE)</f>
        <v>34.299999999999997</v>
      </c>
    </row>
    <row r="382" spans="1:22" hidden="1">
      <c r="A382" s="42">
        <v>55586</v>
      </c>
      <c r="B382" s="34" t="s">
        <v>65</v>
      </c>
      <c r="C382" s="158">
        <v>585</v>
      </c>
      <c r="D382" s="34">
        <v>60</v>
      </c>
      <c r="E382" s="34" t="s">
        <v>21</v>
      </c>
      <c r="F382" s="34">
        <v>38</v>
      </c>
      <c r="G382" s="34" t="s">
        <v>0</v>
      </c>
      <c r="H382" s="34">
        <v>8.9499999999999993</v>
      </c>
      <c r="I382" s="34">
        <v>89.5</v>
      </c>
      <c r="J382" s="34">
        <v>0.88800000000000001</v>
      </c>
      <c r="K382" s="34">
        <v>22.5</v>
      </c>
      <c r="L382" s="34">
        <v>1.385</v>
      </c>
      <c r="M382" s="34">
        <v>35.18</v>
      </c>
      <c r="N382" s="34">
        <v>0.38500000000000001</v>
      </c>
      <c r="O382" s="34">
        <v>9.7799999999999994</v>
      </c>
      <c r="P382" s="34">
        <v>0.46400000000000002</v>
      </c>
      <c r="Q382" s="34">
        <v>46.4</v>
      </c>
      <c r="R382" s="40">
        <v>4.1500000000000004</v>
      </c>
      <c r="S382" s="34">
        <v>4150</v>
      </c>
      <c r="T382" s="34">
        <v>3.99</v>
      </c>
      <c r="U382" s="34">
        <f t="shared" si="7"/>
        <v>585</v>
      </c>
      <c r="V382" s="34">
        <f>VLOOKUP(U382,'Powder Core Toroid OD'!$A$2:$B$36,2,FALSE)</f>
        <v>34.299999999999997</v>
      </c>
    </row>
    <row r="383" spans="1:22" hidden="1">
      <c r="A383" s="42">
        <v>55587</v>
      </c>
      <c r="B383" s="34" t="s">
        <v>254</v>
      </c>
      <c r="C383" s="158">
        <v>585</v>
      </c>
      <c r="D383" s="34">
        <v>26</v>
      </c>
      <c r="E383" s="34" t="s">
        <v>21</v>
      </c>
      <c r="F383" s="34">
        <v>16</v>
      </c>
      <c r="G383" s="34" t="s">
        <v>0</v>
      </c>
      <c r="H383" s="34">
        <v>8.9499999999999993</v>
      </c>
      <c r="I383" s="34">
        <v>89.5</v>
      </c>
      <c r="J383" s="34">
        <v>0.88800000000000001</v>
      </c>
      <c r="K383" s="34">
        <v>22.5</v>
      </c>
      <c r="L383" s="34">
        <v>1.385</v>
      </c>
      <c r="M383" s="34">
        <v>35.18</v>
      </c>
      <c r="N383" s="34">
        <v>0.38500000000000001</v>
      </c>
      <c r="O383" s="34">
        <v>9.7799999999999994</v>
      </c>
      <c r="P383" s="34">
        <v>0.46400000000000002</v>
      </c>
      <c r="Q383" s="34">
        <v>46.4</v>
      </c>
      <c r="R383" s="40">
        <v>4.1500000000000004</v>
      </c>
      <c r="S383" s="34">
        <v>4150</v>
      </c>
      <c r="T383" s="34">
        <v>3.99</v>
      </c>
      <c r="U383" s="34">
        <f t="shared" si="7"/>
        <v>585</v>
      </c>
      <c r="V383" s="34">
        <f>VLOOKUP(U383,'Powder Core Toroid OD'!$A$2:$B$36,2,FALSE)</f>
        <v>34.299999999999997</v>
      </c>
    </row>
    <row r="384" spans="1:22" hidden="1">
      <c r="A384" s="42">
        <v>55588</v>
      </c>
      <c r="B384" s="34" t="s">
        <v>253</v>
      </c>
      <c r="C384" s="158">
        <v>585</v>
      </c>
      <c r="D384" s="34">
        <v>14</v>
      </c>
      <c r="E384" s="34" t="s">
        <v>21</v>
      </c>
      <c r="F384" s="34">
        <v>9</v>
      </c>
      <c r="G384" s="34" t="s">
        <v>0</v>
      </c>
      <c r="H384" s="34">
        <v>8.9499999999999993</v>
      </c>
      <c r="I384" s="34">
        <v>89.5</v>
      </c>
      <c r="J384" s="34">
        <v>0.88800000000000001</v>
      </c>
      <c r="K384" s="34">
        <v>22.5</v>
      </c>
      <c r="L384" s="34">
        <v>1.385</v>
      </c>
      <c r="M384" s="34">
        <v>35.18</v>
      </c>
      <c r="N384" s="34">
        <v>0.38500000000000001</v>
      </c>
      <c r="O384" s="34">
        <v>9.7799999999999994</v>
      </c>
      <c r="P384" s="34">
        <v>0.46400000000000002</v>
      </c>
      <c r="Q384" s="34">
        <v>46.4</v>
      </c>
      <c r="R384" s="40">
        <v>4.1500000000000004</v>
      </c>
      <c r="S384" s="34">
        <v>4150</v>
      </c>
      <c r="T384" s="34">
        <v>3.99</v>
      </c>
      <c r="U384" s="34">
        <f t="shared" si="7"/>
        <v>585</v>
      </c>
      <c r="V384" s="34">
        <f>VLOOKUP(U384,'Powder Core Toroid OD'!$A$2:$B$36,2,FALSE)</f>
        <v>34.299999999999997</v>
      </c>
    </row>
    <row r="385" spans="1:22" hidden="1">
      <c r="A385" s="42">
        <v>55710</v>
      </c>
      <c r="B385" s="34" t="s">
        <v>64</v>
      </c>
      <c r="C385" s="158">
        <v>715</v>
      </c>
      <c r="D385" s="34">
        <v>300</v>
      </c>
      <c r="E385" s="34" t="s">
        <v>21</v>
      </c>
      <c r="F385" s="34">
        <v>365</v>
      </c>
      <c r="G385" s="34" t="s">
        <v>0</v>
      </c>
      <c r="H385" s="34">
        <v>12.7</v>
      </c>
      <c r="I385" s="34">
        <v>127</v>
      </c>
      <c r="J385" s="34">
        <v>1.218</v>
      </c>
      <c r="K385" s="34">
        <v>30.93</v>
      </c>
      <c r="L385" s="34">
        <v>2.0350000000000001</v>
      </c>
      <c r="M385" s="34">
        <v>51.69</v>
      </c>
      <c r="N385" s="34">
        <v>0.56500000000000006</v>
      </c>
      <c r="O385" s="34">
        <v>14.4</v>
      </c>
      <c r="P385" s="34">
        <v>1.25</v>
      </c>
      <c r="Q385" s="34">
        <v>125</v>
      </c>
      <c r="R385" s="34">
        <v>15.9</v>
      </c>
      <c r="S385" s="34">
        <v>15900</v>
      </c>
      <c r="T385" s="34">
        <v>7.51</v>
      </c>
      <c r="U385" s="34">
        <f t="shared" si="7"/>
        <v>715</v>
      </c>
      <c r="V385" s="34">
        <f>VLOOKUP(U385,'Powder Core Toroid OD'!$A$2:$B$36,2,FALSE)</f>
        <v>50.8</v>
      </c>
    </row>
    <row r="386" spans="1:22" hidden="1">
      <c r="A386" s="42">
        <v>55713</v>
      </c>
      <c r="B386" s="34" t="s">
        <v>63</v>
      </c>
      <c r="C386" s="158">
        <v>715</v>
      </c>
      <c r="D386" s="34">
        <v>160</v>
      </c>
      <c r="E386" s="34" t="s">
        <v>21</v>
      </c>
      <c r="F386" s="34">
        <v>195</v>
      </c>
      <c r="G386" s="34" t="s">
        <v>0</v>
      </c>
      <c r="H386" s="34">
        <v>12.7</v>
      </c>
      <c r="I386" s="34">
        <v>127</v>
      </c>
      <c r="J386" s="34">
        <v>1.218</v>
      </c>
      <c r="K386" s="34">
        <v>30.93</v>
      </c>
      <c r="L386" s="34">
        <v>2.0350000000000001</v>
      </c>
      <c r="M386" s="34">
        <v>51.69</v>
      </c>
      <c r="N386" s="34">
        <v>0.56500000000000006</v>
      </c>
      <c r="O386" s="34">
        <v>14.4</v>
      </c>
      <c r="P386" s="34">
        <v>1.25</v>
      </c>
      <c r="Q386" s="34">
        <v>125</v>
      </c>
      <c r="R386" s="34">
        <v>15.9</v>
      </c>
      <c r="S386" s="34">
        <v>15900</v>
      </c>
      <c r="T386" s="34">
        <v>7.51</v>
      </c>
      <c r="U386" s="34">
        <f t="shared" si="7"/>
        <v>715</v>
      </c>
      <c r="V386" s="34">
        <f>VLOOKUP(U386,'Powder Core Toroid OD'!$A$2:$B$36,2,FALSE)</f>
        <v>50.8</v>
      </c>
    </row>
    <row r="387" spans="1:22" hidden="1">
      <c r="A387" s="42">
        <v>55714</v>
      </c>
      <c r="B387" s="34" t="s">
        <v>62</v>
      </c>
      <c r="C387" s="158">
        <v>715</v>
      </c>
      <c r="D387" s="34">
        <v>147</v>
      </c>
      <c r="E387" s="34" t="s">
        <v>21</v>
      </c>
      <c r="F387" s="34">
        <v>179</v>
      </c>
      <c r="G387" s="34" t="s">
        <v>0</v>
      </c>
      <c r="H387" s="34">
        <v>12.7</v>
      </c>
      <c r="I387" s="34">
        <v>127</v>
      </c>
      <c r="J387" s="34">
        <v>1.218</v>
      </c>
      <c r="K387" s="34">
        <v>30.93</v>
      </c>
      <c r="L387" s="34">
        <v>2.0350000000000001</v>
      </c>
      <c r="M387" s="34">
        <v>51.69</v>
      </c>
      <c r="N387" s="34">
        <v>0.56500000000000006</v>
      </c>
      <c r="O387" s="34">
        <v>14.4</v>
      </c>
      <c r="P387" s="34">
        <v>1.25</v>
      </c>
      <c r="Q387" s="34">
        <v>125</v>
      </c>
      <c r="R387" s="34">
        <v>15.9</v>
      </c>
      <c r="S387" s="34">
        <v>15900</v>
      </c>
      <c r="T387" s="34">
        <v>7.51</v>
      </c>
      <c r="U387" s="34">
        <f t="shared" si="7"/>
        <v>715</v>
      </c>
      <c r="V387" s="34">
        <f>VLOOKUP(U387,'Powder Core Toroid OD'!$A$2:$B$36,2,FALSE)</f>
        <v>50.8</v>
      </c>
    </row>
    <row r="388" spans="1:22" hidden="1">
      <c r="A388" s="42">
        <v>55715</v>
      </c>
      <c r="B388" s="34" t="s">
        <v>61</v>
      </c>
      <c r="C388" s="158">
        <v>715</v>
      </c>
      <c r="D388" s="34">
        <v>125</v>
      </c>
      <c r="E388" s="34" t="s">
        <v>21</v>
      </c>
      <c r="F388" s="34">
        <v>152</v>
      </c>
      <c r="G388" s="34" t="s">
        <v>0</v>
      </c>
      <c r="H388" s="34">
        <v>12.7</v>
      </c>
      <c r="I388" s="34">
        <v>127</v>
      </c>
      <c r="J388" s="34">
        <v>1.218</v>
      </c>
      <c r="K388" s="34">
        <v>30.93</v>
      </c>
      <c r="L388" s="34">
        <v>2.0350000000000001</v>
      </c>
      <c r="M388" s="34">
        <v>51.69</v>
      </c>
      <c r="N388" s="34">
        <v>0.56500000000000006</v>
      </c>
      <c r="O388" s="34">
        <v>14.4</v>
      </c>
      <c r="P388" s="34">
        <v>1.25</v>
      </c>
      <c r="Q388" s="34">
        <v>125</v>
      </c>
      <c r="R388" s="34">
        <v>15.9</v>
      </c>
      <c r="S388" s="34">
        <v>15900</v>
      </c>
      <c r="T388" s="34">
        <v>7.51</v>
      </c>
      <c r="U388" s="34">
        <f t="shared" si="7"/>
        <v>715</v>
      </c>
      <c r="V388" s="34">
        <f>VLOOKUP(U388,'Powder Core Toroid OD'!$A$2:$B$36,2,FALSE)</f>
        <v>50.8</v>
      </c>
    </row>
    <row r="389" spans="1:22" hidden="1">
      <c r="A389" s="42">
        <v>55716</v>
      </c>
      <c r="B389" s="34" t="s">
        <v>60</v>
      </c>
      <c r="C389" s="158">
        <v>715</v>
      </c>
      <c r="D389" s="34">
        <v>60</v>
      </c>
      <c r="E389" s="34" t="s">
        <v>21</v>
      </c>
      <c r="F389" s="34">
        <v>73</v>
      </c>
      <c r="G389" s="34" t="s">
        <v>0</v>
      </c>
      <c r="H389" s="34">
        <v>12.7</v>
      </c>
      <c r="I389" s="34">
        <v>127</v>
      </c>
      <c r="J389" s="34">
        <v>1.218</v>
      </c>
      <c r="K389" s="34">
        <v>30.93</v>
      </c>
      <c r="L389" s="34">
        <v>2.0350000000000001</v>
      </c>
      <c r="M389" s="34">
        <v>51.69</v>
      </c>
      <c r="N389" s="34">
        <v>0.56500000000000006</v>
      </c>
      <c r="O389" s="34">
        <v>14.4</v>
      </c>
      <c r="P389" s="34">
        <v>1.25</v>
      </c>
      <c r="Q389" s="34">
        <v>125</v>
      </c>
      <c r="R389" s="34">
        <v>15.9</v>
      </c>
      <c r="S389" s="34">
        <v>15900</v>
      </c>
      <c r="T389" s="34">
        <v>7.51</v>
      </c>
      <c r="U389" s="34">
        <f t="shared" si="7"/>
        <v>715</v>
      </c>
      <c r="V389" s="34">
        <f>VLOOKUP(U389,'Powder Core Toroid OD'!$A$2:$B$36,2,FALSE)</f>
        <v>50.8</v>
      </c>
    </row>
    <row r="390" spans="1:22" hidden="1">
      <c r="A390" s="42">
        <v>55717</v>
      </c>
      <c r="B390" s="34" t="s">
        <v>252</v>
      </c>
      <c r="C390" s="158">
        <v>715</v>
      </c>
      <c r="D390" s="34">
        <v>26</v>
      </c>
      <c r="E390" s="34" t="s">
        <v>21</v>
      </c>
      <c r="F390" s="34">
        <v>32</v>
      </c>
      <c r="G390" s="34" t="s">
        <v>0</v>
      </c>
      <c r="H390" s="34">
        <v>12.7</v>
      </c>
      <c r="I390" s="34">
        <v>127</v>
      </c>
      <c r="J390" s="34">
        <v>1.218</v>
      </c>
      <c r="K390" s="34">
        <v>30.93</v>
      </c>
      <c r="L390" s="34">
        <v>2.0350000000000001</v>
      </c>
      <c r="M390" s="34">
        <v>51.69</v>
      </c>
      <c r="N390" s="34">
        <v>0.56500000000000006</v>
      </c>
      <c r="O390" s="34">
        <v>14.4</v>
      </c>
      <c r="P390" s="34">
        <v>1.25</v>
      </c>
      <c r="Q390" s="34">
        <v>125</v>
      </c>
      <c r="R390" s="34">
        <v>15.9</v>
      </c>
      <c r="S390" s="34">
        <v>15900</v>
      </c>
      <c r="T390" s="34">
        <v>7.51</v>
      </c>
      <c r="U390" s="34">
        <f t="shared" si="7"/>
        <v>715</v>
      </c>
      <c r="V390" s="34">
        <f>VLOOKUP(U390,'Powder Core Toroid OD'!$A$2:$B$36,2,FALSE)</f>
        <v>50.8</v>
      </c>
    </row>
    <row r="391" spans="1:22" hidden="1">
      <c r="A391" s="42">
        <v>55718</v>
      </c>
      <c r="B391" s="34" t="s">
        <v>251</v>
      </c>
      <c r="C391" s="158">
        <v>715</v>
      </c>
      <c r="D391" s="34">
        <v>14</v>
      </c>
      <c r="E391" s="34" t="s">
        <v>21</v>
      </c>
      <c r="F391" s="34">
        <v>17</v>
      </c>
      <c r="G391" s="34" t="s">
        <v>0</v>
      </c>
      <c r="H391" s="34">
        <v>12.7</v>
      </c>
      <c r="I391" s="34">
        <v>127</v>
      </c>
      <c r="J391" s="34">
        <v>1.218</v>
      </c>
      <c r="K391" s="34">
        <v>30.93</v>
      </c>
      <c r="L391" s="34">
        <v>2.0350000000000001</v>
      </c>
      <c r="M391" s="34">
        <v>51.69</v>
      </c>
      <c r="N391" s="34">
        <v>0.56500000000000006</v>
      </c>
      <c r="O391" s="34">
        <v>14.4</v>
      </c>
      <c r="P391" s="34">
        <v>1.25</v>
      </c>
      <c r="Q391" s="34">
        <v>125</v>
      </c>
      <c r="R391" s="34">
        <v>15.9</v>
      </c>
      <c r="S391" s="34">
        <v>15900</v>
      </c>
      <c r="T391" s="34">
        <v>7.51</v>
      </c>
      <c r="U391" s="34">
        <f t="shared" si="7"/>
        <v>715</v>
      </c>
      <c r="V391" s="34">
        <f>VLOOKUP(U391,'Powder Core Toroid OD'!$A$2:$B$36,2,FALSE)</f>
        <v>50.8</v>
      </c>
    </row>
    <row r="392" spans="1:22" hidden="1">
      <c r="A392" s="42">
        <v>55848</v>
      </c>
      <c r="B392" s="34" t="s">
        <v>59</v>
      </c>
      <c r="C392" s="158">
        <v>206</v>
      </c>
      <c r="D392" s="34">
        <v>60</v>
      </c>
      <c r="E392" s="34" t="s">
        <v>21</v>
      </c>
      <c r="F392" s="34">
        <v>32</v>
      </c>
      <c r="G392" s="34" t="s">
        <v>0</v>
      </c>
      <c r="H392" s="34">
        <v>5.09</v>
      </c>
      <c r="I392" s="34">
        <v>50.9</v>
      </c>
      <c r="J392" s="34">
        <v>0.47500000000000003</v>
      </c>
      <c r="K392" s="35">
        <v>12</v>
      </c>
      <c r="L392" s="41">
        <v>0.83</v>
      </c>
      <c r="M392" s="34">
        <v>21.1</v>
      </c>
      <c r="N392" s="41">
        <v>0.28000000000000003</v>
      </c>
      <c r="O392" s="34">
        <v>7.12</v>
      </c>
      <c r="P392" s="34">
        <v>0.221</v>
      </c>
      <c r="Q392" s="34">
        <v>22.1</v>
      </c>
      <c r="R392" s="40">
        <v>1.1200000000000001</v>
      </c>
      <c r="S392" s="34">
        <v>1120</v>
      </c>
      <c r="T392" s="34">
        <v>1.1399999999999999</v>
      </c>
      <c r="U392" s="34">
        <f t="shared" si="7"/>
        <v>206</v>
      </c>
      <c r="V392" s="34">
        <f>VLOOKUP(U392,'Powder Core Toroid OD'!$A$2:$B$36,2,FALSE)</f>
        <v>20.3</v>
      </c>
    </row>
    <row r="393" spans="1:22" hidden="1">
      <c r="A393" s="42">
        <v>55863</v>
      </c>
      <c r="B393" s="34" t="s">
        <v>58</v>
      </c>
      <c r="C393" s="158">
        <v>866</v>
      </c>
      <c r="D393" s="34">
        <v>200</v>
      </c>
      <c r="E393" s="34" t="s">
        <v>21</v>
      </c>
      <c r="F393" s="34">
        <v>225</v>
      </c>
      <c r="G393" s="34" t="s">
        <v>0</v>
      </c>
      <c r="H393" s="34">
        <v>19.600000000000001</v>
      </c>
      <c r="I393" s="34">
        <v>196</v>
      </c>
      <c r="J393" s="34">
        <v>1.8979999999999999</v>
      </c>
      <c r="K393" s="40">
        <v>48.2</v>
      </c>
      <c r="L393" s="34">
        <v>3.1080000000000001</v>
      </c>
      <c r="M393" s="34">
        <v>78.95</v>
      </c>
      <c r="N393" s="34">
        <v>0.54500000000000004</v>
      </c>
      <c r="O393" s="34">
        <v>13.9</v>
      </c>
      <c r="P393" s="34">
        <v>1.76</v>
      </c>
      <c r="Q393" s="34">
        <v>176</v>
      </c>
      <c r="R393" s="34">
        <v>34.5</v>
      </c>
      <c r="S393" s="34">
        <v>34500</v>
      </c>
      <c r="T393" s="34">
        <v>18.2</v>
      </c>
      <c r="U393" s="34">
        <f t="shared" si="7"/>
        <v>866</v>
      </c>
      <c r="V393" s="34">
        <f>VLOOKUP(U393,'Powder Core Toroid OD'!$A$2:$B$36,2,FALSE)</f>
        <v>77.8</v>
      </c>
    </row>
    <row r="394" spans="1:22" hidden="1">
      <c r="A394" s="42">
        <v>55866</v>
      </c>
      <c r="B394" s="34" t="s">
        <v>57</v>
      </c>
      <c r="C394" s="158">
        <v>866</v>
      </c>
      <c r="D394" s="34">
        <v>125</v>
      </c>
      <c r="E394" s="34" t="s">
        <v>21</v>
      </c>
      <c r="F394" s="34">
        <v>142</v>
      </c>
      <c r="G394" s="34" t="s">
        <v>0</v>
      </c>
      <c r="H394" s="34">
        <v>19.600000000000001</v>
      </c>
      <c r="I394" s="34">
        <v>196</v>
      </c>
      <c r="J394" s="34">
        <v>1.8979999999999999</v>
      </c>
      <c r="K394" s="40">
        <v>48.2</v>
      </c>
      <c r="L394" s="34">
        <v>3.1080000000000001</v>
      </c>
      <c r="M394" s="34">
        <v>78.95</v>
      </c>
      <c r="N394" s="34">
        <v>0.54500000000000004</v>
      </c>
      <c r="O394" s="34">
        <v>13.9</v>
      </c>
      <c r="P394" s="34">
        <v>1.76</v>
      </c>
      <c r="Q394" s="34">
        <v>176</v>
      </c>
      <c r="R394" s="34">
        <v>34.5</v>
      </c>
      <c r="S394" s="34">
        <v>34500</v>
      </c>
      <c r="T394" s="34">
        <v>18.2</v>
      </c>
      <c r="U394" s="34">
        <f t="shared" si="7"/>
        <v>866</v>
      </c>
      <c r="V394" s="34">
        <f>VLOOKUP(U394,'Powder Core Toroid OD'!$A$2:$B$36,2,FALSE)</f>
        <v>77.8</v>
      </c>
    </row>
    <row r="395" spans="1:22" hidden="1">
      <c r="A395" s="42">
        <v>55867</v>
      </c>
      <c r="B395" s="34" t="s">
        <v>56</v>
      </c>
      <c r="C395" s="158">
        <v>866</v>
      </c>
      <c r="D395" s="34">
        <v>60</v>
      </c>
      <c r="E395" s="34" t="s">
        <v>21</v>
      </c>
      <c r="F395" s="34">
        <v>68</v>
      </c>
      <c r="G395" s="34" t="s">
        <v>0</v>
      </c>
      <c r="H395" s="34">
        <v>19.600000000000001</v>
      </c>
      <c r="I395" s="34">
        <v>196</v>
      </c>
      <c r="J395" s="34">
        <v>1.8979999999999999</v>
      </c>
      <c r="K395" s="40">
        <v>48.2</v>
      </c>
      <c r="L395" s="34">
        <v>3.1080000000000001</v>
      </c>
      <c r="M395" s="34">
        <v>78.95</v>
      </c>
      <c r="N395" s="34">
        <v>0.54500000000000004</v>
      </c>
      <c r="O395" s="34">
        <v>13.9</v>
      </c>
      <c r="P395" s="34">
        <v>1.76</v>
      </c>
      <c r="Q395" s="34">
        <v>176</v>
      </c>
      <c r="R395" s="34">
        <v>34.5</v>
      </c>
      <c r="S395" s="34">
        <v>34500</v>
      </c>
      <c r="T395" s="34">
        <v>18.2</v>
      </c>
      <c r="U395" s="34">
        <f t="shared" si="7"/>
        <v>866</v>
      </c>
      <c r="V395" s="34">
        <f>VLOOKUP(U395,'Powder Core Toroid OD'!$A$2:$B$36,2,FALSE)</f>
        <v>77.8</v>
      </c>
    </row>
    <row r="396" spans="1:22" hidden="1">
      <c r="A396" s="42">
        <v>55868</v>
      </c>
      <c r="B396" s="34" t="s">
        <v>250</v>
      </c>
      <c r="C396" s="158">
        <v>866</v>
      </c>
      <c r="D396" s="34">
        <v>26</v>
      </c>
      <c r="E396" s="34" t="s">
        <v>21</v>
      </c>
      <c r="F396" s="34">
        <v>30</v>
      </c>
      <c r="G396" s="34" t="s">
        <v>0</v>
      </c>
      <c r="H396" s="34">
        <v>19.600000000000001</v>
      </c>
      <c r="I396" s="34">
        <v>196</v>
      </c>
      <c r="J396" s="34">
        <v>1.8979999999999999</v>
      </c>
      <c r="K396" s="40">
        <v>48.2</v>
      </c>
      <c r="L396" s="34">
        <v>3.1080000000000001</v>
      </c>
      <c r="M396" s="34">
        <v>78.95</v>
      </c>
      <c r="N396" s="34">
        <v>0.54500000000000004</v>
      </c>
      <c r="O396" s="34">
        <v>13.9</v>
      </c>
      <c r="P396" s="34">
        <v>1.76</v>
      </c>
      <c r="Q396" s="34">
        <v>176</v>
      </c>
      <c r="R396" s="34">
        <v>34.5</v>
      </c>
      <c r="S396" s="34">
        <v>34500</v>
      </c>
      <c r="T396" s="34">
        <v>18.2</v>
      </c>
      <c r="U396" s="34">
        <f t="shared" si="7"/>
        <v>866</v>
      </c>
      <c r="V396" s="34">
        <f>VLOOKUP(U396,'Powder Core Toroid OD'!$A$2:$B$36,2,FALSE)</f>
        <v>77.8</v>
      </c>
    </row>
    <row r="397" spans="1:22" hidden="1">
      <c r="A397" s="42">
        <v>55869</v>
      </c>
      <c r="B397" s="34" t="s">
        <v>249</v>
      </c>
      <c r="C397" s="158">
        <v>866</v>
      </c>
      <c r="D397" s="34">
        <v>14</v>
      </c>
      <c r="E397" s="34" t="s">
        <v>21</v>
      </c>
      <c r="F397" s="34">
        <v>16</v>
      </c>
      <c r="G397" s="34" t="s">
        <v>0</v>
      </c>
      <c r="H397" s="34">
        <v>19.600000000000001</v>
      </c>
      <c r="I397" s="34">
        <v>196</v>
      </c>
      <c r="J397" s="34">
        <v>1.8979999999999999</v>
      </c>
      <c r="K397" s="40">
        <v>48.2</v>
      </c>
      <c r="L397" s="34">
        <v>3.1080000000000001</v>
      </c>
      <c r="M397" s="34">
        <v>78.95</v>
      </c>
      <c r="N397" s="34">
        <v>0.54500000000000004</v>
      </c>
      <c r="O397" s="34">
        <v>13.9</v>
      </c>
      <c r="P397" s="34">
        <v>1.76</v>
      </c>
      <c r="Q397" s="34">
        <v>176</v>
      </c>
      <c r="R397" s="34">
        <v>34.5</v>
      </c>
      <c r="S397" s="34">
        <v>34500</v>
      </c>
      <c r="T397" s="34">
        <v>18.2</v>
      </c>
      <c r="U397" s="34">
        <f t="shared" si="7"/>
        <v>866</v>
      </c>
      <c r="V397" s="34">
        <f>VLOOKUP(U397,'Powder Core Toroid OD'!$A$2:$B$36,2,FALSE)</f>
        <v>77.8</v>
      </c>
    </row>
    <row r="398" spans="1:22" hidden="1">
      <c r="A398" s="42">
        <v>55894</v>
      </c>
      <c r="B398" s="34" t="s">
        <v>55</v>
      </c>
      <c r="C398" s="158">
        <v>930</v>
      </c>
      <c r="D398" s="34">
        <v>60</v>
      </c>
      <c r="E398" s="34" t="s">
        <v>21</v>
      </c>
      <c r="F398" s="34">
        <v>75</v>
      </c>
      <c r="G398" s="34" t="s">
        <v>0</v>
      </c>
      <c r="H398" s="34">
        <v>6.35</v>
      </c>
      <c r="I398" s="34">
        <v>63.5</v>
      </c>
      <c r="J398" s="34">
        <v>0.55500000000000005</v>
      </c>
      <c r="K398" s="34">
        <v>14.1</v>
      </c>
      <c r="L398" s="41">
        <v>1.0900000000000001</v>
      </c>
      <c r="M398" s="34">
        <v>27.69</v>
      </c>
      <c r="N398" s="41">
        <v>0.47</v>
      </c>
      <c r="O398" s="35">
        <v>12</v>
      </c>
      <c r="P398" s="34">
        <v>0.65400000000000003</v>
      </c>
      <c r="Q398" s="34">
        <v>65.400000000000006</v>
      </c>
      <c r="R398" s="34">
        <v>4.1500000000000004</v>
      </c>
      <c r="S398" s="34">
        <v>4150</v>
      </c>
      <c r="T398" s="34">
        <v>1.56</v>
      </c>
      <c r="U398" s="34">
        <f t="shared" si="7"/>
        <v>930</v>
      </c>
      <c r="V398" s="34">
        <f>VLOOKUP(U398,'Powder Core Toroid OD'!$A$2:$B$36,2,FALSE)</f>
        <v>26.9</v>
      </c>
    </row>
    <row r="399" spans="1:22" hidden="1">
      <c r="A399" s="42">
        <v>55906</v>
      </c>
      <c r="B399" s="34" t="s">
        <v>54</v>
      </c>
      <c r="C399" s="158">
        <v>906</v>
      </c>
      <c r="D399" s="34">
        <v>125</v>
      </c>
      <c r="E399" s="34" t="s">
        <v>21</v>
      </c>
      <c r="F399" s="34">
        <v>178</v>
      </c>
      <c r="G399" s="34" t="s">
        <v>0</v>
      </c>
      <c r="H399" s="34">
        <v>19.600000000000001</v>
      </c>
      <c r="I399" s="34">
        <v>196</v>
      </c>
      <c r="J399" s="34">
        <v>1.8979999999999999</v>
      </c>
      <c r="K399" s="40">
        <v>48.2</v>
      </c>
      <c r="L399" s="34">
        <v>3.1080000000000001</v>
      </c>
      <c r="M399" s="34">
        <v>78.95</v>
      </c>
      <c r="N399" s="41">
        <v>0.67</v>
      </c>
      <c r="O399" s="34">
        <v>17.100000000000001</v>
      </c>
      <c r="P399" s="34">
        <v>2.21</v>
      </c>
      <c r="Q399" s="34">
        <v>221</v>
      </c>
      <c r="R399" s="34">
        <v>43.4</v>
      </c>
      <c r="S399" s="34">
        <v>43400</v>
      </c>
      <c r="T399" s="34">
        <v>18.2</v>
      </c>
      <c r="U399" s="34">
        <f t="shared" si="7"/>
        <v>906</v>
      </c>
      <c r="V399" s="34">
        <f>VLOOKUP(U399,'Powder Core Toroid OD'!$A$2:$B$36,2,FALSE)</f>
        <v>77.8</v>
      </c>
    </row>
    <row r="400" spans="1:22" hidden="1">
      <c r="A400" s="42">
        <v>55907</v>
      </c>
      <c r="B400" s="34" t="s">
        <v>53</v>
      </c>
      <c r="C400" s="158">
        <v>906</v>
      </c>
      <c r="D400" s="34">
        <v>60</v>
      </c>
      <c r="E400" s="34" t="s">
        <v>21</v>
      </c>
      <c r="F400" s="34">
        <v>85</v>
      </c>
      <c r="G400" s="34" t="s">
        <v>0</v>
      </c>
      <c r="H400" s="34">
        <v>19.600000000000001</v>
      </c>
      <c r="I400" s="34">
        <v>196</v>
      </c>
      <c r="J400" s="34">
        <v>1.8979999999999999</v>
      </c>
      <c r="K400" s="40">
        <v>48.2</v>
      </c>
      <c r="L400" s="34">
        <v>3.1080000000000001</v>
      </c>
      <c r="M400" s="34">
        <v>78.95</v>
      </c>
      <c r="N400" s="41">
        <v>0.67</v>
      </c>
      <c r="O400" s="34">
        <v>17.100000000000001</v>
      </c>
      <c r="P400" s="34">
        <v>2.21</v>
      </c>
      <c r="Q400" s="34">
        <v>221</v>
      </c>
      <c r="R400" s="34">
        <v>43.4</v>
      </c>
      <c r="S400" s="34">
        <v>43400</v>
      </c>
      <c r="T400" s="34">
        <v>18.2</v>
      </c>
      <c r="U400" s="34">
        <f t="shared" si="7"/>
        <v>906</v>
      </c>
      <c r="V400" s="34">
        <f>VLOOKUP(U400,'Powder Core Toroid OD'!$A$2:$B$36,2,FALSE)</f>
        <v>77.8</v>
      </c>
    </row>
    <row r="401" spans="1:22" hidden="1">
      <c r="A401" s="42">
        <v>55908</v>
      </c>
      <c r="B401" s="34" t="s">
        <v>248</v>
      </c>
      <c r="C401" s="158">
        <v>906</v>
      </c>
      <c r="D401" s="34">
        <v>26</v>
      </c>
      <c r="E401" s="34" t="s">
        <v>21</v>
      </c>
      <c r="F401" s="34">
        <v>37</v>
      </c>
      <c r="G401" s="34" t="s">
        <v>0</v>
      </c>
      <c r="H401" s="34">
        <v>19.600000000000001</v>
      </c>
      <c r="I401" s="34">
        <v>196</v>
      </c>
      <c r="J401" s="34">
        <v>1.8979999999999999</v>
      </c>
      <c r="K401" s="40">
        <v>48.2</v>
      </c>
      <c r="L401" s="34">
        <v>3.1080000000000001</v>
      </c>
      <c r="M401" s="34">
        <v>78.95</v>
      </c>
      <c r="N401" s="41">
        <v>0.67</v>
      </c>
      <c r="O401" s="34">
        <v>17.100000000000001</v>
      </c>
      <c r="P401" s="34">
        <v>2.21</v>
      </c>
      <c r="Q401" s="34">
        <v>221</v>
      </c>
      <c r="R401" s="34">
        <v>43.4</v>
      </c>
      <c r="S401" s="34">
        <v>43400</v>
      </c>
      <c r="T401" s="34">
        <v>18.2</v>
      </c>
      <c r="U401" s="34">
        <f t="shared" si="7"/>
        <v>906</v>
      </c>
      <c r="V401" s="34">
        <f>VLOOKUP(U401,'Powder Core Toroid OD'!$A$2:$B$36,2,FALSE)</f>
        <v>77.8</v>
      </c>
    </row>
    <row r="402" spans="1:22" hidden="1">
      <c r="A402" s="42">
        <v>55909</v>
      </c>
      <c r="B402" s="34" t="s">
        <v>247</v>
      </c>
      <c r="C402" s="158">
        <v>906</v>
      </c>
      <c r="D402" s="34">
        <v>14</v>
      </c>
      <c r="E402" s="34" t="s">
        <v>21</v>
      </c>
      <c r="F402" s="34">
        <v>20</v>
      </c>
      <c r="G402" s="34" t="s">
        <v>0</v>
      </c>
      <c r="H402" s="34">
        <v>19.600000000000001</v>
      </c>
      <c r="I402" s="34">
        <v>196</v>
      </c>
      <c r="J402" s="34">
        <v>1.8979999999999999</v>
      </c>
      <c r="K402" s="40">
        <v>48.2</v>
      </c>
      <c r="L402" s="34">
        <v>3.1080000000000001</v>
      </c>
      <c r="M402" s="34">
        <v>78.95</v>
      </c>
      <c r="N402" s="41">
        <v>0.67</v>
      </c>
      <c r="O402" s="34">
        <v>17.100000000000001</v>
      </c>
      <c r="P402" s="34">
        <v>2.21</v>
      </c>
      <c r="Q402" s="34">
        <v>221</v>
      </c>
      <c r="R402" s="34">
        <v>43.4</v>
      </c>
      <c r="S402" s="34">
        <v>43400</v>
      </c>
      <c r="T402" s="34">
        <v>18.2</v>
      </c>
      <c r="U402" s="34">
        <f t="shared" si="7"/>
        <v>906</v>
      </c>
      <c r="V402" s="34">
        <f>VLOOKUP(U402,'Powder Core Toroid OD'!$A$2:$B$36,2,FALSE)</f>
        <v>77.8</v>
      </c>
    </row>
    <row r="403" spans="1:22" hidden="1">
      <c r="A403" s="42">
        <v>55924</v>
      </c>
      <c r="B403" s="34" t="s">
        <v>52</v>
      </c>
      <c r="C403" s="158">
        <v>930</v>
      </c>
      <c r="D403" s="34">
        <v>173</v>
      </c>
      <c r="E403" s="34" t="s">
        <v>21</v>
      </c>
      <c r="F403" s="34">
        <v>217</v>
      </c>
      <c r="G403" s="34" t="s">
        <v>0</v>
      </c>
      <c r="H403" s="34">
        <v>6.35</v>
      </c>
      <c r="I403" s="34">
        <v>63.5</v>
      </c>
      <c r="J403" s="34">
        <v>0.55500000000000005</v>
      </c>
      <c r="K403" s="34">
        <v>14.1</v>
      </c>
      <c r="L403" s="41">
        <v>1.0900000000000001</v>
      </c>
      <c r="M403" s="34">
        <v>27.69</v>
      </c>
      <c r="N403" s="41">
        <v>0.47</v>
      </c>
      <c r="O403" s="35">
        <v>12</v>
      </c>
      <c r="P403" s="34">
        <v>0.65400000000000003</v>
      </c>
      <c r="Q403" s="34">
        <v>65.400000000000006</v>
      </c>
      <c r="R403" s="34">
        <v>4.1500000000000004</v>
      </c>
      <c r="S403" s="34">
        <v>4150</v>
      </c>
      <c r="T403" s="34">
        <v>1.56</v>
      </c>
      <c r="U403" s="34">
        <f t="shared" si="7"/>
        <v>930</v>
      </c>
      <c r="V403" s="34">
        <f>VLOOKUP(U403,'Powder Core Toroid OD'!$A$2:$B$36,2,FALSE)</f>
        <v>26.9</v>
      </c>
    </row>
    <row r="404" spans="1:22" hidden="1">
      <c r="A404" s="42">
        <v>55925</v>
      </c>
      <c r="B404" s="34" t="s">
        <v>51</v>
      </c>
      <c r="C404" s="158">
        <v>930</v>
      </c>
      <c r="D404" s="34">
        <v>300</v>
      </c>
      <c r="E404" s="34" t="s">
        <v>21</v>
      </c>
      <c r="F404" s="34">
        <v>377</v>
      </c>
      <c r="G404" s="34" t="s">
        <v>0</v>
      </c>
      <c r="H404" s="34">
        <v>6.35</v>
      </c>
      <c r="I404" s="34">
        <v>63.5</v>
      </c>
      <c r="J404" s="34">
        <v>0.55500000000000005</v>
      </c>
      <c r="K404" s="34">
        <v>14.1</v>
      </c>
      <c r="L404" s="41">
        <v>1.0900000000000001</v>
      </c>
      <c r="M404" s="34">
        <v>27.69</v>
      </c>
      <c r="N404" s="41">
        <v>0.47</v>
      </c>
      <c r="O404" s="35">
        <v>12</v>
      </c>
      <c r="P404" s="34">
        <v>0.65400000000000003</v>
      </c>
      <c r="Q404" s="34">
        <v>65.400000000000006</v>
      </c>
      <c r="R404" s="34">
        <v>4.1500000000000004</v>
      </c>
      <c r="S404" s="34">
        <v>4150</v>
      </c>
      <c r="T404" s="34">
        <v>1.56</v>
      </c>
      <c r="U404" s="34">
        <f t="shared" si="7"/>
        <v>930</v>
      </c>
      <c r="V404" s="34">
        <f>VLOOKUP(U404,'Powder Core Toroid OD'!$A$2:$B$36,2,FALSE)</f>
        <v>26.9</v>
      </c>
    </row>
    <row r="405" spans="1:22" hidden="1">
      <c r="A405" s="42">
        <v>55926</v>
      </c>
      <c r="B405" s="34" t="s">
        <v>50</v>
      </c>
      <c r="C405" s="158">
        <v>930</v>
      </c>
      <c r="D405" s="34">
        <v>550</v>
      </c>
      <c r="E405" s="34" t="s">
        <v>21</v>
      </c>
      <c r="F405" s="34">
        <v>740</v>
      </c>
      <c r="G405" s="34" t="s">
        <v>0</v>
      </c>
      <c r="H405" s="34">
        <v>6.35</v>
      </c>
      <c r="I405" s="34">
        <v>63.5</v>
      </c>
      <c r="J405" s="34">
        <v>0.55500000000000005</v>
      </c>
      <c r="K405" s="34">
        <v>14.1</v>
      </c>
      <c r="L405" s="41">
        <v>1.0900000000000001</v>
      </c>
      <c r="M405" s="34">
        <v>27.69</v>
      </c>
      <c r="N405" s="41">
        <v>0.47</v>
      </c>
      <c r="O405" s="35">
        <v>12</v>
      </c>
      <c r="P405" s="34">
        <v>0.65400000000000003</v>
      </c>
      <c r="Q405" s="34">
        <v>65.400000000000006</v>
      </c>
      <c r="R405" s="34">
        <v>4.1500000000000004</v>
      </c>
      <c r="S405" s="34">
        <v>4150</v>
      </c>
      <c r="T405" s="34">
        <v>1.56</v>
      </c>
      <c r="U405" s="34">
        <f t="shared" si="7"/>
        <v>930</v>
      </c>
      <c r="V405" s="34">
        <f>VLOOKUP(U405,'Powder Core Toroid OD'!$A$2:$B$36,2,FALSE)</f>
        <v>26.9</v>
      </c>
    </row>
    <row r="406" spans="1:22" hidden="1">
      <c r="A406" s="42">
        <v>55927</v>
      </c>
      <c r="B406" s="34" t="s">
        <v>49</v>
      </c>
      <c r="C406" s="158">
        <v>930</v>
      </c>
      <c r="D406" s="34">
        <v>200</v>
      </c>
      <c r="E406" s="34" t="s">
        <v>21</v>
      </c>
      <c r="F406" s="34">
        <v>251</v>
      </c>
      <c r="G406" s="34" t="s">
        <v>0</v>
      </c>
      <c r="H406" s="34">
        <v>6.35</v>
      </c>
      <c r="I406" s="34">
        <v>63.5</v>
      </c>
      <c r="J406" s="34">
        <v>0.55500000000000005</v>
      </c>
      <c r="K406" s="34">
        <v>14.1</v>
      </c>
      <c r="L406" s="41">
        <v>1.0900000000000001</v>
      </c>
      <c r="M406" s="34">
        <v>27.69</v>
      </c>
      <c r="N406" s="41">
        <v>0.47</v>
      </c>
      <c r="O406" s="35">
        <v>12</v>
      </c>
      <c r="P406" s="34">
        <v>0.65400000000000003</v>
      </c>
      <c r="Q406" s="34">
        <v>65.400000000000006</v>
      </c>
      <c r="R406" s="34">
        <v>4.1500000000000004</v>
      </c>
      <c r="S406" s="34">
        <v>4150</v>
      </c>
      <c r="T406" s="34">
        <v>1.56</v>
      </c>
      <c r="U406" s="34">
        <f t="shared" si="7"/>
        <v>930</v>
      </c>
      <c r="V406" s="34">
        <f>VLOOKUP(U406,'Powder Core Toroid OD'!$A$2:$B$36,2,FALSE)</f>
        <v>26.9</v>
      </c>
    </row>
    <row r="407" spans="1:22" hidden="1">
      <c r="A407" s="42">
        <v>55928</v>
      </c>
      <c r="B407" s="34" t="s">
        <v>48</v>
      </c>
      <c r="C407" s="158">
        <v>930</v>
      </c>
      <c r="D407" s="34">
        <v>160</v>
      </c>
      <c r="E407" s="34" t="s">
        <v>21</v>
      </c>
      <c r="F407" s="34">
        <v>201</v>
      </c>
      <c r="G407" s="34" t="s">
        <v>0</v>
      </c>
      <c r="H407" s="34">
        <v>6.35</v>
      </c>
      <c r="I407" s="34">
        <v>63.5</v>
      </c>
      <c r="J407" s="34">
        <v>0.55500000000000005</v>
      </c>
      <c r="K407" s="34">
        <v>14.1</v>
      </c>
      <c r="L407" s="41">
        <v>1.0900000000000001</v>
      </c>
      <c r="M407" s="34">
        <v>27.69</v>
      </c>
      <c r="N407" s="41">
        <v>0.47</v>
      </c>
      <c r="O407" s="35">
        <v>12</v>
      </c>
      <c r="P407" s="34">
        <v>0.65400000000000003</v>
      </c>
      <c r="Q407" s="34">
        <v>65.400000000000006</v>
      </c>
      <c r="R407" s="34">
        <v>4.1500000000000004</v>
      </c>
      <c r="S407" s="34">
        <v>4150</v>
      </c>
      <c r="T407" s="34">
        <v>1.56</v>
      </c>
      <c r="U407" s="34">
        <f t="shared" si="7"/>
        <v>930</v>
      </c>
      <c r="V407" s="34">
        <f>VLOOKUP(U407,'Powder Core Toroid OD'!$A$2:$B$36,2,FALSE)</f>
        <v>26.9</v>
      </c>
    </row>
    <row r="408" spans="1:22" hidden="1">
      <c r="A408" s="42">
        <v>55929</v>
      </c>
      <c r="B408" s="34" t="s">
        <v>47</v>
      </c>
      <c r="C408" s="158">
        <v>930</v>
      </c>
      <c r="D408" s="34">
        <v>147</v>
      </c>
      <c r="E408" s="34" t="s">
        <v>21</v>
      </c>
      <c r="F408" s="34">
        <v>185</v>
      </c>
      <c r="G408" s="34" t="s">
        <v>0</v>
      </c>
      <c r="H408" s="34">
        <v>6.35</v>
      </c>
      <c r="I408" s="34">
        <v>63.5</v>
      </c>
      <c r="J408" s="34">
        <v>0.55500000000000005</v>
      </c>
      <c r="K408" s="34">
        <v>14.1</v>
      </c>
      <c r="L408" s="41">
        <v>1.0900000000000001</v>
      </c>
      <c r="M408" s="34">
        <v>27.69</v>
      </c>
      <c r="N408" s="41">
        <v>0.47</v>
      </c>
      <c r="O408" s="35">
        <v>12</v>
      </c>
      <c r="P408" s="34">
        <v>0.65400000000000003</v>
      </c>
      <c r="Q408" s="34">
        <v>65.400000000000006</v>
      </c>
      <c r="R408" s="34">
        <v>4.1500000000000004</v>
      </c>
      <c r="S408" s="34">
        <v>4150</v>
      </c>
      <c r="T408" s="34">
        <v>1.56</v>
      </c>
      <c r="U408" s="34">
        <f t="shared" si="7"/>
        <v>930</v>
      </c>
      <c r="V408" s="34">
        <f>VLOOKUP(U408,'Powder Core Toroid OD'!$A$2:$B$36,2,FALSE)</f>
        <v>26.9</v>
      </c>
    </row>
    <row r="409" spans="1:22" hidden="1">
      <c r="A409" s="42">
        <v>55930</v>
      </c>
      <c r="B409" s="34" t="s">
        <v>46</v>
      </c>
      <c r="C409" s="158">
        <v>930</v>
      </c>
      <c r="D409" s="34">
        <v>125</v>
      </c>
      <c r="E409" s="34" t="s">
        <v>21</v>
      </c>
      <c r="F409" s="34">
        <v>157</v>
      </c>
      <c r="G409" s="34" t="s">
        <v>0</v>
      </c>
      <c r="H409" s="34">
        <v>6.35</v>
      </c>
      <c r="I409" s="34">
        <v>63.5</v>
      </c>
      <c r="J409" s="34">
        <v>0.55500000000000005</v>
      </c>
      <c r="K409" s="34">
        <v>14.1</v>
      </c>
      <c r="L409" s="41">
        <v>1.0900000000000001</v>
      </c>
      <c r="M409" s="34">
        <v>27.69</v>
      </c>
      <c r="N409" s="41">
        <v>0.47</v>
      </c>
      <c r="O409" s="35">
        <v>12</v>
      </c>
      <c r="P409" s="34">
        <v>0.65400000000000003</v>
      </c>
      <c r="Q409" s="34">
        <v>65.400000000000006</v>
      </c>
      <c r="R409" s="34">
        <v>4.1500000000000004</v>
      </c>
      <c r="S409" s="34">
        <v>4150</v>
      </c>
      <c r="T409" s="34">
        <v>1.56</v>
      </c>
      <c r="U409" s="34">
        <f t="shared" si="7"/>
        <v>930</v>
      </c>
      <c r="V409" s="34">
        <f>VLOOKUP(U409,'Powder Core Toroid OD'!$A$2:$B$36,2,FALSE)</f>
        <v>26.9</v>
      </c>
    </row>
    <row r="410" spans="1:22" hidden="1">
      <c r="A410" s="42">
        <v>55932</v>
      </c>
      <c r="B410" s="34" t="s">
        <v>246</v>
      </c>
      <c r="C410" s="158">
        <v>930</v>
      </c>
      <c r="D410" s="34">
        <v>26</v>
      </c>
      <c r="E410" s="34" t="s">
        <v>21</v>
      </c>
      <c r="F410" s="34">
        <v>32</v>
      </c>
      <c r="G410" s="34" t="s">
        <v>0</v>
      </c>
      <c r="H410" s="34">
        <v>6.35</v>
      </c>
      <c r="I410" s="34">
        <v>63.5</v>
      </c>
      <c r="J410" s="34">
        <v>0.55500000000000005</v>
      </c>
      <c r="K410" s="34">
        <v>14.1</v>
      </c>
      <c r="L410" s="41">
        <v>1.0900000000000001</v>
      </c>
      <c r="M410" s="34">
        <v>27.69</v>
      </c>
      <c r="N410" s="41">
        <v>0.47</v>
      </c>
      <c r="O410" s="35">
        <v>12</v>
      </c>
      <c r="P410" s="34">
        <v>0.65400000000000003</v>
      </c>
      <c r="Q410" s="34">
        <v>65.400000000000006</v>
      </c>
      <c r="R410" s="34">
        <v>4.1500000000000004</v>
      </c>
      <c r="S410" s="34">
        <v>4150</v>
      </c>
      <c r="T410" s="34">
        <v>1.56</v>
      </c>
      <c r="U410" s="34">
        <f t="shared" si="7"/>
        <v>930</v>
      </c>
      <c r="V410" s="34">
        <f>VLOOKUP(U410,'Powder Core Toroid OD'!$A$2:$B$36,2,FALSE)</f>
        <v>26.9</v>
      </c>
    </row>
    <row r="411" spans="1:22" hidden="1">
      <c r="A411" s="42">
        <v>55933</v>
      </c>
      <c r="B411" s="34" t="s">
        <v>245</v>
      </c>
      <c r="C411" s="158">
        <v>930</v>
      </c>
      <c r="D411" s="34">
        <v>14</v>
      </c>
      <c r="E411" s="34" t="s">
        <v>21</v>
      </c>
      <c r="F411" s="34">
        <v>18</v>
      </c>
      <c r="G411" s="34" t="s">
        <v>0</v>
      </c>
      <c r="H411" s="34">
        <v>6.35</v>
      </c>
      <c r="I411" s="34">
        <v>63.5</v>
      </c>
      <c r="J411" s="34">
        <v>0.55500000000000005</v>
      </c>
      <c r="K411" s="34">
        <v>14.1</v>
      </c>
      <c r="L411" s="41">
        <v>1.0900000000000001</v>
      </c>
      <c r="M411" s="34">
        <v>27.69</v>
      </c>
      <c r="N411" s="41">
        <v>0.47</v>
      </c>
      <c r="O411" s="35">
        <v>12</v>
      </c>
      <c r="P411" s="34">
        <v>0.65400000000000003</v>
      </c>
      <c r="Q411" s="34">
        <v>65.400000000000006</v>
      </c>
      <c r="R411" s="34">
        <v>4.1500000000000004</v>
      </c>
      <c r="S411" s="34">
        <v>4150</v>
      </c>
      <c r="T411" s="34">
        <v>1.56</v>
      </c>
      <c r="U411" s="34">
        <f t="shared" si="7"/>
        <v>930</v>
      </c>
      <c r="V411" s="34">
        <f>VLOOKUP(U411,'Powder Core Toroid OD'!$A$2:$B$36,2,FALSE)</f>
        <v>26.9</v>
      </c>
    </row>
    <row r="412" spans="1:22" hidden="1">
      <c r="A412" s="42">
        <v>58018</v>
      </c>
      <c r="B412" s="34" t="s">
        <v>594</v>
      </c>
      <c r="C412" s="158" t="s">
        <v>692</v>
      </c>
      <c r="D412" s="34">
        <v>160</v>
      </c>
      <c r="E412" s="34" t="s">
        <v>503</v>
      </c>
      <c r="F412" s="34">
        <v>64</v>
      </c>
      <c r="G412" s="34" t="s">
        <v>0</v>
      </c>
      <c r="H412" s="34">
        <v>1.36</v>
      </c>
      <c r="I412" s="34">
        <v>13.6</v>
      </c>
      <c r="J412" s="41">
        <v>0.09</v>
      </c>
      <c r="K412" s="34">
        <v>2.2799999999999998</v>
      </c>
      <c r="L412" s="34">
        <v>0.27500000000000002</v>
      </c>
      <c r="M412" s="34">
        <v>6.99</v>
      </c>
      <c r="N412" s="34">
        <v>0.13500000000000001</v>
      </c>
      <c r="O412" s="34">
        <v>3.43</v>
      </c>
      <c r="P412" s="34">
        <v>4.7E-2</v>
      </c>
      <c r="Q412" s="34">
        <v>4.7</v>
      </c>
      <c r="R412" s="41">
        <v>6.4000000000000001E-2</v>
      </c>
      <c r="S412" s="35">
        <v>64</v>
      </c>
      <c r="T412" s="34">
        <v>4.0800000000000003E-2</v>
      </c>
      <c r="U412" s="34">
        <f t="shared" si="7"/>
        <v>20</v>
      </c>
      <c r="V412" s="34">
        <f>VLOOKUP(U412,'Powder Core Toroid OD'!$A$2:$B$36,2,FALSE)</f>
        <v>6.35</v>
      </c>
    </row>
    <row r="413" spans="1:22" hidden="1">
      <c r="A413" s="42">
        <v>58019</v>
      </c>
      <c r="B413" s="34" t="s">
        <v>593</v>
      </c>
      <c r="C413" s="158" t="s">
        <v>692</v>
      </c>
      <c r="D413" s="34">
        <v>147</v>
      </c>
      <c r="E413" s="34" t="s">
        <v>503</v>
      </c>
      <c r="F413" s="34">
        <v>59</v>
      </c>
      <c r="G413" s="34" t="s">
        <v>0</v>
      </c>
      <c r="H413" s="34">
        <v>1.36</v>
      </c>
      <c r="I413" s="34">
        <v>13.6</v>
      </c>
      <c r="J413" s="41">
        <v>0.09</v>
      </c>
      <c r="K413" s="34">
        <v>2.2799999999999998</v>
      </c>
      <c r="L413" s="34">
        <v>0.27500000000000002</v>
      </c>
      <c r="M413" s="34">
        <v>6.99</v>
      </c>
      <c r="N413" s="34">
        <v>0.13500000000000001</v>
      </c>
      <c r="O413" s="34">
        <v>3.43</v>
      </c>
      <c r="P413" s="34">
        <v>4.7E-2</v>
      </c>
      <c r="Q413" s="34">
        <v>4.7</v>
      </c>
      <c r="R413" s="41">
        <v>6.4000000000000001E-2</v>
      </c>
      <c r="S413" s="35">
        <v>64</v>
      </c>
      <c r="T413" s="34">
        <v>4.0800000000000003E-2</v>
      </c>
      <c r="U413" s="34">
        <f t="shared" si="7"/>
        <v>20</v>
      </c>
      <c r="V413" s="34">
        <f>VLOOKUP(U413,'Powder Core Toroid OD'!$A$2:$B$36,2,FALSE)</f>
        <v>6.35</v>
      </c>
    </row>
    <row r="414" spans="1:22" hidden="1">
      <c r="A414" s="42">
        <v>58020</v>
      </c>
      <c r="B414" s="34" t="s">
        <v>592</v>
      </c>
      <c r="C414" s="158" t="s">
        <v>692</v>
      </c>
      <c r="D414" s="34">
        <v>125</v>
      </c>
      <c r="E414" s="34" t="s">
        <v>503</v>
      </c>
      <c r="F414" s="34">
        <v>50</v>
      </c>
      <c r="G414" s="34" t="s">
        <v>0</v>
      </c>
      <c r="H414" s="34">
        <v>1.36</v>
      </c>
      <c r="I414" s="34">
        <v>13.6</v>
      </c>
      <c r="J414" s="41">
        <v>0.09</v>
      </c>
      <c r="K414" s="34">
        <v>2.2799999999999998</v>
      </c>
      <c r="L414" s="34">
        <v>0.27500000000000002</v>
      </c>
      <c r="M414" s="34">
        <v>6.99</v>
      </c>
      <c r="N414" s="34">
        <v>0.13500000000000001</v>
      </c>
      <c r="O414" s="34">
        <v>3.43</v>
      </c>
      <c r="P414" s="34">
        <v>4.7E-2</v>
      </c>
      <c r="Q414" s="34">
        <v>4.7</v>
      </c>
      <c r="R414" s="41">
        <v>6.4000000000000001E-2</v>
      </c>
      <c r="S414" s="35">
        <v>64</v>
      </c>
      <c r="T414" s="34">
        <v>4.0800000000000003E-2</v>
      </c>
      <c r="U414" s="34">
        <f t="shared" si="7"/>
        <v>20</v>
      </c>
      <c r="V414" s="34">
        <f>VLOOKUP(U414,'Powder Core Toroid OD'!$A$2:$B$36,2,FALSE)</f>
        <v>6.35</v>
      </c>
    </row>
    <row r="415" spans="1:22" hidden="1">
      <c r="A415" s="42">
        <v>58021</v>
      </c>
      <c r="B415" s="34" t="s">
        <v>591</v>
      </c>
      <c r="C415" s="158" t="s">
        <v>692</v>
      </c>
      <c r="D415" s="34">
        <v>60</v>
      </c>
      <c r="E415" s="34" t="s">
        <v>503</v>
      </c>
      <c r="F415" s="34">
        <v>24</v>
      </c>
      <c r="G415" s="34" t="s">
        <v>0</v>
      </c>
      <c r="H415" s="34">
        <v>1.36</v>
      </c>
      <c r="I415" s="34">
        <v>13.6</v>
      </c>
      <c r="J415" s="41">
        <v>0.09</v>
      </c>
      <c r="K415" s="34">
        <v>2.2799999999999998</v>
      </c>
      <c r="L415" s="34">
        <v>0.27500000000000002</v>
      </c>
      <c r="M415" s="34">
        <v>6.99</v>
      </c>
      <c r="N415" s="34">
        <v>0.13500000000000001</v>
      </c>
      <c r="O415" s="34">
        <v>3.43</v>
      </c>
      <c r="P415" s="34">
        <v>4.7E-2</v>
      </c>
      <c r="Q415" s="34">
        <v>4.7</v>
      </c>
      <c r="R415" s="41">
        <v>6.4000000000000001E-2</v>
      </c>
      <c r="S415" s="35">
        <v>64</v>
      </c>
      <c r="T415" s="34">
        <v>4.0800000000000003E-2</v>
      </c>
      <c r="U415" s="34">
        <f t="shared" si="7"/>
        <v>20</v>
      </c>
      <c r="V415" s="34">
        <f>VLOOKUP(U415,'Powder Core Toroid OD'!$A$2:$B$36,2,FALSE)</f>
        <v>6.35</v>
      </c>
    </row>
    <row r="416" spans="1:22" hidden="1">
      <c r="A416" s="42">
        <v>58023</v>
      </c>
      <c r="B416" s="34" t="s">
        <v>639</v>
      </c>
      <c r="C416" s="158" t="s">
        <v>692</v>
      </c>
      <c r="D416" s="34">
        <v>14</v>
      </c>
      <c r="E416" s="34" t="s">
        <v>503</v>
      </c>
      <c r="F416" s="34">
        <v>6</v>
      </c>
      <c r="G416" s="34" t="s">
        <v>0</v>
      </c>
      <c r="H416" s="34">
        <v>1.36</v>
      </c>
      <c r="I416" s="34">
        <v>13.6</v>
      </c>
      <c r="J416" s="41">
        <v>0.09</v>
      </c>
      <c r="K416" s="34">
        <v>2.2799999999999998</v>
      </c>
      <c r="L416" s="34">
        <v>0.27500000000000002</v>
      </c>
      <c r="M416" s="34">
        <v>6.99</v>
      </c>
      <c r="N416" s="34">
        <v>0.13500000000000001</v>
      </c>
      <c r="O416" s="34">
        <v>3.43</v>
      </c>
      <c r="P416" s="34">
        <v>4.7E-2</v>
      </c>
      <c r="Q416" s="34">
        <v>4.7</v>
      </c>
      <c r="R416" s="41">
        <v>6.4000000000000001E-2</v>
      </c>
      <c r="S416" s="35">
        <v>64</v>
      </c>
      <c r="T416" s="34">
        <v>4.0800000000000003E-2</v>
      </c>
      <c r="U416" s="34">
        <f t="shared" si="7"/>
        <v>20</v>
      </c>
      <c r="V416" s="34">
        <f>VLOOKUP(U416,'Powder Core Toroid OD'!$A$2:$B$36,2,FALSE)</f>
        <v>6.35</v>
      </c>
    </row>
    <row r="417" spans="1:22" hidden="1">
      <c r="A417" s="42">
        <v>58028</v>
      </c>
      <c r="B417" s="34" t="s">
        <v>590</v>
      </c>
      <c r="C417" s="158" t="s">
        <v>693</v>
      </c>
      <c r="D417" s="34">
        <v>160</v>
      </c>
      <c r="E417" s="34" t="s">
        <v>503</v>
      </c>
      <c r="F417" s="34">
        <v>66</v>
      </c>
      <c r="G417" s="34" t="s">
        <v>0</v>
      </c>
      <c r="H417" s="34">
        <v>1.79</v>
      </c>
      <c r="I417" s="34">
        <v>17.899999999999999</v>
      </c>
      <c r="J417" s="34">
        <v>0.13600000000000001</v>
      </c>
      <c r="K417" s="34">
        <v>3.45</v>
      </c>
      <c r="L417" s="34">
        <v>0.33500000000000002</v>
      </c>
      <c r="M417" s="34">
        <v>8.51</v>
      </c>
      <c r="N417" s="41">
        <v>0.15</v>
      </c>
      <c r="O417" s="34">
        <v>3.8099999999999996</v>
      </c>
      <c r="P417" s="34">
        <v>5.9900000000000002E-2</v>
      </c>
      <c r="Q417" s="34">
        <v>5.99</v>
      </c>
      <c r="R417" s="34">
        <v>0.107</v>
      </c>
      <c r="S417" s="34">
        <v>107</v>
      </c>
      <c r="T417" s="34">
        <v>9.35E-2</v>
      </c>
      <c r="U417" s="34">
        <f t="shared" si="7"/>
        <v>30</v>
      </c>
      <c r="V417" s="34">
        <f>VLOOKUP(U417,'Powder Core Toroid OD'!$A$2:$B$36,2,FALSE)</f>
        <v>7.87</v>
      </c>
    </row>
    <row r="418" spans="1:22" hidden="1">
      <c r="A418" s="42">
        <v>58029</v>
      </c>
      <c r="B418" s="34" t="s">
        <v>589</v>
      </c>
      <c r="C418" s="158" t="s">
        <v>693</v>
      </c>
      <c r="D418" s="34">
        <v>147</v>
      </c>
      <c r="E418" s="34" t="s">
        <v>503</v>
      </c>
      <c r="F418" s="34">
        <v>62</v>
      </c>
      <c r="G418" s="34" t="s">
        <v>0</v>
      </c>
      <c r="H418" s="34">
        <v>1.79</v>
      </c>
      <c r="I418" s="34">
        <v>17.899999999999999</v>
      </c>
      <c r="J418" s="34">
        <v>0.13600000000000001</v>
      </c>
      <c r="K418" s="34">
        <v>3.45</v>
      </c>
      <c r="L418" s="34">
        <v>0.33500000000000002</v>
      </c>
      <c r="M418" s="34">
        <v>8.51</v>
      </c>
      <c r="N418" s="41">
        <v>0.15</v>
      </c>
      <c r="O418" s="34">
        <v>3.8099999999999996</v>
      </c>
      <c r="P418" s="34">
        <v>5.9900000000000002E-2</v>
      </c>
      <c r="Q418" s="34">
        <v>5.99</v>
      </c>
      <c r="R418" s="34">
        <v>0.107</v>
      </c>
      <c r="S418" s="34">
        <v>107</v>
      </c>
      <c r="T418" s="34">
        <v>9.35E-2</v>
      </c>
      <c r="U418" s="34">
        <f t="shared" si="7"/>
        <v>30</v>
      </c>
      <c r="V418" s="34">
        <f>VLOOKUP(U418,'Powder Core Toroid OD'!$A$2:$B$36,2,FALSE)</f>
        <v>7.87</v>
      </c>
    </row>
    <row r="419" spans="1:22" hidden="1">
      <c r="A419" s="42">
        <v>58030</v>
      </c>
      <c r="B419" s="34" t="s">
        <v>588</v>
      </c>
      <c r="C419" s="158" t="s">
        <v>693</v>
      </c>
      <c r="D419" s="34">
        <v>125</v>
      </c>
      <c r="E419" s="34" t="s">
        <v>503</v>
      </c>
      <c r="F419" s="34">
        <v>52</v>
      </c>
      <c r="G419" s="34" t="s">
        <v>0</v>
      </c>
      <c r="H419" s="34">
        <v>1.79</v>
      </c>
      <c r="I419" s="34">
        <v>17.899999999999999</v>
      </c>
      <c r="J419" s="34">
        <v>0.13600000000000001</v>
      </c>
      <c r="K419" s="34">
        <v>3.45</v>
      </c>
      <c r="L419" s="34">
        <v>0.33500000000000002</v>
      </c>
      <c r="M419" s="34">
        <v>8.51</v>
      </c>
      <c r="N419" s="41">
        <v>0.15</v>
      </c>
      <c r="O419" s="34">
        <v>3.8099999999999996</v>
      </c>
      <c r="P419" s="34">
        <v>5.9900000000000002E-2</v>
      </c>
      <c r="Q419" s="34">
        <v>5.99</v>
      </c>
      <c r="R419" s="34">
        <v>0.107</v>
      </c>
      <c r="S419" s="34">
        <v>107</v>
      </c>
      <c r="T419" s="34">
        <v>9.35E-2</v>
      </c>
      <c r="U419" s="34">
        <f t="shared" si="7"/>
        <v>30</v>
      </c>
      <c r="V419" s="34">
        <f>VLOOKUP(U419,'Powder Core Toroid OD'!$A$2:$B$36,2,FALSE)</f>
        <v>7.87</v>
      </c>
    </row>
    <row r="420" spans="1:22" hidden="1">
      <c r="A420" s="42">
        <v>58031</v>
      </c>
      <c r="B420" s="34" t="s">
        <v>587</v>
      </c>
      <c r="C420" s="158" t="s">
        <v>693</v>
      </c>
      <c r="D420" s="34">
        <v>60</v>
      </c>
      <c r="E420" s="34" t="s">
        <v>503</v>
      </c>
      <c r="F420" s="34">
        <v>25</v>
      </c>
      <c r="G420" s="34" t="s">
        <v>0</v>
      </c>
      <c r="H420" s="34">
        <v>1.79</v>
      </c>
      <c r="I420" s="34">
        <v>17.899999999999999</v>
      </c>
      <c r="J420" s="34">
        <v>0.13600000000000001</v>
      </c>
      <c r="K420" s="34">
        <v>3.45</v>
      </c>
      <c r="L420" s="34">
        <v>0.33500000000000002</v>
      </c>
      <c r="M420" s="34">
        <v>8.51</v>
      </c>
      <c r="N420" s="41">
        <v>0.15</v>
      </c>
      <c r="O420" s="34">
        <v>3.8099999999999996</v>
      </c>
      <c r="P420" s="34">
        <v>5.9900000000000002E-2</v>
      </c>
      <c r="Q420" s="34">
        <v>5.99</v>
      </c>
      <c r="R420" s="34">
        <v>0.107</v>
      </c>
      <c r="S420" s="34">
        <v>107</v>
      </c>
      <c r="T420" s="34">
        <v>9.35E-2</v>
      </c>
      <c r="U420" s="34">
        <f t="shared" si="7"/>
        <v>30</v>
      </c>
      <c r="V420" s="34">
        <f>VLOOKUP(U420,'Powder Core Toroid OD'!$A$2:$B$36,2,FALSE)</f>
        <v>7.87</v>
      </c>
    </row>
    <row r="421" spans="1:22" hidden="1">
      <c r="A421" s="42">
        <v>58032</v>
      </c>
      <c r="B421" s="34" t="s">
        <v>638</v>
      </c>
      <c r="C421" s="158" t="s">
        <v>693</v>
      </c>
      <c r="D421" s="34">
        <v>26</v>
      </c>
      <c r="E421" s="34" t="s">
        <v>503</v>
      </c>
      <c r="F421" s="34">
        <v>11</v>
      </c>
      <c r="G421" s="34" t="s">
        <v>0</v>
      </c>
      <c r="H421" s="34">
        <v>1.79</v>
      </c>
      <c r="I421" s="34">
        <v>17.899999999999999</v>
      </c>
      <c r="J421" s="34">
        <v>0.13600000000000001</v>
      </c>
      <c r="K421" s="34">
        <v>3.45</v>
      </c>
      <c r="L421" s="34">
        <v>0.33500000000000002</v>
      </c>
      <c r="M421" s="34">
        <v>8.51</v>
      </c>
      <c r="N421" s="41">
        <v>0.15</v>
      </c>
      <c r="O421" s="34">
        <v>3.8099999999999996</v>
      </c>
      <c r="P421" s="34">
        <v>5.9900000000000002E-2</v>
      </c>
      <c r="Q421" s="34">
        <v>5.99</v>
      </c>
      <c r="R421" s="34">
        <v>0.107</v>
      </c>
      <c r="S421" s="34">
        <v>107</v>
      </c>
      <c r="T421" s="34">
        <v>9.35E-2</v>
      </c>
      <c r="U421" s="34">
        <f t="shared" si="7"/>
        <v>30</v>
      </c>
      <c r="V421" s="34">
        <f>VLOOKUP(U421,'Powder Core Toroid OD'!$A$2:$B$36,2,FALSE)</f>
        <v>7.87</v>
      </c>
    </row>
    <row r="422" spans="1:22" hidden="1">
      <c r="A422" s="42">
        <v>58033</v>
      </c>
      <c r="B422" s="34" t="s">
        <v>637</v>
      </c>
      <c r="C422" s="158" t="s">
        <v>693</v>
      </c>
      <c r="D422" s="34">
        <v>14</v>
      </c>
      <c r="E422" s="34" t="s">
        <v>503</v>
      </c>
      <c r="F422" s="34">
        <v>6</v>
      </c>
      <c r="G422" s="34" t="s">
        <v>0</v>
      </c>
      <c r="H422" s="34">
        <v>1.79</v>
      </c>
      <c r="I422" s="34">
        <v>17.899999999999999</v>
      </c>
      <c r="J422" s="34">
        <v>0.13600000000000001</v>
      </c>
      <c r="K422" s="34">
        <v>3.45</v>
      </c>
      <c r="L422" s="34">
        <v>0.33500000000000002</v>
      </c>
      <c r="M422" s="34">
        <v>8.51</v>
      </c>
      <c r="N422" s="41">
        <v>0.15</v>
      </c>
      <c r="O422" s="34">
        <v>3.8099999999999996</v>
      </c>
      <c r="P422" s="34">
        <v>5.9900000000000002E-2</v>
      </c>
      <c r="Q422" s="34">
        <v>5.99</v>
      </c>
      <c r="R422" s="34">
        <v>0.107</v>
      </c>
      <c r="S422" s="34">
        <v>107</v>
      </c>
      <c r="T422" s="34">
        <v>9.35E-2</v>
      </c>
      <c r="U422" s="34">
        <f t="shared" si="7"/>
        <v>30</v>
      </c>
      <c r="V422" s="34">
        <f>VLOOKUP(U422,'Powder Core Toroid OD'!$A$2:$B$36,2,FALSE)</f>
        <v>7.87</v>
      </c>
    </row>
    <row r="423" spans="1:22" hidden="1">
      <c r="A423" s="42">
        <v>58038</v>
      </c>
      <c r="B423" s="34" t="s">
        <v>586</v>
      </c>
      <c r="C423" s="158" t="s">
        <v>694</v>
      </c>
      <c r="D423" s="34">
        <v>160</v>
      </c>
      <c r="E423" s="34" t="s">
        <v>503</v>
      </c>
      <c r="F423" s="34">
        <v>84</v>
      </c>
      <c r="G423" s="34" t="s">
        <v>0</v>
      </c>
      <c r="H423" s="40">
        <v>2.2999999999999998</v>
      </c>
      <c r="I423" s="35">
        <v>23</v>
      </c>
      <c r="J423" s="41">
        <v>0.18</v>
      </c>
      <c r="K423" s="34">
        <v>4.57</v>
      </c>
      <c r="L423" s="34">
        <v>0.42499999999999999</v>
      </c>
      <c r="M423" s="34">
        <v>10.8</v>
      </c>
      <c r="N423" s="34">
        <v>0.18099999999999999</v>
      </c>
      <c r="O423" s="34">
        <v>4.5999999999999996</v>
      </c>
      <c r="P423" s="34">
        <v>9.5699999999999993E-2</v>
      </c>
      <c r="Q423" s="34">
        <v>9.5699999999999985</v>
      </c>
      <c r="R423" s="34">
        <v>0.22</v>
      </c>
      <c r="S423" s="34">
        <v>220</v>
      </c>
      <c r="T423" s="34">
        <v>0.16400000000000001</v>
      </c>
      <c r="U423" s="34">
        <f t="shared" si="7"/>
        <v>40</v>
      </c>
      <c r="V423" s="34">
        <f>VLOOKUP(U423,'Powder Core Toroid OD'!$A$2:$B$36,2,FALSE)</f>
        <v>10.199999999999999</v>
      </c>
    </row>
    <row r="424" spans="1:22" hidden="1">
      <c r="A424" s="42">
        <v>58039</v>
      </c>
      <c r="B424" s="34" t="s">
        <v>585</v>
      </c>
      <c r="C424" s="158" t="s">
        <v>694</v>
      </c>
      <c r="D424" s="34">
        <v>147</v>
      </c>
      <c r="E424" s="34" t="s">
        <v>503</v>
      </c>
      <c r="F424" s="34">
        <v>78</v>
      </c>
      <c r="G424" s="34" t="s">
        <v>0</v>
      </c>
      <c r="H424" s="40">
        <v>2.2999999999999998</v>
      </c>
      <c r="I424" s="35">
        <v>23</v>
      </c>
      <c r="J424" s="41">
        <v>0.18</v>
      </c>
      <c r="K424" s="34">
        <v>4.57</v>
      </c>
      <c r="L424" s="34">
        <v>0.42499999999999999</v>
      </c>
      <c r="M424" s="34">
        <v>10.8</v>
      </c>
      <c r="N424" s="34">
        <v>0.18099999999999999</v>
      </c>
      <c r="O424" s="34">
        <v>4.5999999999999996</v>
      </c>
      <c r="P424" s="34">
        <v>9.5699999999999993E-2</v>
      </c>
      <c r="Q424" s="34">
        <v>9.5699999999999985</v>
      </c>
      <c r="R424" s="34">
        <v>0.22</v>
      </c>
      <c r="S424" s="34">
        <v>220</v>
      </c>
      <c r="T424" s="34">
        <v>0.16400000000000001</v>
      </c>
      <c r="U424" s="34">
        <f t="shared" si="7"/>
        <v>40</v>
      </c>
      <c r="V424" s="34">
        <f>VLOOKUP(U424,'Powder Core Toroid OD'!$A$2:$B$36,2,FALSE)</f>
        <v>10.199999999999999</v>
      </c>
    </row>
    <row r="425" spans="1:22" hidden="1">
      <c r="A425" s="42">
        <v>58040</v>
      </c>
      <c r="B425" s="34" t="s">
        <v>584</v>
      </c>
      <c r="C425" s="158" t="s">
        <v>694</v>
      </c>
      <c r="D425" s="34">
        <v>125</v>
      </c>
      <c r="E425" s="34" t="s">
        <v>503</v>
      </c>
      <c r="F425" s="34">
        <v>66</v>
      </c>
      <c r="G425" s="34" t="s">
        <v>0</v>
      </c>
      <c r="H425" s="40">
        <v>2.2999999999999998</v>
      </c>
      <c r="I425" s="35">
        <v>23</v>
      </c>
      <c r="J425" s="41">
        <v>0.18</v>
      </c>
      <c r="K425" s="34">
        <v>4.57</v>
      </c>
      <c r="L425" s="34">
        <v>0.42499999999999999</v>
      </c>
      <c r="M425" s="34">
        <v>10.8</v>
      </c>
      <c r="N425" s="34">
        <v>0.18099999999999999</v>
      </c>
      <c r="O425" s="34">
        <v>4.5999999999999996</v>
      </c>
      <c r="P425" s="34">
        <v>9.5699999999999993E-2</v>
      </c>
      <c r="Q425" s="34">
        <v>9.5699999999999985</v>
      </c>
      <c r="R425" s="34">
        <v>0.22</v>
      </c>
      <c r="S425" s="34">
        <v>220</v>
      </c>
      <c r="T425" s="34">
        <v>0.16400000000000001</v>
      </c>
      <c r="U425" s="34">
        <f t="shared" si="7"/>
        <v>40</v>
      </c>
      <c r="V425" s="34">
        <f>VLOOKUP(U425,'Powder Core Toroid OD'!$A$2:$B$36,2,FALSE)</f>
        <v>10.199999999999999</v>
      </c>
    </row>
    <row r="426" spans="1:22" hidden="1">
      <c r="A426" s="42">
        <v>58041</v>
      </c>
      <c r="B426" s="34" t="s">
        <v>583</v>
      </c>
      <c r="C426" s="158" t="s">
        <v>694</v>
      </c>
      <c r="D426" s="34">
        <v>60</v>
      </c>
      <c r="E426" s="34" t="s">
        <v>503</v>
      </c>
      <c r="F426" s="34">
        <v>32</v>
      </c>
      <c r="G426" s="34" t="s">
        <v>0</v>
      </c>
      <c r="H426" s="40">
        <v>2.2999999999999998</v>
      </c>
      <c r="I426" s="35">
        <v>23</v>
      </c>
      <c r="J426" s="41">
        <v>0.18</v>
      </c>
      <c r="K426" s="34">
        <v>4.57</v>
      </c>
      <c r="L426" s="34">
        <v>0.42499999999999999</v>
      </c>
      <c r="M426" s="34">
        <v>10.8</v>
      </c>
      <c r="N426" s="34">
        <v>0.18099999999999999</v>
      </c>
      <c r="O426" s="34">
        <v>4.5999999999999996</v>
      </c>
      <c r="P426" s="34">
        <v>9.5699999999999993E-2</v>
      </c>
      <c r="Q426" s="34">
        <v>9.5699999999999985</v>
      </c>
      <c r="R426" s="34">
        <v>0.22</v>
      </c>
      <c r="S426" s="34">
        <v>220</v>
      </c>
      <c r="T426" s="34">
        <v>0.16400000000000001</v>
      </c>
      <c r="U426" s="34">
        <f t="shared" si="7"/>
        <v>40</v>
      </c>
      <c r="V426" s="34">
        <f>VLOOKUP(U426,'Powder Core Toroid OD'!$A$2:$B$36,2,FALSE)</f>
        <v>10.199999999999999</v>
      </c>
    </row>
    <row r="427" spans="1:22" hidden="1">
      <c r="A427" s="42">
        <v>58042</v>
      </c>
      <c r="B427" s="34" t="s">
        <v>636</v>
      </c>
      <c r="C427" s="158" t="s">
        <v>694</v>
      </c>
      <c r="D427" s="34">
        <v>26</v>
      </c>
      <c r="E427" s="34" t="s">
        <v>503</v>
      </c>
      <c r="F427" s="34">
        <v>14</v>
      </c>
      <c r="G427" s="34" t="s">
        <v>0</v>
      </c>
      <c r="H427" s="40">
        <v>2.2999999999999998</v>
      </c>
      <c r="I427" s="35">
        <v>23</v>
      </c>
      <c r="J427" s="41">
        <v>0.18</v>
      </c>
      <c r="K427" s="34">
        <v>4.57</v>
      </c>
      <c r="L427" s="34">
        <v>0.42499999999999999</v>
      </c>
      <c r="M427" s="34">
        <v>10.8</v>
      </c>
      <c r="N427" s="34">
        <v>0.18099999999999999</v>
      </c>
      <c r="O427" s="34">
        <v>4.5999999999999996</v>
      </c>
      <c r="P427" s="34">
        <v>9.5699999999999993E-2</v>
      </c>
      <c r="Q427" s="34">
        <v>9.5699999999999985</v>
      </c>
      <c r="R427" s="34">
        <v>0.22</v>
      </c>
      <c r="S427" s="34">
        <v>220</v>
      </c>
      <c r="T427" s="34">
        <v>0.16400000000000001</v>
      </c>
      <c r="U427" s="34">
        <f t="shared" si="7"/>
        <v>40</v>
      </c>
      <c r="V427" s="34">
        <f>VLOOKUP(U427,'Powder Core Toroid OD'!$A$2:$B$36,2,FALSE)</f>
        <v>10.199999999999999</v>
      </c>
    </row>
    <row r="428" spans="1:22" hidden="1">
      <c r="A428" s="42">
        <v>58048</v>
      </c>
      <c r="B428" s="34" t="s">
        <v>582</v>
      </c>
      <c r="C428" s="158" t="s">
        <v>695</v>
      </c>
      <c r="D428" s="34">
        <v>160</v>
      </c>
      <c r="E428" s="34" t="s">
        <v>503</v>
      </c>
      <c r="F428" s="34">
        <v>72</v>
      </c>
      <c r="G428" s="34" t="s">
        <v>0</v>
      </c>
      <c r="H428" s="34">
        <v>3.12</v>
      </c>
      <c r="I428" s="34">
        <v>31.200000000000003</v>
      </c>
      <c r="J428" s="34">
        <v>0.27500000000000002</v>
      </c>
      <c r="K428" s="34">
        <v>6.98</v>
      </c>
      <c r="L428" s="41">
        <v>0.53</v>
      </c>
      <c r="M428" s="34">
        <v>13.5</v>
      </c>
      <c r="N428" s="34">
        <v>0.217</v>
      </c>
      <c r="O428" s="34">
        <v>5.52</v>
      </c>
      <c r="P428" s="34">
        <v>0.109</v>
      </c>
      <c r="Q428" s="34">
        <v>10.9</v>
      </c>
      <c r="R428" s="34">
        <v>0.34</v>
      </c>
      <c r="S428" s="34">
        <v>340</v>
      </c>
      <c r="T428" s="34">
        <v>0.38300000000000001</v>
      </c>
      <c r="U428" s="34">
        <f t="shared" si="7"/>
        <v>50</v>
      </c>
      <c r="V428" s="34">
        <f>VLOOKUP(U428,'Powder Core Toroid OD'!$A$2:$B$36,2,FALSE)</f>
        <v>12.7</v>
      </c>
    </row>
    <row r="429" spans="1:22" hidden="1">
      <c r="A429" s="42">
        <v>58049</v>
      </c>
      <c r="B429" s="34" t="s">
        <v>581</v>
      </c>
      <c r="C429" s="158" t="s">
        <v>695</v>
      </c>
      <c r="D429" s="34">
        <v>147</v>
      </c>
      <c r="E429" s="34" t="s">
        <v>503</v>
      </c>
      <c r="F429" s="34">
        <v>67</v>
      </c>
      <c r="G429" s="34" t="s">
        <v>0</v>
      </c>
      <c r="H429" s="34">
        <v>3.12</v>
      </c>
      <c r="I429" s="34">
        <v>31.200000000000003</v>
      </c>
      <c r="J429" s="34">
        <v>0.27500000000000002</v>
      </c>
      <c r="K429" s="34">
        <v>6.98</v>
      </c>
      <c r="L429" s="41">
        <v>0.53</v>
      </c>
      <c r="M429" s="34">
        <v>13.5</v>
      </c>
      <c r="N429" s="34">
        <v>0.217</v>
      </c>
      <c r="O429" s="34">
        <v>5.52</v>
      </c>
      <c r="P429" s="34">
        <v>0.109</v>
      </c>
      <c r="Q429" s="34">
        <v>10.9</v>
      </c>
      <c r="R429" s="34">
        <v>0.34</v>
      </c>
      <c r="S429" s="34">
        <v>340</v>
      </c>
      <c r="T429" s="34">
        <v>0.38300000000000001</v>
      </c>
      <c r="U429" s="34">
        <f t="shared" si="7"/>
        <v>50</v>
      </c>
      <c r="V429" s="34">
        <f>VLOOKUP(U429,'Powder Core Toroid OD'!$A$2:$B$36,2,FALSE)</f>
        <v>12.7</v>
      </c>
    </row>
    <row r="430" spans="1:22" hidden="1">
      <c r="A430" s="42">
        <v>58050</v>
      </c>
      <c r="B430" s="34" t="s">
        <v>580</v>
      </c>
      <c r="C430" s="158" t="s">
        <v>695</v>
      </c>
      <c r="D430" s="34">
        <v>125</v>
      </c>
      <c r="E430" s="34" t="s">
        <v>503</v>
      </c>
      <c r="F430" s="34">
        <v>56</v>
      </c>
      <c r="G430" s="34" t="s">
        <v>0</v>
      </c>
      <c r="H430" s="34">
        <v>3.12</v>
      </c>
      <c r="I430" s="34">
        <v>31.200000000000003</v>
      </c>
      <c r="J430" s="34">
        <v>0.27500000000000002</v>
      </c>
      <c r="K430" s="34">
        <v>6.98</v>
      </c>
      <c r="L430" s="41">
        <v>0.53</v>
      </c>
      <c r="M430" s="34">
        <v>13.5</v>
      </c>
      <c r="N430" s="34">
        <v>0.217</v>
      </c>
      <c r="O430" s="34">
        <v>5.52</v>
      </c>
      <c r="P430" s="34">
        <v>0.109</v>
      </c>
      <c r="Q430" s="34">
        <v>10.9</v>
      </c>
      <c r="R430" s="34">
        <v>0.34</v>
      </c>
      <c r="S430" s="34">
        <v>340</v>
      </c>
      <c r="T430" s="34">
        <v>0.38300000000000001</v>
      </c>
      <c r="U430" s="34">
        <f t="shared" si="7"/>
        <v>50</v>
      </c>
      <c r="V430" s="34">
        <f>VLOOKUP(U430,'Powder Core Toroid OD'!$A$2:$B$36,2,FALSE)</f>
        <v>12.7</v>
      </c>
    </row>
    <row r="431" spans="1:22" hidden="1">
      <c r="A431" s="42">
        <v>58051</v>
      </c>
      <c r="B431" s="34" t="s">
        <v>579</v>
      </c>
      <c r="C431" s="158" t="s">
        <v>695</v>
      </c>
      <c r="D431" s="34">
        <v>60</v>
      </c>
      <c r="E431" s="34" t="s">
        <v>503</v>
      </c>
      <c r="F431" s="34">
        <v>27</v>
      </c>
      <c r="G431" s="34" t="s">
        <v>0</v>
      </c>
      <c r="H431" s="34">
        <v>3.12</v>
      </c>
      <c r="I431" s="34">
        <v>31.200000000000003</v>
      </c>
      <c r="J431" s="34">
        <v>0.27500000000000002</v>
      </c>
      <c r="K431" s="34">
        <v>6.98</v>
      </c>
      <c r="L431" s="41">
        <v>0.53</v>
      </c>
      <c r="M431" s="34">
        <v>13.5</v>
      </c>
      <c r="N431" s="34">
        <v>0.217</v>
      </c>
      <c r="O431" s="34">
        <v>5.52</v>
      </c>
      <c r="P431" s="34">
        <v>0.109</v>
      </c>
      <c r="Q431" s="34">
        <v>10.9</v>
      </c>
      <c r="R431" s="34">
        <v>0.34</v>
      </c>
      <c r="S431" s="34">
        <v>340</v>
      </c>
      <c r="T431" s="34">
        <v>0.38300000000000001</v>
      </c>
      <c r="U431" s="34">
        <f t="shared" si="7"/>
        <v>50</v>
      </c>
      <c r="V431" s="34">
        <f>VLOOKUP(U431,'Powder Core Toroid OD'!$A$2:$B$36,2,FALSE)</f>
        <v>12.7</v>
      </c>
    </row>
    <row r="432" spans="1:22" hidden="1">
      <c r="A432" s="42">
        <v>58052</v>
      </c>
      <c r="B432" s="34" t="s">
        <v>635</v>
      </c>
      <c r="C432" s="158" t="s">
        <v>695</v>
      </c>
      <c r="D432" s="34">
        <v>26</v>
      </c>
      <c r="E432" s="34" t="s">
        <v>503</v>
      </c>
      <c r="F432" s="34">
        <v>12</v>
      </c>
      <c r="G432" s="34" t="s">
        <v>0</v>
      </c>
      <c r="H432" s="34">
        <v>3.12</v>
      </c>
      <c r="I432" s="34">
        <v>31.200000000000003</v>
      </c>
      <c r="J432" s="34">
        <v>0.27500000000000002</v>
      </c>
      <c r="K432" s="34">
        <v>6.98</v>
      </c>
      <c r="L432" s="41">
        <v>0.53</v>
      </c>
      <c r="M432" s="34">
        <v>13.5</v>
      </c>
      <c r="N432" s="34">
        <v>0.217</v>
      </c>
      <c r="O432" s="34">
        <v>5.52</v>
      </c>
      <c r="P432" s="34">
        <v>0.109</v>
      </c>
      <c r="Q432" s="34">
        <v>10.9</v>
      </c>
      <c r="R432" s="34">
        <v>0.34</v>
      </c>
      <c r="S432" s="34">
        <v>340</v>
      </c>
      <c r="T432" s="34">
        <v>0.38300000000000001</v>
      </c>
      <c r="U432" s="34">
        <f t="shared" si="7"/>
        <v>50</v>
      </c>
      <c r="V432" s="34">
        <f>VLOOKUP(U432,'Powder Core Toroid OD'!$A$2:$B$36,2,FALSE)</f>
        <v>12.7</v>
      </c>
    </row>
    <row r="433" spans="1:22" hidden="1">
      <c r="A433" s="42">
        <v>58053</v>
      </c>
      <c r="B433" s="34" t="s">
        <v>634</v>
      </c>
      <c r="C433" s="158" t="s">
        <v>695</v>
      </c>
      <c r="D433" s="34">
        <v>14</v>
      </c>
      <c r="E433" s="34" t="s">
        <v>503</v>
      </c>
      <c r="F433" s="34">
        <v>6.4</v>
      </c>
      <c r="G433" s="34" t="s">
        <v>0</v>
      </c>
      <c r="H433" s="34">
        <v>3.12</v>
      </c>
      <c r="I433" s="34">
        <v>31.200000000000003</v>
      </c>
      <c r="J433" s="34">
        <v>0.27500000000000002</v>
      </c>
      <c r="K433" s="34">
        <v>6.98</v>
      </c>
      <c r="L433" s="41">
        <v>0.53</v>
      </c>
      <c r="M433" s="34">
        <v>13.5</v>
      </c>
      <c r="N433" s="34">
        <v>0.217</v>
      </c>
      <c r="O433" s="34">
        <v>5.52</v>
      </c>
      <c r="P433" s="34">
        <v>0.109</v>
      </c>
      <c r="Q433" s="34">
        <v>10.9</v>
      </c>
      <c r="R433" s="34">
        <v>0.34</v>
      </c>
      <c r="S433" s="34">
        <v>340</v>
      </c>
      <c r="T433" s="34">
        <v>0.38300000000000001</v>
      </c>
      <c r="U433" s="34">
        <f t="shared" si="7"/>
        <v>50</v>
      </c>
      <c r="V433" s="34">
        <f>VLOOKUP(U433,'Powder Core Toroid OD'!$A$2:$B$36,2,FALSE)</f>
        <v>12.7</v>
      </c>
    </row>
    <row r="434" spans="1:22" hidden="1">
      <c r="A434" s="42">
        <v>58059</v>
      </c>
      <c r="B434" s="34" t="s">
        <v>578</v>
      </c>
      <c r="C434" s="158">
        <v>310</v>
      </c>
      <c r="D434" s="34">
        <v>60</v>
      </c>
      <c r="E434" s="34" t="s">
        <v>503</v>
      </c>
      <c r="F434" s="34">
        <v>43</v>
      </c>
      <c r="G434" s="34" t="s">
        <v>0</v>
      </c>
      <c r="H434" s="34">
        <v>5.67</v>
      </c>
      <c r="I434" s="34">
        <v>56.7</v>
      </c>
      <c r="J434" s="34">
        <v>0.52500000000000002</v>
      </c>
      <c r="K434" s="34">
        <v>13.3</v>
      </c>
      <c r="L434" s="41">
        <v>0.93</v>
      </c>
      <c r="M434" s="34">
        <v>23.7</v>
      </c>
      <c r="N434" s="41">
        <v>0.33</v>
      </c>
      <c r="O434" s="34">
        <v>8.39</v>
      </c>
      <c r="P434" s="34">
        <v>0.317</v>
      </c>
      <c r="Q434" s="34">
        <v>31.7</v>
      </c>
      <c r="R434" s="40">
        <v>1.8</v>
      </c>
      <c r="S434" s="34">
        <v>1800</v>
      </c>
      <c r="T434" s="34">
        <v>1.39</v>
      </c>
      <c r="U434" s="34">
        <f t="shared" si="7"/>
        <v>310</v>
      </c>
      <c r="V434" s="34">
        <f>VLOOKUP(U434,'Powder Core Toroid OD'!$A$2:$B$36,2,FALSE)</f>
        <v>22.9</v>
      </c>
    </row>
    <row r="435" spans="1:22" hidden="1">
      <c r="A435" s="42">
        <v>58071</v>
      </c>
      <c r="B435" s="34" t="s">
        <v>577</v>
      </c>
      <c r="C435" s="158">
        <v>548</v>
      </c>
      <c r="D435" s="34">
        <v>60</v>
      </c>
      <c r="E435" s="34" t="s">
        <v>503</v>
      </c>
      <c r="F435" s="34">
        <v>61</v>
      </c>
      <c r="G435" s="34" t="s">
        <v>0</v>
      </c>
      <c r="H435" s="34">
        <v>8.14</v>
      </c>
      <c r="I435" s="34">
        <v>81.400000000000006</v>
      </c>
      <c r="J435" s="34">
        <v>0.76600000000000001</v>
      </c>
      <c r="K435" s="34">
        <v>19.399999999999999</v>
      </c>
      <c r="L435" s="34">
        <v>1.325</v>
      </c>
      <c r="M435" s="34">
        <v>33.659999999999997</v>
      </c>
      <c r="N435" s="41">
        <v>0.45</v>
      </c>
      <c r="O435" s="34">
        <v>11.5</v>
      </c>
      <c r="P435" s="34">
        <v>0.65600000000000003</v>
      </c>
      <c r="Q435" s="34">
        <v>65.600000000000009</v>
      </c>
      <c r="R435" s="40">
        <v>5.34</v>
      </c>
      <c r="S435" s="34">
        <v>5340</v>
      </c>
      <c r="T435" s="34">
        <v>2.97</v>
      </c>
      <c r="U435" s="34">
        <f t="shared" si="7"/>
        <v>548</v>
      </c>
      <c r="V435" s="34">
        <f>VLOOKUP(U435,'Powder Core Toroid OD'!$A$2:$B$36,2,FALSE)</f>
        <v>32.799999999999997</v>
      </c>
    </row>
    <row r="436" spans="1:22" hidden="1">
      <c r="A436" s="42">
        <v>58076</v>
      </c>
      <c r="B436" s="34" t="s">
        <v>576</v>
      </c>
      <c r="C436" s="158">
        <v>324</v>
      </c>
      <c r="D436" s="34">
        <v>60</v>
      </c>
      <c r="E436" s="34" t="s">
        <v>503</v>
      </c>
      <c r="F436" s="34">
        <v>56</v>
      </c>
      <c r="G436" s="34" t="s">
        <v>0</v>
      </c>
      <c r="H436" s="34">
        <v>8.98</v>
      </c>
      <c r="I436" s="34">
        <v>89.800000000000011</v>
      </c>
      <c r="J436" s="34">
        <v>0.84799999999999998</v>
      </c>
      <c r="K436" s="34">
        <v>21.5</v>
      </c>
      <c r="L436" s="34">
        <v>1.4450000000000001</v>
      </c>
      <c r="M436" s="34">
        <v>36.71</v>
      </c>
      <c r="N436" s="34">
        <v>0.44700000000000001</v>
      </c>
      <c r="O436" s="34">
        <v>11.4</v>
      </c>
      <c r="P436" s="34">
        <v>0.67800000000000005</v>
      </c>
      <c r="Q436" s="34">
        <v>67.800000000000011</v>
      </c>
      <c r="R436" s="40">
        <v>6.09</v>
      </c>
      <c r="S436" s="34">
        <v>6090</v>
      </c>
      <c r="T436" s="34">
        <v>3.64</v>
      </c>
      <c r="U436" s="34">
        <f t="shared" si="7"/>
        <v>324</v>
      </c>
      <c r="V436" s="34">
        <f>VLOOKUP(U436,'Powder Core Toroid OD'!$A$2:$B$36,2,FALSE)</f>
        <v>35.799999999999997</v>
      </c>
    </row>
    <row r="437" spans="1:22" hidden="1">
      <c r="A437" s="42">
        <v>58083</v>
      </c>
      <c r="B437" s="34" t="s">
        <v>575</v>
      </c>
      <c r="C437" s="158">
        <v>254</v>
      </c>
      <c r="D437" s="34">
        <v>60</v>
      </c>
      <c r="E437" s="34" t="s">
        <v>503</v>
      </c>
      <c r="F437" s="34">
        <v>81</v>
      </c>
      <c r="G437" s="34" t="s">
        <v>0</v>
      </c>
      <c r="H437" s="34">
        <v>9.84</v>
      </c>
      <c r="I437" s="34">
        <v>98.4</v>
      </c>
      <c r="J437" s="34">
        <v>0.91800000000000004</v>
      </c>
      <c r="K437" s="34">
        <v>23.3</v>
      </c>
      <c r="L437" s="34">
        <v>1.605</v>
      </c>
      <c r="M437" s="34">
        <v>40.770000000000003</v>
      </c>
      <c r="N437" s="34">
        <v>0.60499999999999998</v>
      </c>
      <c r="O437" s="34">
        <v>15.4</v>
      </c>
      <c r="P437" s="34">
        <v>1.07</v>
      </c>
      <c r="Q437" s="34">
        <v>107</v>
      </c>
      <c r="R437" s="35">
        <v>10.6</v>
      </c>
      <c r="S437" s="34">
        <v>10600</v>
      </c>
      <c r="T437" s="34">
        <v>4.2699999999999996</v>
      </c>
      <c r="U437" s="34">
        <f t="shared" si="7"/>
        <v>254</v>
      </c>
      <c r="V437" s="34">
        <f>VLOOKUP(U437,'Powder Core Toroid OD'!$A$2:$B$36,2,FALSE)</f>
        <v>39.9</v>
      </c>
    </row>
    <row r="438" spans="1:22" hidden="1">
      <c r="A438" s="42">
        <v>58089</v>
      </c>
      <c r="B438" s="34" t="s">
        <v>574</v>
      </c>
      <c r="C438" s="158" t="s">
        <v>696</v>
      </c>
      <c r="D438" s="34">
        <v>125</v>
      </c>
      <c r="E438" s="34" t="s">
        <v>503</v>
      </c>
      <c r="F438" s="34">
        <v>178</v>
      </c>
      <c r="G438" s="34" t="s">
        <v>0</v>
      </c>
      <c r="H438" s="34">
        <v>11.6</v>
      </c>
      <c r="I438" s="34">
        <v>116</v>
      </c>
      <c r="J438" s="34">
        <v>1.0980000000000001</v>
      </c>
      <c r="K438" s="34">
        <v>27.88</v>
      </c>
      <c r="L438" s="34">
        <v>1.875</v>
      </c>
      <c r="M438" s="34">
        <v>47.63</v>
      </c>
      <c r="N438" s="34">
        <v>0.63500000000000001</v>
      </c>
      <c r="O438" s="34">
        <v>16.100000000000001</v>
      </c>
      <c r="P438" s="34">
        <v>1.34</v>
      </c>
      <c r="Q438" s="34">
        <v>134</v>
      </c>
      <c r="R438" s="34">
        <v>15.6</v>
      </c>
      <c r="S438" s="34">
        <v>15600</v>
      </c>
      <c r="T438" s="34">
        <v>6.1</v>
      </c>
      <c r="U438" s="34">
        <f t="shared" si="7"/>
        <v>89</v>
      </c>
      <c r="V438" s="34">
        <f>VLOOKUP(U438,'Powder Core Toroid OD'!$A$2:$B$36,2,FALSE)</f>
        <v>46.7</v>
      </c>
    </row>
    <row r="439" spans="1:22" hidden="1">
      <c r="A439" s="42">
        <v>58090</v>
      </c>
      <c r="B439" s="34" t="s">
        <v>573</v>
      </c>
      <c r="C439" s="158" t="s">
        <v>696</v>
      </c>
      <c r="D439" s="34">
        <v>60</v>
      </c>
      <c r="E439" s="34" t="s">
        <v>503</v>
      </c>
      <c r="F439" s="34">
        <v>86</v>
      </c>
      <c r="G439" s="34" t="s">
        <v>0</v>
      </c>
      <c r="H439" s="34">
        <v>11.6</v>
      </c>
      <c r="I439" s="34">
        <v>116</v>
      </c>
      <c r="J439" s="34">
        <v>1.0980000000000001</v>
      </c>
      <c r="K439" s="34">
        <v>27.88</v>
      </c>
      <c r="L439" s="34">
        <v>1.875</v>
      </c>
      <c r="M439" s="34">
        <v>47.63</v>
      </c>
      <c r="N439" s="34">
        <v>0.63500000000000001</v>
      </c>
      <c r="O439" s="34">
        <v>16.100000000000001</v>
      </c>
      <c r="P439" s="34">
        <v>1.34</v>
      </c>
      <c r="Q439" s="34">
        <v>134</v>
      </c>
      <c r="R439" s="34">
        <v>15.6</v>
      </c>
      <c r="S439" s="34">
        <v>15600</v>
      </c>
      <c r="T439" s="34">
        <v>6.1</v>
      </c>
      <c r="U439" s="34">
        <f t="shared" si="7"/>
        <v>89</v>
      </c>
      <c r="V439" s="34">
        <f>VLOOKUP(U439,'Powder Core Toroid OD'!$A$2:$B$36,2,FALSE)</f>
        <v>46.7</v>
      </c>
    </row>
    <row r="440" spans="1:22" hidden="1">
      <c r="A440" s="42">
        <v>58091</v>
      </c>
      <c r="B440" s="34" t="s">
        <v>633</v>
      </c>
      <c r="C440" s="158" t="s">
        <v>696</v>
      </c>
      <c r="D440" s="34">
        <v>26</v>
      </c>
      <c r="E440" s="34" t="s">
        <v>503</v>
      </c>
      <c r="F440" s="34">
        <v>37</v>
      </c>
      <c r="G440" s="34" t="s">
        <v>0</v>
      </c>
      <c r="H440" s="34">
        <v>11.6</v>
      </c>
      <c r="I440" s="34">
        <v>116</v>
      </c>
      <c r="J440" s="34">
        <v>1.0980000000000001</v>
      </c>
      <c r="K440" s="34">
        <v>27.88</v>
      </c>
      <c r="L440" s="34">
        <v>1.875</v>
      </c>
      <c r="M440" s="34">
        <v>47.63</v>
      </c>
      <c r="N440" s="34">
        <v>0.63500000000000001</v>
      </c>
      <c r="O440" s="34">
        <v>16.100000000000001</v>
      </c>
      <c r="P440" s="34">
        <v>1.34</v>
      </c>
      <c r="Q440" s="34">
        <v>134</v>
      </c>
      <c r="R440" s="34">
        <v>15.6</v>
      </c>
      <c r="S440" s="34">
        <v>15600</v>
      </c>
      <c r="T440" s="34">
        <v>6.1</v>
      </c>
      <c r="U440" s="34">
        <f t="shared" si="7"/>
        <v>89</v>
      </c>
      <c r="V440" s="34">
        <f>VLOOKUP(U440,'Powder Core Toroid OD'!$A$2:$B$36,2,FALSE)</f>
        <v>46.7</v>
      </c>
    </row>
    <row r="441" spans="1:22" hidden="1">
      <c r="A441" s="42">
        <v>58092</v>
      </c>
      <c r="B441" s="34" t="s">
        <v>632</v>
      </c>
      <c r="C441" s="158" t="s">
        <v>696</v>
      </c>
      <c r="D441" s="34">
        <v>14</v>
      </c>
      <c r="E441" s="34" t="s">
        <v>503</v>
      </c>
      <c r="F441" s="34">
        <v>20</v>
      </c>
      <c r="G441" s="34" t="s">
        <v>0</v>
      </c>
      <c r="H441" s="34">
        <v>11.6</v>
      </c>
      <c r="I441" s="34">
        <v>116</v>
      </c>
      <c r="J441" s="34">
        <v>1.0980000000000001</v>
      </c>
      <c r="K441" s="34">
        <v>27.88</v>
      </c>
      <c r="L441" s="34">
        <v>1.875</v>
      </c>
      <c r="M441" s="34">
        <v>47.63</v>
      </c>
      <c r="N441" s="34">
        <v>0.63500000000000001</v>
      </c>
      <c r="O441" s="34">
        <v>16.100000000000001</v>
      </c>
      <c r="P441" s="34">
        <v>1.34</v>
      </c>
      <c r="Q441" s="34">
        <v>134</v>
      </c>
      <c r="R441" s="34">
        <v>15.6</v>
      </c>
      <c r="S441" s="34">
        <v>15600</v>
      </c>
      <c r="T441" s="34">
        <v>6.1</v>
      </c>
      <c r="U441" s="34">
        <f t="shared" si="7"/>
        <v>89</v>
      </c>
      <c r="V441" s="34">
        <f>VLOOKUP(U441,'Powder Core Toroid OD'!$A$2:$B$36,2,FALSE)</f>
        <v>46.7</v>
      </c>
    </row>
    <row r="442" spans="1:22" hidden="1">
      <c r="A442" s="42">
        <v>58109</v>
      </c>
      <c r="B442" s="34" t="s">
        <v>572</v>
      </c>
      <c r="C442" s="158">
        <v>109</v>
      </c>
      <c r="D442" s="34">
        <v>125</v>
      </c>
      <c r="E442" s="34" t="s">
        <v>503</v>
      </c>
      <c r="F442" s="34">
        <v>156</v>
      </c>
      <c r="G442" s="34" t="s">
        <v>0</v>
      </c>
      <c r="H442" s="34">
        <v>14.3</v>
      </c>
      <c r="I442" s="34">
        <v>143</v>
      </c>
      <c r="J442" s="34">
        <v>1.3680000000000001</v>
      </c>
      <c r="K442" s="34">
        <v>34.74</v>
      </c>
      <c r="L442" s="34">
        <v>2.2850000000000001</v>
      </c>
      <c r="M442" s="34">
        <v>58.04</v>
      </c>
      <c r="N442" s="34">
        <v>0.58499999999999996</v>
      </c>
      <c r="O442" s="34">
        <v>14.9</v>
      </c>
      <c r="P442" s="34">
        <v>1.44</v>
      </c>
      <c r="Q442" s="34">
        <v>144</v>
      </c>
      <c r="R442" s="34">
        <v>20.7</v>
      </c>
      <c r="S442" s="34">
        <v>20700</v>
      </c>
      <c r="T442" s="34">
        <v>9.48</v>
      </c>
      <c r="U442" s="34">
        <f t="shared" si="7"/>
        <v>109</v>
      </c>
      <c r="V442" s="34">
        <f>VLOOKUP(U442,'Powder Core Toroid OD'!$A$2:$B$36,2,FALSE)</f>
        <v>57.2</v>
      </c>
    </row>
    <row r="443" spans="1:22" hidden="1">
      <c r="A443" s="42">
        <v>58110</v>
      </c>
      <c r="B443" s="34" t="s">
        <v>571</v>
      </c>
      <c r="C443" s="158">
        <v>109</v>
      </c>
      <c r="D443" s="34">
        <v>60</v>
      </c>
      <c r="E443" s="34" t="s">
        <v>503</v>
      </c>
      <c r="F443" s="34">
        <v>75</v>
      </c>
      <c r="G443" s="34" t="s">
        <v>0</v>
      </c>
      <c r="H443" s="34">
        <v>14.3</v>
      </c>
      <c r="I443" s="34">
        <v>143</v>
      </c>
      <c r="J443" s="34">
        <v>1.3680000000000001</v>
      </c>
      <c r="K443" s="34">
        <v>34.74</v>
      </c>
      <c r="L443" s="34">
        <v>2.2850000000000001</v>
      </c>
      <c r="M443" s="34">
        <v>58.04</v>
      </c>
      <c r="N443" s="34">
        <v>0.58499999999999996</v>
      </c>
      <c r="O443" s="34">
        <v>14.9</v>
      </c>
      <c r="P443" s="34">
        <v>1.44</v>
      </c>
      <c r="Q443" s="34">
        <v>144</v>
      </c>
      <c r="R443" s="34">
        <v>20.7</v>
      </c>
      <c r="S443" s="34">
        <v>20700</v>
      </c>
      <c r="T443" s="34">
        <v>9.48</v>
      </c>
      <c r="U443" s="34">
        <f t="shared" ref="U443:U506" si="8">C443*1</f>
        <v>109</v>
      </c>
      <c r="V443" s="34">
        <f>VLOOKUP(U443,'Powder Core Toroid OD'!$A$2:$B$36,2,FALSE)</f>
        <v>57.2</v>
      </c>
    </row>
    <row r="444" spans="1:22" hidden="1">
      <c r="A444" s="42">
        <v>58111</v>
      </c>
      <c r="B444" s="34" t="s">
        <v>631</v>
      </c>
      <c r="C444" s="158">
        <v>109</v>
      </c>
      <c r="D444" s="34">
        <v>26</v>
      </c>
      <c r="E444" s="34" t="s">
        <v>503</v>
      </c>
      <c r="F444" s="34">
        <v>33</v>
      </c>
      <c r="G444" s="34" t="s">
        <v>0</v>
      </c>
      <c r="H444" s="34">
        <v>14.3</v>
      </c>
      <c r="I444" s="34">
        <v>143</v>
      </c>
      <c r="J444" s="34">
        <v>1.3680000000000001</v>
      </c>
      <c r="K444" s="34">
        <v>34.74</v>
      </c>
      <c r="L444" s="34">
        <v>2.2850000000000001</v>
      </c>
      <c r="M444" s="34">
        <v>58.04</v>
      </c>
      <c r="N444" s="34">
        <v>0.58499999999999996</v>
      </c>
      <c r="O444" s="34">
        <v>14.9</v>
      </c>
      <c r="P444" s="34">
        <v>1.44</v>
      </c>
      <c r="Q444" s="34">
        <v>144</v>
      </c>
      <c r="R444" s="34">
        <v>20.7</v>
      </c>
      <c r="S444" s="34">
        <v>20700</v>
      </c>
      <c r="T444" s="34">
        <v>9.48</v>
      </c>
      <c r="U444" s="34">
        <f t="shared" si="8"/>
        <v>109</v>
      </c>
      <c r="V444" s="34">
        <f>VLOOKUP(U444,'Powder Core Toroid OD'!$A$2:$B$36,2,FALSE)</f>
        <v>57.2</v>
      </c>
    </row>
    <row r="445" spans="1:22" hidden="1">
      <c r="A445" s="42">
        <v>58112</v>
      </c>
      <c r="B445" s="34" t="s">
        <v>630</v>
      </c>
      <c r="C445" s="158">
        <v>109</v>
      </c>
      <c r="D445" s="34">
        <v>14</v>
      </c>
      <c r="E445" s="34" t="s">
        <v>503</v>
      </c>
      <c r="F445" s="34">
        <v>18</v>
      </c>
      <c r="G445" s="34" t="s">
        <v>0</v>
      </c>
      <c r="H445" s="34">
        <v>14.3</v>
      </c>
      <c r="I445" s="34">
        <v>143</v>
      </c>
      <c r="J445" s="34">
        <v>1.3680000000000001</v>
      </c>
      <c r="K445" s="34">
        <v>34.747199999999999</v>
      </c>
      <c r="L445" s="34">
        <v>2.2850000000000001</v>
      </c>
      <c r="M445" s="34">
        <v>58.039000000000001</v>
      </c>
      <c r="N445" s="34">
        <v>0.58499999999999996</v>
      </c>
      <c r="O445" s="34">
        <v>14.858999999999998</v>
      </c>
      <c r="P445" s="34">
        <v>1.43</v>
      </c>
      <c r="Q445" s="34">
        <v>143</v>
      </c>
      <c r="R445" s="34">
        <v>20.65</v>
      </c>
      <c r="S445" s="34">
        <v>20650</v>
      </c>
      <c r="T445" s="34">
        <v>9.48</v>
      </c>
      <c r="U445" s="34">
        <f t="shared" si="8"/>
        <v>109</v>
      </c>
      <c r="V445" s="34">
        <f>VLOOKUP(U445,'Powder Core Toroid OD'!$A$2:$B$36,2,FALSE)</f>
        <v>57.2</v>
      </c>
    </row>
    <row r="446" spans="1:22" hidden="1">
      <c r="A446" s="42">
        <v>58118</v>
      </c>
      <c r="B446" s="34" t="s">
        <v>570</v>
      </c>
      <c r="C446" s="158">
        <v>120</v>
      </c>
      <c r="D446" s="34">
        <v>160</v>
      </c>
      <c r="E446" s="34" t="s">
        <v>503</v>
      </c>
      <c r="F446" s="34">
        <v>92</v>
      </c>
      <c r="G446" s="34" t="s">
        <v>0</v>
      </c>
      <c r="H446" s="34">
        <v>4.12</v>
      </c>
      <c r="I446" s="34">
        <v>41.2</v>
      </c>
      <c r="J446" s="34">
        <v>0.375</v>
      </c>
      <c r="K446" s="34">
        <v>9.52</v>
      </c>
      <c r="L446" s="41">
        <v>0.68</v>
      </c>
      <c r="M446" s="34">
        <v>17.3</v>
      </c>
      <c r="N446" s="41">
        <v>0.28000000000000003</v>
      </c>
      <c r="O446" s="34">
        <v>7.12</v>
      </c>
      <c r="P446" s="34">
        <v>0.192</v>
      </c>
      <c r="Q446" s="34">
        <v>19.2</v>
      </c>
      <c r="R446" s="34">
        <v>0.79100000000000004</v>
      </c>
      <c r="S446" s="34">
        <v>791</v>
      </c>
      <c r="T446" s="34">
        <v>0.71199999999999997</v>
      </c>
      <c r="U446" s="34">
        <f t="shared" si="8"/>
        <v>120</v>
      </c>
      <c r="V446" s="34">
        <f>VLOOKUP(U446,'Powder Core Toroid OD'!$A$2:$B$36,2,FALSE)</f>
        <v>16.600000000000001</v>
      </c>
    </row>
    <row r="447" spans="1:22" hidden="1">
      <c r="A447" s="42">
        <v>58119</v>
      </c>
      <c r="B447" s="34" t="s">
        <v>569</v>
      </c>
      <c r="C447" s="158">
        <v>120</v>
      </c>
      <c r="D447" s="34">
        <v>147</v>
      </c>
      <c r="E447" s="34" t="s">
        <v>503</v>
      </c>
      <c r="F447" s="34">
        <v>88</v>
      </c>
      <c r="G447" s="34" t="s">
        <v>0</v>
      </c>
      <c r="H447" s="34">
        <v>4.12</v>
      </c>
      <c r="I447" s="34">
        <v>41.2</v>
      </c>
      <c r="J447" s="34">
        <v>0.375</v>
      </c>
      <c r="K447" s="34">
        <v>9.52</v>
      </c>
      <c r="L447" s="41">
        <v>0.68</v>
      </c>
      <c r="M447" s="34">
        <v>17.3</v>
      </c>
      <c r="N447" s="41">
        <v>0.28000000000000003</v>
      </c>
      <c r="O447" s="34">
        <v>7.12</v>
      </c>
      <c r="P447" s="34">
        <v>0.192</v>
      </c>
      <c r="Q447" s="34">
        <v>19.2</v>
      </c>
      <c r="R447" s="34">
        <v>0.79100000000000004</v>
      </c>
      <c r="S447" s="34">
        <v>791</v>
      </c>
      <c r="T447" s="34">
        <v>0.71199999999999997</v>
      </c>
      <c r="U447" s="34">
        <f t="shared" si="8"/>
        <v>120</v>
      </c>
      <c r="V447" s="34">
        <f>VLOOKUP(U447,'Powder Core Toroid OD'!$A$2:$B$36,2,FALSE)</f>
        <v>16.600000000000001</v>
      </c>
    </row>
    <row r="448" spans="1:22" hidden="1">
      <c r="A448" s="42">
        <v>58120</v>
      </c>
      <c r="B448" s="34" t="s">
        <v>568</v>
      </c>
      <c r="C448" s="158">
        <v>120</v>
      </c>
      <c r="D448" s="34">
        <v>125</v>
      </c>
      <c r="E448" s="34" t="s">
        <v>503</v>
      </c>
      <c r="F448" s="34">
        <v>72</v>
      </c>
      <c r="G448" s="34" t="s">
        <v>0</v>
      </c>
      <c r="H448" s="34">
        <v>4.12</v>
      </c>
      <c r="I448" s="34">
        <v>41.2</v>
      </c>
      <c r="J448" s="34">
        <v>0.375</v>
      </c>
      <c r="K448" s="34">
        <v>9.52</v>
      </c>
      <c r="L448" s="41">
        <v>0.68</v>
      </c>
      <c r="M448" s="34">
        <v>17.3</v>
      </c>
      <c r="N448" s="41">
        <v>0.28000000000000003</v>
      </c>
      <c r="O448" s="34">
        <v>7.12</v>
      </c>
      <c r="P448" s="34">
        <v>0.192</v>
      </c>
      <c r="Q448" s="34">
        <v>19.2</v>
      </c>
      <c r="R448" s="34">
        <v>0.79100000000000004</v>
      </c>
      <c r="S448" s="34">
        <v>791</v>
      </c>
      <c r="T448" s="34">
        <v>0.71199999999999997</v>
      </c>
      <c r="U448" s="34">
        <f t="shared" si="8"/>
        <v>120</v>
      </c>
      <c r="V448" s="34">
        <f>VLOOKUP(U448,'Powder Core Toroid OD'!$A$2:$B$36,2,FALSE)</f>
        <v>16.600000000000001</v>
      </c>
    </row>
    <row r="449" spans="1:22" hidden="1">
      <c r="A449" s="42">
        <v>58121</v>
      </c>
      <c r="B449" s="34" t="s">
        <v>567</v>
      </c>
      <c r="C449" s="158">
        <v>120</v>
      </c>
      <c r="D449" s="34">
        <v>60</v>
      </c>
      <c r="E449" s="34" t="s">
        <v>503</v>
      </c>
      <c r="F449" s="34">
        <v>35</v>
      </c>
      <c r="G449" s="34" t="s">
        <v>0</v>
      </c>
      <c r="H449" s="34">
        <v>4.12</v>
      </c>
      <c r="I449" s="34">
        <v>41.2</v>
      </c>
      <c r="J449" s="34">
        <v>0.375</v>
      </c>
      <c r="K449" s="34">
        <v>9.52</v>
      </c>
      <c r="L449" s="41">
        <v>0.68</v>
      </c>
      <c r="M449" s="34">
        <v>17.3</v>
      </c>
      <c r="N449" s="41">
        <v>0.28000000000000003</v>
      </c>
      <c r="O449" s="34">
        <v>7.12</v>
      </c>
      <c r="P449" s="34">
        <v>0.192</v>
      </c>
      <c r="Q449" s="34">
        <v>19.2</v>
      </c>
      <c r="R449" s="34">
        <v>0.79100000000000004</v>
      </c>
      <c r="S449" s="34">
        <v>791</v>
      </c>
      <c r="T449" s="34">
        <v>0.71199999999999997</v>
      </c>
      <c r="U449" s="34">
        <f t="shared" si="8"/>
        <v>120</v>
      </c>
      <c r="V449" s="34">
        <f>VLOOKUP(U449,'Powder Core Toroid OD'!$A$2:$B$36,2,FALSE)</f>
        <v>16.600000000000001</v>
      </c>
    </row>
    <row r="450" spans="1:22" hidden="1">
      <c r="A450" s="42">
        <v>58122</v>
      </c>
      <c r="B450" s="34" t="s">
        <v>629</v>
      </c>
      <c r="C450" s="158">
        <v>120</v>
      </c>
      <c r="D450" s="34">
        <v>26</v>
      </c>
      <c r="E450" s="34" t="s">
        <v>503</v>
      </c>
      <c r="F450" s="34">
        <v>15</v>
      </c>
      <c r="G450" s="34" t="s">
        <v>0</v>
      </c>
      <c r="H450" s="34">
        <v>4.12</v>
      </c>
      <c r="I450" s="34">
        <v>41.2</v>
      </c>
      <c r="J450" s="34">
        <v>0.375</v>
      </c>
      <c r="K450" s="34">
        <v>9.52</v>
      </c>
      <c r="L450" s="41">
        <v>0.68</v>
      </c>
      <c r="M450" s="34">
        <v>17.3</v>
      </c>
      <c r="N450" s="41">
        <v>0.28000000000000003</v>
      </c>
      <c r="O450" s="34">
        <v>7.12</v>
      </c>
      <c r="P450" s="34">
        <v>0.192</v>
      </c>
      <c r="Q450" s="34">
        <v>19.2</v>
      </c>
      <c r="R450" s="34">
        <v>0.79100000000000004</v>
      </c>
      <c r="S450" s="34">
        <v>791</v>
      </c>
      <c r="T450" s="34">
        <v>0.71199999999999997</v>
      </c>
      <c r="U450" s="34">
        <f t="shared" si="8"/>
        <v>120</v>
      </c>
      <c r="V450" s="34">
        <f>VLOOKUP(U450,'Powder Core Toroid OD'!$A$2:$B$36,2,FALSE)</f>
        <v>16.600000000000001</v>
      </c>
    </row>
    <row r="451" spans="1:22" hidden="1">
      <c r="A451" s="42">
        <v>58123</v>
      </c>
      <c r="B451" s="34" t="s">
        <v>628</v>
      </c>
      <c r="C451" s="158">
        <v>120</v>
      </c>
      <c r="D451" s="34">
        <v>14</v>
      </c>
      <c r="E451" s="34" t="s">
        <v>503</v>
      </c>
      <c r="F451" s="34">
        <v>8</v>
      </c>
      <c r="G451" s="34" t="s">
        <v>0</v>
      </c>
      <c r="H451" s="34">
        <v>4.12</v>
      </c>
      <c r="I451" s="34">
        <v>41.2</v>
      </c>
      <c r="J451" s="34">
        <v>0.375</v>
      </c>
      <c r="K451" s="34">
        <v>9.52</v>
      </c>
      <c r="L451" s="41">
        <v>0.68</v>
      </c>
      <c r="M451" s="34">
        <v>17.3</v>
      </c>
      <c r="N451" s="41">
        <v>0.28000000000000003</v>
      </c>
      <c r="O451" s="34">
        <v>7.12</v>
      </c>
      <c r="P451" s="34">
        <v>0.192</v>
      </c>
      <c r="Q451" s="34">
        <v>19.2</v>
      </c>
      <c r="R451" s="34">
        <v>0.79100000000000004</v>
      </c>
      <c r="S451" s="34">
        <v>791</v>
      </c>
      <c r="T451" s="34">
        <v>0.71199999999999997</v>
      </c>
      <c r="U451" s="34">
        <f t="shared" si="8"/>
        <v>120</v>
      </c>
      <c r="V451" s="34">
        <f>VLOOKUP(U451,'Powder Core Toroid OD'!$A$2:$B$36,2,FALSE)</f>
        <v>16.600000000000001</v>
      </c>
    </row>
    <row r="452" spans="1:22" hidden="1">
      <c r="A452" s="42">
        <v>58128</v>
      </c>
      <c r="B452" s="34" t="s">
        <v>566</v>
      </c>
      <c r="C452" s="158">
        <v>130</v>
      </c>
      <c r="D452" s="34">
        <v>160</v>
      </c>
      <c r="E452" s="34" t="s">
        <v>503</v>
      </c>
      <c r="F452" s="34">
        <v>68</v>
      </c>
      <c r="G452" s="34" t="s">
        <v>0</v>
      </c>
      <c r="H452" s="34">
        <v>2.69</v>
      </c>
      <c r="I452" s="34">
        <v>26.9</v>
      </c>
      <c r="J452" s="41">
        <v>0.23</v>
      </c>
      <c r="K452" s="34">
        <v>5.84</v>
      </c>
      <c r="L452" s="34">
        <v>0.46500000000000002</v>
      </c>
      <c r="M452" s="34">
        <v>11.9</v>
      </c>
      <c r="N452" s="34">
        <v>0.18099999999999999</v>
      </c>
      <c r="O452" s="41">
        <v>4.5999999999999996</v>
      </c>
      <c r="P452" s="34">
        <v>9.06E-2</v>
      </c>
      <c r="Q452" s="34">
        <v>9.06</v>
      </c>
      <c r="R452" s="34">
        <v>0.24399999999999999</v>
      </c>
      <c r="S452" s="34">
        <v>244</v>
      </c>
      <c r="T452" s="34">
        <v>0.26800000000000002</v>
      </c>
      <c r="U452" s="34">
        <f t="shared" si="8"/>
        <v>130</v>
      </c>
      <c r="V452" s="34">
        <f>VLOOKUP(U452,'Powder Core Toroid OD'!$A$2:$B$36,2,FALSE)</f>
        <v>11.2</v>
      </c>
    </row>
    <row r="453" spans="1:22" hidden="1">
      <c r="A453" s="42">
        <v>58129</v>
      </c>
      <c r="B453" s="34" t="s">
        <v>565</v>
      </c>
      <c r="C453" s="158">
        <v>130</v>
      </c>
      <c r="D453" s="34">
        <v>147</v>
      </c>
      <c r="E453" s="34" t="s">
        <v>503</v>
      </c>
      <c r="F453" s="34">
        <v>63</v>
      </c>
      <c r="G453" s="34" t="s">
        <v>0</v>
      </c>
      <c r="H453" s="34">
        <v>2.69</v>
      </c>
      <c r="I453" s="34">
        <v>26.9</v>
      </c>
      <c r="J453" s="41">
        <v>0.23</v>
      </c>
      <c r="K453" s="34">
        <v>5.84</v>
      </c>
      <c r="L453" s="34">
        <v>0.46500000000000002</v>
      </c>
      <c r="M453" s="34">
        <v>11.9</v>
      </c>
      <c r="N453" s="34">
        <v>0.18099999999999999</v>
      </c>
      <c r="O453" s="41">
        <v>4.5999999999999996</v>
      </c>
      <c r="P453" s="34">
        <v>9.06E-2</v>
      </c>
      <c r="Q453" s="34">
        <v>9.06</v>
      </c>
      <c r="R453" s="34">
        <v>0.24399999999999999</v>
      </c>
      <c r="S453" s="34">
        <v>244</v>
      </c>
      <c r="T453" s="34">
        <v>0.26800000000000002</v>
      </c>
      <c r="U453" s="34">
        <f t="shared" si="8"/>
        <v>130</v>
      </c>
      <c r="V453" s="34">
        <f>VLOOKUP(U453,'Powder Core Toroid OD'!$A$2:$B$36,2,FALSE)</f>
        <v>11.2</v>
      </c>
    </row>
    <row r="454" spans="1:22" hidden="1">
      <c r="A454" s="42">
        <v>58130</v>
      </c>
      <c r="B454" s="34" t="s">
        <v>564</v>
      </c>
      <c r="C454" s="158">
        <v>130</v>
      </c>
      <c r="D454" s="34">
        <v>125</v>
      </c>
      <c r="E454" s="34" t="s">
        <v>503</v>
      </c>
      <c r="F454" s="34">
        <v>53</v>
      </c>
      <c r="G454" s="34" t="s">
        <v>0</v>
      </c>
      <c r="H454" s="34">
        <v>2.69</v>
      </c>
      <c r="I454" s="34">
        <v>26.9</v>
      </c>
      <c r="J454" s="41">
        <v>0.23</v>
      </c>
      <c r="K454" s="34">
        <v>5.84</v>
      </c>
      <c r="L454" s="34">
        <v>0.46500000000000002</v>
      </c>
      <c r="M454" s="34">
        <v>11.9</v>
      </c>
      <c r="N454" s="34">
        <v>0.18099999999999999</v>
      </c>
      <c r="O454" s="41">
        <v>4.5999999999999996</v>
      </c>
      <c r="P454" s="34">
        <v>9.06E-2</v>
      </c>
      <c r="Q454" s="34">
        <v>9.06</v>
      </c>
      <c r="R454" s="34">
        <v>0.24399999999999999</v>
      </c>
      <c r="S454" s="34">
        <v>244</v>
      </c>
      <c r="T454" s="34">
        <v>0.26800000000000002</v>
      </c>
      <c r="U454" s="34">
        <f t="shared" si="8"/>
        <v>130</v>
      </c>
      <c r="V454" s="34">
        <f>VLOOKUP(U454,'Powder Core Toroid OD'!$A$2:$B$36,2,FALSE)</f>
        <v>11.2</v>
      </c>
    </row>
    <row r="455" spans="1:22" hidden="1">
      <c r="A455" s="42">
        <v>58131</v>
      </c>
      <c r="B455" s="34" t="s">
        <v>563</v>
      </c>
      <c r="C455" s="158">
        <v>130</v>
      </c>
      <c r="D455" s="34">
        <v>60</v>
      </c>
      <c r="E455" s="34" t="s">
        <v>503</v>
      </c>
      <c r="F455" s="34">
        <v>26</v>
      </c>
      <c r="G455" s="34" t="s">
        <v>0</v>
      </c>
      <c r="H455" s="34">
        <v>2.69</v>
      </c>
      <c r="I455" s="34">
        <v>26.9</v>
      </c>
      <c r="J455" s="41">
        <v>0.23</v>
      </c>
      <c r="K455" s="34">
        <v>5.84</v>
      </c>
      <c r="L455" s="34">
        <v>0.46500000000000002</v>
      </c>
      <c r="M455" s="34">
        <v>11.9</v>
      </c>
      <c r="N455" s="34">
        <v>0.18099999999999999</v>
      </c>
      <c r="O455" s="41">
        <v>4.5999999999999996</v>
      </c>
      <c r="P455" s="34">
        <v>9.06E-2</v>
      </c>
      <c r="Q455" s="34">
        <v>9.06</v>
      </c>
      <c r="R455" s="34">
        <v>0.24399999999999999</v>
      </c>
      <c r="S455" s="34">
        <v>244</v>
      </c>
      <c r="T455" s="34">
        <v>0.26800000000000002</v>
      </c>
      <c r="U455" s="34">
        <f t="shared" si="8"/>
        <v>130</v>
      </c>
      <c r="V455" s="34">
        <f>VLOOKUP(U455,'Powder Core Toroid OD'!$A$2:$B$36,2,FALSE)</f>
        <v>11.2</v>
      </c>
    </row>
    <row r="456" spans="1:22" hidden="1">
      <c r="A456" s="42">
        <v>58132</v>
      </c>
      <c r="B456" s="34" t="s">
        <v>627</v>
      </c>
      <c r="C456" s="158">
        <v>130</v>
      </c>
      <c r="D456" s="34">
        <v>26</v>
      </c>
      <c r="E456" s="34" t="s">
        <v>503</v>
      </c>
      <c r="F456" s="34">
        <v>11</v>
      </c>
      <c r="G456" s="34" t="s">
        <v>0</v>
      </c>
      <c r="H456" s="34">
        <v>2.69</v>
      </c>
      <c r="I456" s="34">
        <v>26.9</v>
      </c>
      <c r="J456" s="41">
        <v>0.23</v>
      </c>
      <c r="K456" s="34">
        <v>5.84</v>
      </c>
      <c r="L456" s="34">
        <v>0.46500000000000002</v>
      </c>
      <c r="M456" s="34">
        <v>11.9</v>
      </c>
      <c r="N456" s="34">
        <v>0.18099999999999999</v>
      </c>
      <c r="O456" s="41">
        <v>4.5999999999999996</v>
      </c>
      <c r="P456" s="34">
        <v>9.06E-2</v>
      </c>
      <c r="Q456" s="34">
        <v>9.06</v>
      </c>
      <c r="R456" s="34">
        <v>0.24399999999999999</v>
      </c>
      <c r="S456" s="34">
        <v>244</v>
      </c>
      <c r="T456" s="34">
        <v>0.26800000000000002</v>
      </c>
      <c r="U456" s="34">
        <f t="shared" si="8"/>
        <v>130</v>
      </c>
      <c r="V456" s="34">
        <f>VLOOKUP(U456,'Powder Core Toroid OD'!$A$2:$B$36,2,FALSE)</f>
        <v>11.2</v>
      </c>
    </row>
    <row r="457" spans="1:22" hidden="1">
      <c r="A457" s="42">
        <v>58133</v>
      </c>
      <c r="B457" s="34" t="s">
        <v>626</v>
      </c>
      <c r="C457" s="158">
        <v>130</v>
      </c>
      <c r="D457" s="34">
        <v>14</v>
      </c>
      <c r="E457" s="34" t="s">
        <v>503</v>
      </c>
      <c r="F457" s="34">
        <v>6</v>
      </c>
      <c r="G457" s="34" t="s">
        <v>0</v>
      </c>
      <c r="H457" s="34">
        <v>2.69</v>
      </c>
      <c r="I457" s="34">
        <v>26.9</v>
      </c>
      <c r="J457" s="41">
        <v>0.23</v>
      </c>
      <c r="K457" s="34">
        <v>5.84</v>
      </c>
      <c r="L457" s="34">
        <v>0.46500000000000002</v>
      </c>
      <c r="M457" s="34">
        <v>11.9</v>
      </c>
      <c r="N457" s="34">
        <v>0.18099999999999999</v>
      </c>
      <c r="O457" s="41">
        <v>4.5999999999999996</v>
      </c>
      <c r="P457" s="34">
        <v>9.06E-2</v>
      </c>
      <c r="Q457" s="34">
        <v>9.06</v>
      </c>
      <c r="R457" s="34">
        <v>0.24399999999999999</v>
      </c>
      <c r="S457" s="34">
        <v>244</v>
      </c>
      <c r="T457" s="34">
        <v>0.26800000000000002</v>
      </c>
      <c r="U457" s="34">
        <f t="shared" si="8"/>
        <v>130</v>
      </c>
      <c r="V457" s="34">
        <f>VLOOKUP(U457,'Powder Core Toroid OD'!$A$2:$B$36,2,FALSE)</f>
        <v>11.2</v>
      </c>
    </row>
    <row r="458" spans="1:22" hidden="1">
      <c r="A458" s="42">
        <v>58150</v>
      </c>
      <c r="B458" s="34" t="s">
        <v>562</v>
      </c>
      <c r="C458" s="158">
        <v>150</v>
      </c>
      <c r="D458" s="34">
        <v>125</v>
      </c>
      <c r="E458" s="34" t="s">
        <v>503</v>
      </c>
      <c r="F458" s="34">
        <v>35</v>
      </c>
      <c r="G458" s="34" t="s">
        <v>0</v>
      </c>
      <c r="H458" s="34">
        <v>0.94199999999999995</v>
      </c>
      <c r="I458" s="34">
        <v>9.42</v>
      </c>
      <c r="J458" s="34">
        <v>6.8000000000000005E-2</v>
      </c>
      <c r="K458" s="34">
        <v>1.72</v>
      </c>
      <c r="L458" s="34">
        <v>0.18</v>
      </c>
      <c r="M458" s="34">
        <v>4.58</v>
      </c>
      <c r="N458" s="34">
        <v>0.125</v>
      </c>
      <c r="O458" s="34">
        <v>3.18</v>
      </c>
      <c r="P458" s="34">
        <v>2.1100000000000001E-2</v>
      </c>
      <c r="Q458" s="34">
        <v>2.11</v>
      </c>
      <c r="R458" s="34">
        <v>1.9900000000000001E-2</v>
      </c>
      <c r="S458" s="34">
        <v>19.899999999999999</v>
      </c>
      <c r="T458" s="34">
        <v>2.3199999999999998E-2</v>
      </c>
      <c r="U458" s="34">
        <f t="shared" si="8"/>
        <v>150</v>
      </c>
      <c r="V458" s="34">
        <f>VLOOKUP(U458,'Powder Core Toroid OD'!$A$2:$B$36,2,FALSE)</f>
        <v>3.94</v>
      </c>
    </row>
    <row r="459" spans="1:22" hidden="1">
      <c r="A459" s="42">
        <v>58181</v>
      </c>
      <c r="B459" s="34" t="s">
        <v>865</v>
      </c>
      <c r="C459" s="158">
        <v>180</v>
      </c>
      <c r="D459" s="34">
        <v>60</v>
      </c>
      <c r="E459" s="34" t="s">
        <v>503</v>
      </c>
      <c r="F459" s="34">
        <v>20</v>
      </c>
      <c r="G459" s="34" t="s">
        <v>0</v>
      </c>
      <c r="H459" s="34">
        <v>1.06</v>
      </c>
      <c r="I459" s="34">
        <v>10.6</v>
      </c>
      <c r="J459" s="34">
        <v>7.2999999999999995E-2</v>
      </c>
      <c r="K459" s="34">
        <v>1.85</v>
      </c>
      <c r="L459" s="34">
        <v>0.20799999999999999</v>
      </c>
      <c r="M459" s="34">
        <v>5.29</v>
      </c>
      <c r="N459" s="34">
        <v>0.125</v>
      </c>
      <c r="O459" s="34">
        <v>3.18</v>
      </c>
      <c r="P459" s="34">
        <v>2.8500000000000001E-2</v>
      </c>
      <c r="Q459" s="34">
        <v>2.85</v>
      </c>
      <c r="R459" s="34">
        <v>3.0300000000000001E-2</v>
      </c>
      <c r="S459" s="34">
        <v>30.3</v>
      </c>
      <c r="T459" s="34">
        <v>2.69E-2</v>
      </c>
      <c r="U459" s="34">
        <f t="shared" si="8"/>
        <v>180</v>
      </c>
      <c r="V459" s="34">
        <f>VLOOKUP(U459,'Powder Core Toroid OD'!$A$2:$B$36,2,FALSE)</f>
        <v>4.6500000000000004</v>
      </c>
    </row>
    <row r="460" spans="1:22" hidden="1">
      <c r="A460" s="42">
        <v>58190</v>
      </c>
      <c r="B460" s="34" t="s">
        <v>625</v>
      </c>
      <c r="C460" s="158">
        <v>195</v>
      </c>
      <c r="D460" s="34">
        <v>14</v>
      </c>
      <c r="E460" s="34" t="s">
        <v>503</v>
      </c>
      <c r="F460" s="34">
        <v>32</v>
      </c>
      <c r="G460" s="34" t="s">
        <v>0</v>
      </c>
      <c r="H460" s="34">
        <v>12.5</v>
      </c>
      <c r="I460" s="34">
        <v>125</v>
      </c>
      <c r="J460" s="34">
        <v>1.0069999999999999</v>
      </c>
      <c r="K460" s="34">
        <v>25.57</v>
      </c>
      <c r="L460" s="34">
        <v>2.2850000000000001</v>
      </c>
      <c r="M460" s="34">
        <v>58.04</v>
      </c>
      <c r="N460" s="34">
        <v>0.63500000000000001</v>
      </c>
      <c r="O460" s="34">
        <v>16.2</v>
      </c>
      <c r="P460" s="34">
        <v>2.29</v>
      </c>
      <c r="Q460" s="34">
        <v>229</v>
      </c>
      <c r="R460" s="34">
        <v>28.6</v>
      </c>
      <c r="S460" s="34">
        <v>28600</v>
      </c>
      <c r="T460" s="34">
        <v>5.14</v>
      </c>
      <c r="U460" s="34">
        <f t="shared" si="8"/>
        <v>195</v>
      </c>
      <c r="V460" s="34">
        <f>VLOOKUP(U460,'Powder Core Toroid OD'!$A$2:$B$36,2,FALSE)</f>
        <v>57.2</v>
      </c>
    </row>
    <row r="461" spans="1:22" hidden="1">
      <c r="A461" s="42">
        <v>58191</v>
      </c>
      <c r="B461" s="34" t="s">
        <v>624</v>
      </c>
      <c r="C461" s="158">
        <v>195</v>
      </c>
      <c r="D461" s="34">
        <v>26</v>
      </c>
      <c r="E461" s="34" t="s">
        <v>503</v>
      </c>
      <c r="F461" s="34">
        <v>60</v>
      </c>
      <c r="G461" s="34" t="s">
        <v>0</v>
      </c>
      <c r="H461" s="34">
        <v>12.5</v>
      </c>
      <c r="I461" s="34">
        <v>125</v>
      </c>
      <c r="J461" s="34">
        <v>1.0069999999999999</v>
      </c>
      <c r="K461" s="34">
        <v>25.57</v>
      </c>
      <c r="L461" s="34">
        <v>2.2850000000000001</v>
      </c>
      <c r="M461" s="34">
        <v>58.04</v>
      </c>
      <c r="N461" s="34">
        <v>0.63500000000000001</v>
      </c>
      <c r="O461" s="34">
        <v>16.2</v>
      </c>
      <c r="P461" s="34">
        <v>2.29</v>
      </c>
      <c r="Q461" s="34">
        <v>229</v>
      </c>
      <c r="R461" s="34">
        <v>28.6</v>
      </c>
      <c r="S461" s="34">
        <v>28600</v>
      </c>
      <c r="T461" s="34">
        <v>5.14</v>
      </c>
      <c r="U461" s="34">
        <f t="shared" si="8"/>
        <v>195</v>
      </c>
      <c r="V461" s="34">
        <f>VLOOKUP(U461,'Powder Core Toroid OD'!$A$2:$B$36,2,FALSE)</f>
        <v>57.2</v>
      </c>
    </row>
    <row r="462" spans="1:22" hidden="1">
      <c r="A462" s="42">
        <v>58192</v>
      </c>
      <c r="B462" s="34" t="s">
        <v>561</v>
      </c>
      <c r="C462" s="158">
        <v>195</v>
      </c>
      <c r="D462" s="34">
        <v>60</v>
      </c>
      <c r="E462" s="34" t="s">
        <v>503</v>
      </c>
      <c r="F462" s="34">
        <v>138</v>
      </c>
      <c r="G462" s="34" t="s">
        <v>0</v>
      </c>
      <c r="H462" s="34">
        <v>12.5</v>
      </c>
      <c r="I462" s="34">
        <v>125</v>
      </c>
      <c r="J462" s="34">
        <v>1.0069999999999999</v>
      </c>
      <c r="K462" s="34">
        <v>25.57</v>
      </c>
      <c r="L462" s="34">
        <v>2.2850000000000001</v>
      </c>
      <c r="M462" s="34">
        <v>58.04</v>
      </c>
      <c r="N462" s="34">
        <v>0.63500000000000001</v>
      </c>
      <c r="O462" s="34">
        <v>16.2</v>
      </c>
      <c r="P462" s="34">
        <v>2.29</v>
      </c>
      <c r="Q462" s="34">
        <v>229</v>
      </c>
      <c r="R462" s="34">
        <v>28.6</v>
      </c>
      <c r="S462" s="34">
        <v>28600</v>
      </c>
      <c r="T462" s="34">
        <v>5.14</v>
      </c>
      <c r="U462" s="34">
        <f t="shared" si="8"/>
        <v>195</v>
      </c>
      <c r="V462" s="34">
        <f>VLOOKUP(U462,'Powder Core Toroid OD'!$A$2:$B$36,2,FALSE)</f>
        <v>57.2</v>
      </c>
    </row>
    <row r="463" spans="1:22" hidden="1">
      <c r="A463" s="42">
        <v>58195</v>
      </c>
      <c r="B463" s="34" t="s">
        <v>560</v>
      </c>
      <c r="C463" s="158">
        <v>195</v>
      </c>
      <c r="D463" s="34">
        <v>125</v>
      </c>
      <c r="E463" s="34" t="s">
        <v>503</v>
      </c>
      <c r="F463" s="34">
        <v>287</v>
      </c>
      <c r="G463" s="34" t="s">
        <v>0</v>
      </c>
      <c r="H463" s="34">
        <v>12.5</v>
      </c>
      <c r="I463" s="34">
        <v>125</v>
      </c>
      <c r="J463" s="34">
        <v>1.0069999999999999</v>
      </c>
      <c r="K463" s="34">
        <v>25.57</v>
      </c>
      <c r="L463" s="34">
        <v>2.2850000000000001</v>
      </c>
      <c r="M463" s="34">
        <v>58.04</v>
      </c>
      <c r="N463" s="34">
        <v>0.63500000000000001</v>
      </c>
      <c r="O463" s="34">
        <v>16.2</v>
      </c>
      <c r="P463" s="34">
        <v>2.29</v>
      </c>
      <c r="Q463" s="34">
        <v>229</v>
      </c>
      <c r="R463" s="34">
        <v>28.6</v>
      </c>
      <c r="S463" s="34">
        <v>28600</v>
      </c>
      <c r="T463" s="34">
        <v>5.14</v>
      </c>
      <c r="U463" s="34">
        <f t="shared" si="8"/>
        <v>195</v>
      </c>
      <c r="V463" s="34">
        <f>VLOOKUP(U463,'Powder Core Toroid OD'!$A$2:$B$36,2,FALSE)</f>
        <v>57.2</v>
      </c>
    </row>
    <row r="464" spans="1:22" hidden="1">
      <c r="A464" s="42">
        <v>58204</v>
      </c>
      <c r="B464" s="34" t="s">
        <v>559</v>
      </c>
      <c r="C464" s="158">
        <v>206</v>
      </c>
      <c r="D464" s="34">
        <v>160</v>
      </c>
      <c r="E464" s="34" t="s">
        <v>503</v>
      </c>
      <c r="F464" s="34">
        <v>87</v>
      </c>
      <c r="G464" s="34" t="s">
        <v>0</v>
      </c>
      <c r="H464" s="34">
        <v>5.09</v>
      </c>
      <c r="I464" s="34">
        <v>50.9</v>
      </c>
      <c r="J464" s="34">
        <v>0.47500000000000003</v>
      </c>
      <c r="K464" s="35">
        <v>12</v>
      </c>
      <c r="L464" s="41">
        <v>0.83</v>
      </c>
      <c r="M464" s="34">
        <v>21.1</v>
      </c>
      <c r="N464" s="41">
        <v>0.28000000000000003</v>
      </c>
      <c r="O464" s="34">
        <v>7.12</v>
      </c>
      <c r="P464" s="34">
        <v>0.221</v>
      </c>
      <c r="Q464" s="34">
        <v>22.1</v>
      </c>
      <c r="R464" s="40">
        <v>1.1200000000000001</v>
      </c>
      <c r="S464" s="34">
        <v>1120</v>
      </c>
      <c r="T464" s="34">
        <v>1.1399999999999999</v>
      </c>
      <c r="U464" s="34">
        <f t="shared" si="8"/>
        <v>206</v>
      </c>
      <c r="V464" s="34">
        <f>VLOOKUP(U464,'Powder Core Toroid OD'!$A$2:$B$36,2,FALSE)</f>
        <v>20.3</v>
      </c>
    </row>
    <row r="465" spans="1:22" hidden="1">
      <c r="A465" s="42">
        <v>58205</v>
      </c>
      <c r="B465" s="34" t="s">
        <v>558</v>
      </c>
      <c r="C465" s="158">
        <v>206</v>
      </c>
      <c r="D465" s="34">
        <v>147</v>
      </c>
      <c r="E465" s="34" t="s">
        <v>503</v>
      </c>
      <c r="F465" s="34">
        <v>81</v>
      </c>
      <c r="G465" s="34" t="s">
        <v>0</v>
      </c>
      <c r="H465" s="34">
        <v>5.09</v>
      </c>
      <c r="I465" s="34">
        <v>50.9</v>
      </c>
      <c r="J465" s="34">
        <v>0.47500000000000003</v>
      </c>
      <c r="K465" s="35">
        <v>12</v>
      </c>
      <c r="L465" s="41">
        <v>0.83</v>
      </c>
      <c r="M465" s="34">
        <v>21.1</v>
      </c>
      <c r="N465" s="41">
        <v>0.28000000000000003</v>
      </c>
      <c r="O465" s="34">
        <v>7.12</v>
      </c>
      <c r="P465" s="34">
        <v>0.221</v>
      </c>
      <c r="Q465" s="34">
        <v>22.1</v>
      </c>
      <c r="R465" s="40">
        <v>1.1200000000000001</v>
      </c>
      <c r="S465" s="34">
        <v>1120</v>
      </c>
      <c r="T465" s="34">
        <v>1.1399999999999999</v>
      </c>
      <c r="U465" s="34">
        <f t="shared" si="8"/>
        <v>206</v>
      </c>
      <c r="V465" s="34">
        <f>VLOOKUP(U465,'Powder Core Toroid OD'!$A$2:$B$36,2,FALSE)</f>
        <v>20.3</v>
      </c>
    </row>
    <row r="466" spans="1:22" hidden="1">
      <c r="A466" s="42">
        <v>58206</v>
      </c>
      <c r="B466" s="34" t="s">
        <v>557</v>
      </c>
      <c r="C466" s="158">
        <v>206</v>
      </c>
      <c r="D466" s="34">
        <v>125</v>
      </c>
      <c r="E466" s="34" t="s">
        <v>503</v>
      </c>
      <c r="F466" s="34">
        <v>68</v>
      </c>
      <c r="G466" s="34" t="s">
        <v>0</v>
      </c>
      <c r="H466" s="34">
        <v>5.09</v>
      </c>
      <c r="I466" s="34">
        <v>50.9</v>
      </c>
      <c r="J466" s="34">
        <v>0.47500000000000003</v>
      </c>
      <c r="K466" s="35">
        <v>12</v>
      </c>
      <c r="L466" s="41">
        <v>0.83</v>
      </c>
      <c r="M466" s="34">
        <v>21.1</v>
      </c>
      <c r="N466" s="41">
        <v>0.28000000000000003</v>
      </c>
      <c r="O466" s="34">
        <v>7.12</v>
      </c>
      <c r="P466" s="34">
        <v>0.221</v>
      </c>
      <c r="Q466" s="34">
        <v>22.1</v>
      </c>
      <c r="R466" s="40">
        <v>1.1200000000000001</v>
      </c>
      <c r="S466" s="34">
        <v>1120</v>
      </c>
      <c r="T466" s="34">
        <v>1.1399999999999999</v>
      </c>
      <c r="U466" s="34">
        <f t="shared" si="8"/>
        <v>206</v>
      </c>
      <c r="V466" s="34">
        <f>VLOOKUP(U466,'Powder Core Toroid OD'!$A$2:$B$36,2,FALSE)</f>
        <v>20.3</v>
      </c>
    </row>
    <row r="467" spans="1:22" hidden="1">
      <c r="A467" s="42">
        <v>58208</v>
      </c>
      <c r="B467" s="34" t="s">
        <v>623</v>
      </c>
      <c r="C467" s="158">
        <v>206</v>
      </c>
      <c r="D467" s="34">
        <v>26</v>
      </c>
      <c r="E467" s="34" t="s">
        <v>503</v>
      </c>
      <c r="F467" s="34">
        <v>14</v>
      </c>
      <c r="G467" s="34" t="s">
        <v>0</v>
      </c>
      <c r="H467" s="34">
        <v>5.09</v>
      </c>
      <c r="I467" s="34">
        <v>50.9</v>
      </c>
      <c r="J467" s="34">
        <v>0.47500000000000003</v>
      </c>
      <c r="K467" s="35">
        <v>12</v>
      </c>
      <c r="L467" s="41">
        <v>0.83</v>
      </c>
      <c r="M467" s="34">
        <v>21.1</v>
      </c>
      <c r="N467" s="41">
        <v>0.28000000000000003</v>
      </c>
      <c r="O467" s="34">
        <v>7.12</v>
      </c>
      <c r="P467" s="34">
        <v>0.221</v>
      </c>
      <c r="Q467" s="34">
        <v>22.1</v>
      </c>
      <c r="R467" s="40">
        <v>1.1200000000000001</v>
      </c>
      <c r="S467" s="34">
        <v>1120</v>
      </c>
      <c r="T467" s="34">
        <v>1.1399999999999999</v>
      </c>
      <c r="U467" s="34">
        <f t="shared" si="8"/>
        <v>206</v>
      </c>
      <c r="V467" s="34">
        <f>VLOOKUP(U467,'Powder Core Toroid OD'!$A$2:$B$36,2,FALSE)</f>
        <v>20.3</v>
      </c>
    </row>
    <row r="468" spans="1:22" hidden="1">
      <c r="A468" s="42">
        <v>58209</v>
      </c>
      <c r="B468" s="34" t="s">
        <v>622</v>
      </c>
      <c r="C468" s="158">
        <v>206</v>
      </c>
      <c r="D468" s="34">
        <v>14</v>
      </c>
      <c r="E468" s="34" t="s">
        <v>503</v>
      </c>
      <c r="F468" s="34">
        <v>7.8</v>
      </c>
      <c r="G468" s="34" t="s">
        <v>0</v>
      </c>
      <c r="H468" s="34">
        <v>5.09</v>
      </c>
      <c r="I468" s="34">
        <v>50.9</v>
      </c>
      <c r="J468" s="34">
        <v>0.47500000000000003</v>
      </c>
      <c r="K468" s="35">
        <v>12</v>
      </c>
      <c r="L468" s="41">
        <v>0.83</v>
      </c>
      <c r="M468" s="34">
        <v>21.1</v>
      </c>
      <c r="N468" s="41">
        <v>0.28000000000000003</v>
      </c>
      <c r="O468" s="34">
        <v>7.12</v>
      </c>
      <c r="P468" s="34">
        <v>0.221</v>
      </c>
      <c r="Q468" s="34">
        <v>22.1</v>
      </c>
      <c r="R468" s="40">
        <v>1.1200000000000001</v>
      </c>
      <c r="S468" s="34">
        <v>1120</v>
      </c>
      <c r="T468" s="34">
        <v>1.1399999999999999</v>
      </c>
      <c r="U468" s="34">
        <f t="shared" si="8"/>
        <v>206</v>
      </c>
      <c r="V468" s="34">
        <f>VLOOKUP(U468,'Powder Core Toroid OD'!$A$2:$B$36,2,FALSE)</f>
        <v>20.3</v>
      </c>
    </row>
    <row r="469" spans="1:22" hidden="1">
      <c r="A469" s="42">
        <v>58238</v>
      </c>
      <c r="B469" s="34" t="s">
        <v>556</v>
      </c>
      <c r="C469" s="158">
        <v>240</v>
      </c>
      <c r="D469" s="34">
        <v>160</v>
      </c>
      <c r="E469" s="34" t="s">
        <v>503</v>
      </c>
      <c r="F469" s="34">
        <v>69</v>
      </c>
      <c r="G469" s="34" t="s">
        <v>0</v>
      </c>
      <c r="H469" s="34">
        <v>1.36</v>
      </c>
      <c r="I469" s="34">
        <v>13.6</v>
      </c>
      <c r="J469" s="34">
        <v>8.5000000000000006E-2</v>
      </c>
      <c r="K469" s="34">
        <v>2.15</v>
      </c>
      <c r="L469" s="34">
        <v>0.28499999999999998</v>
      </c>
      <c r="M469" s="34">
        <v>7.24</v>
      </c>
      <c r="N469" s="34">
        <v>0.125</v>
      </c>
      <c r="O469" s="34">
        <v>3.18</v>
      </c>
      <c r="P469" s="34">
        <v>4.7600000000000003E-2</v>
      </c>
      <c r="Q469" s="34">
        <v>4.7600000000000007</v>
      </c>
      <c r="R469" s="34">
        <v>6.4899999999999999E-2</v>
      </c>
      <c r="S469" s="34">
        <v>64.900000000000006</v>
      </c>
      <c r="T469" s="34">
        <v>3.6299999999999999E-2</v>
      </c>
      <c r="U469" s="34">
        <f t="shared" si="8"/>
        <v>240</v>
      </c>
      <c r="V469" s="34">
        <f>VLOOKUP(U469,'Powder Core Toroid OD'!$A$2:$B$36,2,FALSE)</f>
        <v>6.6</v>
      </c>
    </row>
    <row r="470" spans="1:22" hidden="1">
      <c r="A470" s="42">
        <v>58239</v>
      </c>
      <c r="B470" s="34" t="s">
        <v>555</v>
      </c>
      <c r="C470" s="158">
        <v>240</v>
      </c>
      <c r="D470" s="34">
        <v>147</v>
      </c>
      <c r="E470" s="34" t="s">
        <v>503</v>
      </c>
      <c r="F470" s="34">
        <v>64</v>
      </c>
      <c r="G470" s="34" t="s">
        <v>0</v>
      </c>
      <c r="H470" s="34">
        <v>1.36</v>
      </c>
      <c r="I470" s="34">
        <v>13.6</v>
      </c>
      <c r="J470" s="34">
        <v>8.5000000000000006E-2</v>
      </c>
      <c r="K470" s="34">
        <v>2.15</v>
      </c>
      <c r="L470" s="34">
        <v>0.28499999999999998</v>
      </c>
      <c r="M470" s="34">
        <v>7.24</v>
      </c>
      <c r="N470" s="34">
        <v>0.125</v>
      </c>
      <c r="O470" s="34">
        <v>3.18</v>
      </c>
      <c r="P470" s="34">
        <v>4.7600000000000003E-2</v>
      </c>
      <c r="Q470" s="34">
        <v>4.7600000000000007</v>
      </c>
      <c r="R470" s="34">
        <v>6.4899999999999999E-2</v>
      </c>
      <c r="S470" s="34">
        <v>64.900000000000006</v>
      </c>
      <c r="T470" s="34">
        <v>3.6299999999999999E-2</v>
      </c>
      <c r="U470" s="34">
        <f t="shared" si="8"/>
        <v>240</v>
      </c>
      <c r="V470" s="34">
        <f>VLOOKUP(U470,'Powder Core Toroid OD'!$A$2:$B$36,2,FALSE)</f>
        <v>6.6</v>
      </c>
    </row>
    <row r="471" spans="1:22" hidden="1">
      <c r="A471" s="42">
        <v>58240</v>
      </c>
      <c r="B471" s="34" t="s">
        <v>554</v>
      </c>
      <c r="C471" s="158">
        <v>240</v>
      </c>
      <c r="D471" s="34">
        <v>125</v>
      </c>
      <c r="E471" s="34" t="s">
        <v>503</v>
      </c>
      <c r="F471" s="34">
        <v>54</v>
      </c>
      <c r="G471" s="34" t="s">
        <v>0</v>
      </c>
      <c r="H471" s="34">
        <v>1.36</v>
      </c>
      <c r="I471" s="34">
        <v>13.6</v>
      </c>
      <c r="J471" s="34">
        <v>8.5000000000000006E-2</v>
      </c>
      <c r="K471" s="34">
        <v>2.15</v>
      </c>
      <c r="L471" s="34">
        <v>0.28499999999999998</v>
      </c>
      <c r="M471" s="34">
        <v>7.24</v>
      </c>
      <c r="N471" s="34">
        <v>0.125</v>
      </c>
      <c r="O471" s="34">
        <v>3.18</v>
      </c>
      <c r="P471" s="34">
        <v>4.7600000000000003E-2</v>
      </c>
      <c r="Q471" s="34">
        <v>4.7600000000000007</v>
      </c>
      <c r="R471" s="34">
        <v>6.4899999999999999E-2</v>
      </c>
      <c r="S471" s="34">
        <v>64.900000000000006</v>
      </c>
      <c r="T471" s="34">
        <v>3.6299999999999999E-2</v>
      </c>
      <c r="U471" s="34">
        <f t="shared" si="8"/>
        <v>240</v>
      </c>
      <c r="V471" s="34">
        <f>VLOOKUP(U471,'Powder Core Toroid OD'!$A$2:$B$36,2,FALSE)</f>
        <v>6.6</v>
      </c>
    </row>
    <row r="472" spans="1:22" hidden="1">
      <c r="A472" s="42">
        <v>58241</v>
      </c>
      <c r="B472" s="34" t="s">
        <v>553</v>
      </c>
      <c r="C472" s="158">
        <v>240</v>
      </c>
      <c r="D472" s="34">
        <v>60</v>
      </c>
      <c r="E472" s="34" t="s">
        <v>503</v>
      </c>
      <c r="F472" s="34">
        <v>26</v>
      </c>
      <c r="G472" s="34" t="s">
        <v>0</v>
      </c>
      <c r="H472" s="34">
        <v>1.36</v>
      </c>
      <c r="I472" s="34">
        <v>13.6</v>
      </c>
      <c r="J472" s="34">
        <v>8.5000000000000006E-2</v>
      </c>
      <c r="K472" s="34">
        <v>2.15</v>
      </c>
      <c r="L472" s="34">
        <v>0.28499999999999998</v>
      </c>
      <c r="M472" s="34">
        <v>7.24</v>
      </c>
      <c r="N472" s="34">
        <v>0.125</v>
      </c>
      <c r="O472" s="34">
        <v>3.18</v>
      </c>
      <c r="P472" s="34">
        <v>4.7600000000000003E-2</v>
      </c>
      <c r="Q472" s="34">
        <v>4.7600000000000007</v>
      </c>
      <c r="R472" s="34">
        <v>6.4899999999999999E-2</v>
      </c>
      <c r="S472" s="34">
        <v>64.900000000000006</v>
      </c>
      <c r="T472" s="34">
        <v>3.6299999999999999E-2</v>
      </c>
      <c r="U472" s="34">
        <f t="shared" si="8"/>
        <v>240</v>
      </c>
      <c r="V472" s="34">
        <f>VLOOKUP(U472,'Powder Core Toroid OD'!$A$2:$B$36,2,FALSE)</f>
        <v>6.6</v>
      </c>
    </row>
    <row r="473" spans="1:22" hidden="1">
      <c r="A473" s="42">
        <v>58243</v>
      </c>
      <c r="B473" s="34" t="s">
        <v>621</v>
      </c>
      <c r="C473" s="158">
        <v>240</v>
      </c>
      <c r="D473" s="34">
        <v>14</v>
      </c>
      <c r="E473" s="34" t="s">
        <v>503</v>
      </c>
      <c r="F473" s="34">
        <v>6</v>
      </c>
      <c r="G473" s="34" t="s">
        <v>0</v>
      </c>
      <c r="H473" s="34">
        <v>1.36</v>
      </c>
      <c r="I473" s="34">
        <v>13.6</v>
      </c>
      <c r="J473" s="34">
        <v>8.5000000000000006E-2</v>
      </c>
      <c r="K473" s="34">
        <v>2.15</v>
      </c>
      <c r="L473" s="34">
        <v>0.28499999999999998</v>
      </c>
      <c r="M473" s="34">
        <v>7.24</v>
      </c>
      <c r="N473" s="34">
        <v>0.125</v>
      </c>
      <c r="O473" s="34">
        <v>3.18</v>
      </c>
      <c r="P473" s="34">
        <v>4.7600000000000003E-2</v>
      </c>
      <c r="Q473" s="34">
        <v>4.7600000000000007</v>
      </c>
      <c r="R473" s="34">
        <v>6.4899999999999999E-2</v>
      </c>
      <c r="S473" s="34">
        <v>64.900000000000006</v>
      </c>
      <c r="T473" s="34">
        <v>3.6299999999999999E-2</v>
      </c>
      <c r="U473" s="34">
        <f t="shared" si="8"/>
        <v>240</v>
      </c>
      <c r="V473" s="34">
        <f>VLOOKUP(U473,'Powder Core Toroid OD'!$A$2:$B$36,2,FALSE)</f>
        <v>6.6</v>
      </c>
    </row>
    <row r="474" spans="1:22" hidden="1">
      <c r="A474" s="42">
        <v>58252</v>
      </c>
      <c r="B474" s="34" t="s">
        <v>552</v>
      </c>
      <c r="C474" s="158">
        <v>254</v>
      </c>
      <c r="D474" s="34">
        <v>160</v>
      </c>
      <c r="E474" s="34" t="s">
        <v>503</v>
      </c>
      <c r="F474" s="34">
        <v>215</v>
      </c>
      <c r="G474" s="34" t="s">
        <v>0</v>
      </c>
      <c r="H474" s="34">
        <v>9.84</v>
      </c>
      <c r="I474" s="34">
        <v>98.4</v>
      </c>
      <c r="J474" s="34">
        <v>0.91800000000000004</v>
      </c>
      <c r="K474" s="34">
        <v>23.3</v>
      </c>
      <c r="L474" s="34">
        <v>1.605</v>
      </c>
      <c r="M474" s="34">
        <v>40.770000000000003</v>
      </c>
      <c r="N474" s="34">
        <v>0.60499999999999998</v>
      </c>
      <c r="O474" s="34">
        <v>15.4</v>
      </c>
      <c r="P474" s="34">
        <v>1.07</v>
      </c>
      <c r="Q474" s="34">
        <v>107</v>
      </c>
      <c r="R474" s="35">
        <v>10.6</v>
      </c>
      <c r="S474" s="34">
        <v>10600</v>
      </c>
      <c r="T474" s="34">
        <v>4.2699999999999996</v>
      </c>
      <c r="U474" s="34">
        <f t="shared" si="8"/>
        <v>254</v>
      </c>
      <c r="V474" s="34">
        <f>VLOOKUP(U474,'Powder Core Toroid OD'!$A$2:$B$36,2,FALSE)</f>
        <v>39.9</v>
      </c>
    </row>
    <row r="475" spans="1:22" hidden="1">
      <c r="A475" s="42">
        <v>58253</v>
      </c>
      <c r="B475" s="34" t="s">
        <v>551</v>
      </c>
      <c r="C475" s="158">
        <v>254</v>
      </c>
      <c r="D475" s="34">
        <v>147</v>
      </c>
      <c r="E475" s="34" t="s">
        <v>503</v>
      </c>
      <c r="F475" s="34">
        <v>198</v>
      </c>
      <c r="G475" s="34" t="s">
        <v>0</v>
      </c>
      <c r="H475" s="34">
        <v>9.84</v>
      </c>
      <c r="I475" s="34">
        <v>98.4</v>
      </c>
      <c r="J475" s="34">
        <v>0.91800000000000004</v>
      </c>
      <c r="K475" s="34">
        <v>23.3</v>
      </c>
      <c r="L475" s="34">
        <v>1.605</v>
      </c>
      <c r="M475" s="34">
        <v>40.770000000000003</v>
      </c>
      <c r="N475" s="34">
        <v>0.60499999999999998</v>
      </c>
      <c r="O475" s="34">
        <v>15.4</v>
      </c>
      <c r="P475" s="34">
        <v>1.07</v>
      </c>
      <c r="Q475" s="34">
        <v>107</v>
      </c>
      <c r="R475" s="35">
        <v>10.6</v>
      </c>
      <c r="S475" s="34">
        <v>10600</v>
      </c>
      <c r="T475" s="34">
        <v>4.2699999999999996</v>
      </c>
      <c r="U475" s="34">
        <f t="shared" si="8"/>
        <v>254</v>
      </c>
      <c r="V475" s="34">
        <f>VLOOKUP(U475,'Powder Core Toroid OD'!$A$2:$B$36,2,FALSE)</f>
        <v>39.9</v>
      </c>
    </row>
    <row r="476" spans="1:22" hidden="1">
      <c r="A476" s="42">
        <v>58254</v>
      </c>
      <c r="B476" s="34" t="s">
        <v>550</v>
      </c>
      <c r="C476" s="158">
        <v>254</v>
      </c>
      <c r="D476" s="34">
        <v>125</v>
      </c>
      <c r="E476" s="34" t="s">
        <v>503</v>
      </c>
      <c r="F476" s="34">
        <v>168</v>
      </c>
      <c r="G476" s="34" t="s">
        <v>0</v>
      </c>
      <c r="H476" s="34">
        <v>9.84</v>
      </c>
      <c r="I476" s="34">
        <v>98.4</v>
      </c>
      <c r="J476" s="34">
        <v>0.91800000000000004</v>
      </c>
      <c r="K476" s="34">
        <v>23.3</v>
      </c>
      <c r="L476" s="34">
        <v>1.605</v>
      </c>
      <c r="M476" s="34">
        <v>40.770000000000003</v>
      </c>
      <c r="N476" s="34">
        <v>0.60499999999999998</v>
      </c>
      <c r="O476" s="34">
        <v>15.4</v>
      </c>
      <c r="P476" s="34">
        <v>1.07</v>
      </c>
      <c r="Q476" s="34">
        <v>107</v>
      </c>
      <c r="R476" s="35">
        <v>10.6</v>
      </c>
      <c r="S476" s="34">
        <v>10600</v>
      </c>
      <c r="T476" s="34">
        <v>4.2699999999999996</v>
      </c>
      <c r="U476" s="34">
        <f t="shared" si="8"/>
        <v>254</v>
      </c>
      <c r="V476" s="34">
        <f>VLOOKUP(U476,'Powder Core Toroid OD'!$A$2:$B$36,2,FALSE)</f>
        <v>39.9</v>
      </c>
    </row>
    <row r="477" spans="1:22" hidden="1">
      <c r="A477" s="42">
        <v>58256</v>
      </c>
      <c r="B477" s="34" t="s">
        <v>620</v>
      </c>
      <c r="C477" s="158">
        <v>254</v>
      </c>
      <c r="D477" s="34">
        <v>26</v>
      </c>
      <c r="E477" s="34" t="s">
        <v>503</v>
      </c>
      <c r="F477" s="34">
        <v>35</v>
      </c>
      <c r="G477" s="34" t="s">
        <v>0</v>
      </c>
      <c r="H477" s="34">
        <v>9.84</v>
      </c>
      <c r="I477" s="34">
        <v>98.4</v>
      </c>
      <c r="J477" s="34">
        <v>0.91800000000000004</v>
      </c>
      <c r="K477" s="34">
        <v>23.3</v>
      </c>
      <c r="L477" s="34">
        <v>1.605</v>
      </c>
      <c r="M477" s="34">
        <v>40.770000000000003</v>
      </c>
      <c r="N477" s="34">
        <v>0.60499999999999998</v>
      </c>
      <c r="O477" s="34">
        <v>15.4</v>
      </c>
      <c r="P477" s="34">
        <v>1.07</v>
      </c>
      <c r="Q477" s="34">
        <v>107</v>
      </c>
      <c r="R477" s="35">
        <v>10.6</v>
      </c>
      <c r="S477" s="34">
        <v>10600</v>
      </c>
      <c r="T477" s="34">
        <v>4.2699999999999996</v>
      </c>
      <c r="U477" s="34">
        <f t="shared" si="8"/>
        <v>254</v>
      </c>
      <c r="V477" s="34">
        <f>VLOOKUP(U477,'Powder Core Toroid OD'!$A$2:$B$36,2,FALSE)</f>
        <v>39.9</v>
      </c>
    </row>
    <row r="478" spans="1:22" hidden="1">
      <c r="A478" s="42">
        <v>58257</v>
      </c>
      <c r="B478" s="34" t="s">
        <v>619</v>
      </c>
      <c r="C478" s="158">
        <v>254</v>
      </c>
      <c r="D478" s="34">
        <v>14</v>
      </c>
      <c r="E478" s="34" t="s">
        <v>503</v>
      </c>
      <c r="F478" s="34">
        <v>19</v>
      </c>
      <c r="G478" s="34" t="s">
        <v>0</v>
      </c>
      <c r="H478" s="34">
        <v>9.84</v>
      </c>
      <c r="I478" s="34">
        <v>98.4</v>
      </c>
      <c r="J478" s="34">
        <v>0.91800000000000004</v>
      </c>
      <c r="K478" s="34">
        <v>23.3</v>
      </c>
      <c r="L478" s="34">
        <v>1.605</v>
      </c>
      <c r="M478" s="34">
        <v>40.770000000000003</v>
      </c>
      <c r="N478" s="34">
        <v>0.60499999999999998</v>
      </c>
      <c r="O478" s="34">
        <v>15.4</v>
      </c>
      <c r="P478" s="34">
        <v>1.07</v>
      </c>
      <c r="Q478" s="34">
        <v>107</v>
      </c>
      <c r="R478" s="35">
        <v>10.6</v>
      </c>
      <c r="S478" s="34">
        <v>10600</v>
      </c>
      <c r="T478" s="34">
        <v>4.2699999999999996</v>
      </c>
      <c r="U478" s="34">
        <f t="shared" si="8"/>
        <v>254</v>
      </c>
      <c r="V478" s="34">
        <f>VLOOKUP(U478,'Powder Core Toroid OD'!$A$2:$B$36,2,FALSE)</f>
        <v>39.9</v>
      </c>
    </row>
    <row r="479" spans="1:22" hidden="1">
      <c r="A479" s="42">
        <v>58268</v>
      </c>
      <c r="B479" s="34" t="s">
        <v>549</v>
      </c>
      <c r="C479" s="158">
        <v>270</v>
      </c>
      <c r="D479" s="34">
        <v>160</v>
      </c>
      <c r="E479" s="34" t="s">
        <v>503</v>
      </c>
      <c r="F479" s="34">
        <v>132</v>
      </c>
      <c r="G479" s="34" t="s">
        <v>0</v>
      </c>
      <c r="H479" s="34">
        <v>1.36</v>
      </c>
      <c r="I479" s="34">
        <v>13.6</v>
      </c>
      <c r="J479" s="34">
        <v>8.5000000000000006E-2</v>
      </c>
      <c r="K479" s="34">
        <v>2.15</v>
      </c>
      <c r="L479" s="34">
        <v>0.28500000000000003</v>
      </c>
      <c r="M479" s="34">
        <v>7.24</v>
      </c>
      <c r="N479" s="34">
        <v>0.21299999999999999</v>
      </c>
      <c r="O479" s="34">
        <v>5.42</v>
      </c>
      <c r="P479" s="34">
        <v>9.1999999999999998E-2</v>
      </c>
      <c r="Q479" s="34">
        <v>9.1999999999999993</v>
      </c>
      <c r="R479" s="34">
        <v>0.125</v>
      </c>
      <c r="S479" s="34">
        <v>125</v>
      </c>
      <c r="T479" s="34">
        <v>3.6299999999999999E-2</v>
      </c>
      <c r="U479" s="34">
        <f t="shared" si="8"/>
        <v>270</v>
      </c>
      <c r="V479" s="34">
        <f>VLOOKUP(U479,'Powder Core Toroid OD'!$A$2:$B$36,2,FALSE)</f>
        <v>6.6</v>
      </c>
    </row>
    <row r="480" spans="1:22" hidden="1">
      <c r="A480" s="42">
        <v>58270</v>
      </c>
      <c r="B480" s="34" t="s">
        <v>548</v>
      </c>
      <c r="C480" s="158">
        <v>270</v>
      </c>
      <c r="D480" s="34">
        <v>125</v>
      </c>
      <c r="E480" s="34" t="s">
        <v>503</v>
      </c>
      <c r="F480" s="34">
        <v>103</v>
      </c>
      <c r="G480" s="34" t="s">
        <v>0</v>
      </c>
      <c r="H480" s="34">
        <v>1.36</v>
      </c>
      <c r="I480" s="34">
        <v>13.6</v>
      </c>
      <c r="J480" s="34">
        <v>8.5000000000000006E-2</v>
      </c>
      <c r="K480" s="34">
        <v>2.15</v>
      </c>
      <c r="L480" s="34">
        <v>0.28500000000000003</v>
      </c>
      <c r="M480" s="34">
        <v>7.24</v>
      </c>
      <c r="N480" s="34">
        <v>0.21299999999999999</v>
      </c>
      <c r="O480" s="34">
        <v>5.42</v>
      </c>
      <c r="P480" s="34">
        <v>9.1999999999999998E-2</v>
      </c>
      <c r="Q480" s="34">
        <v>9.1999999999999993</v>
      </c>
      <c r="R480" s="34">
        <v>0.125</v>
      </c>
      <c r="S480" s="34">
        <v>125</v>
      </c>
      <c r="T480" s="34">
        <v>3.6299999999999999E-2</v>
      </c>
      <c r="U480" s="34">
        <f t="shared" si="8"/>
        <v>270</v>
      </c>
      <c r="V480" s="34">
        <f>VLOOKUP(U480,'Powder Core Toroid OD'!$A$2:$B$36,2,FALSE)</f>
        <v>6.6</v>
      </c>
    </row>
    <row r="481" spans="1:22" hidden="1">
      <c r="A481" s="42">
        <v>58271</v>
      </c>
      <c r="B481" s="34" t="s">
        <v>547</v>
      </c>
      <c r="C481" s="158">
        <v>270</v>
      </c>
      <c r="D481" s="34">
        <v>60</v>
      </c>
      <c r="E481" s="34" t="s">
        <v>503</v>
      </c>
      <c r="F481" s="34">
        <v>50</v>
      </c>
      <c r="G481" s="34" t="s">
        <v>0</v>
      </c>
      <c r="H481" s="34">
        <v>1.36</v>
      </c>
      <c r="I481" s="34">
        <v>13.6</v>
      </c>
      <c r="J481" s="34">
        <v>8.5000000000000006E-2</v>
      </c>
      <c r="K481" s="34">
        <v>2.15</v>
      </c>
      <c r="L481" s="34">
        <v>0.28500000000000003</v>
      </c>
      <c r="M481" s="34">
        <v>7.24</v>
      </c>
      <c r="N481" s="34">
        <v>0.21299999999999999</v>
      </c>
      <c r="O481" s="34">
        <v>5.42</v>
      </c>
      <c r="P481" s="34">
        <v>9.1999999999999998E-2</v>
      </c>
      <c r="Q481" s="34">
        <v>9.1999999999999993</v>
      </c>
      <c r="R481" s="34">
        <v>0.125</v>
      </c>
      <c r="S481" s="34">
        <v>125</v>
      </c>
      <c r="T481" s="34">
        <v>3.6299999999999999E-2</v>
      </c>
      <c r="U481" s="34">
        <f t="shared" si="8"/>
        <v>270</v>
      </c>
      <c r="V481" s="34">
        <f>VLOOKUP(U481,'Powder Core Toroid OD'!$A$2:$B$36,2,FALSE)</f>
        <v>6.6</v>
      </c>
    </row>
    <row r="482" spans="1:22" hidden="1">
      <c r="A482" s="42">
        <v>58273</v>
      </c>
      <c r="B482" s="34" t="s">
        <v>618</v>
      </c>
      <c r="C482" s="158">
        <v>270</v>
      </c>
      <c r="D482" s="34">
        <v>14</v>
      </c>
      <c r="E482" s="34" t="s">
        <v>503</v>
      </c>
      <c r="F482" s="34">
        <v>12</v>
      </c>
      <c r="G482" s="34" t="s">
        <v>0</v>
      </c>
      <c r="H482" s="34">
        <v>1.36</v>
      </c>
      <c r="I482" s="34">
        <v>13.6</v>
      </c>
      <c r="J482" s="34">
        <v>8.5000000000000006E-2</v>
      </c>
      <c r="K482" s="34">
        <v>2.15</v>
      </c>
      <c r="L482" s="34">
        <v>0.28500000000000003</v>
      </c>
      <c r="M482" s="34">
        <v>7.24</v>
      </c>
      <c r="N482" s="34">
        <v>0.21299999999999999</v>
      </c>
      <c r="O482" s="34">
        <v>5.42</v>
      </c>
      <c r="P482" s="34">
        <v>9.1999999999999998E-2</v>
      </c>
      <c r="Q482" s="34">
        <v>9.1999999999999993</v>
      </c>
      <c r="R482" s="34">
        <v>0.125</v>
      </c>
      <c r="S482" s="34">
        <v>125</v>
      </c>
      <c r="T482" s="34">
        <v>3.6299999999999999E-2</v>
      </c>
      <c r="U482" s="34">
        <f t="shared" si="8"/>
        <v>270</v>
      </c>
      <c r="V482" s="34">
        <f>VLOOKUP(U482,'Powder Core Toroid OD'!$A$2:$B$36,2,FALSE)</f>
        <v>6.6</v>
      </c>
    </row>
    <row r="483" spans="1:22" hidden="1">
      <c r="A483" s="42">
        <v>58278</v>
      </c>
      <c r="B483" s="34" t="s">
        <v>546</v>
      </c>
      <c r="C483" s="158">
        <v>280</v>
      </c>
      <c r="D483" s="34">
        <v>160</v>
      </c>
      <c r="E483" s="34" t="s">
        <v>503</v>
      </c>
      <c r="F483" s="34">
        <v>68</v>
      </c>
      <c r="G483" s="34" t="s">
        <v>0</v>
      </c>
      <c r="H483" s="34">
        <v>2.1800000000000002</v>
      </c>
      <c r="I483" s="34">
        <v>21.8</v>
      </c>
      <c r="J483" s="34">
        <v>0.16800000000000001</v>
      </c>
      <c r="K483" s="34">
        <v>4.26</v>
      </c>
      <c r="L483" s="34">
        <v>0.40500000000000003</v>
      </c>
      <c r="M483" s="34">
        <v>10.3</v>
      </c>
      <c r="N483" s="41">
        <v>0.15</v>
      </c>
      <c r="O483" s="34">
        <v>3.8099999999999996</v>
      </c>
      <c r="P483" s="34">
        <v>7.5200000000000003E-2</v>
      </c>
      <c r="Q483" s="34">
        <v>7.52</v>
      </c>
      <c r="R483" s="34">
        <v>0.16400000000000001</v>
      </c>
      <c r="S483" s="34">
        <v>164</v>
      </c>
      <c r="T483" s="34">
        <v>0.14299999999999999</v>
      </c>
      <c r="U483" s="34">
        <f t="shared" si="8"/>
        <v>280</v>
      </c>
      <c r="V483" s="34">
        <f>VLOOKUP(U483,'Powder Core Toroid OD'!$A$2:$B$36,2,FALSE)</f>
        <v>9.65</v>
      </c>
    </row>
    <row r="484" spans="1:22" hidden="1">
      <c r="A484" s="42">
        <v>58279</v>
      </c>
      <c r="B484" s="34" t="s">
        <v>545</v>
      </c>
      <c r="C484" s="158">
        <v>280</v>
      </c>
      <c r="D484" s="34">
        <v>147</v>
      </c>
      <c r="E484" s="34" t="s">
        <v>503</v>
      </c>
      <c r="F484" s="34">
        <v>63</v>
      </c>
      <c r="G484" s="34" t="s">
        <v>0</v>
      </c>
      <c r="H484" s="34">
        <v>2.1800000000000002</v>
      </c>
      <c r="I484" s="34">
        <v>21.8</v>
      </c>
      <c r="J484" s="34">
        <v>0.16800000000000001</v>
      </c>
      <c r="K484" s="34">
        <v>4.26</v>
      </c>
      <c r="L484" s="34">
        <v>0.40500000000000003</v>
      </c>
      <c r="M484" s="34">
        <v>10.3</v>
      </c>
      <c r="N484" s="41">
        <v>0.15</v>
      </c>
      <c r="O484" s="34">
        <v>3.8099999999999996</v>
      </c>
      <c r="P484" s="34">
        <v>7.5200000000000003E-2</v>
      </c>
      <c r="Q484" s="34">
        <v>7.52</v>
      </c>
      <c r="R484" s="34">
        <v>0.16400000000000001</v>
      </c>
      <c r="S484" s="34">
        <v>164</v>
      </c>
      <c r="T484" s="34">
        <v>0.14299999999999999</v>
      </c>
      <c r="U484" s="34">
        <f t="shared" si="8"/>
        <v>280</v>
      </c>
      <c r="V484" s="34">
        <f>VLOOKUP(U484,'Powder Core Toroid OD'!$A$2:$B$36,2,FALSE)</f>
        <v>9.65</v>
      </c>
    </row>
    <row r="485" spans="1:22" hidden="1">
      <c r="A485" s="42">
        <v>58280</v>
      </c>
      <c r="B485" s="34" t="s">
        <v>544</v>
      </c>
      <c r="C485" s="158">
        <v>280</v>
      </c>
      <c r="D485" s="34">
        <v>125</v>
      </c>
      <c r="E485" s="34" t="s">
        <v>503</v>
      </c>
      <c r="F485" s="34">
        <v>53</v>
      </c>
      <c r="G485" s="34" t="s">
        <v>0</v>
      </c>
      <c r="H485" s="34">
        <v>2.1800000000000002</v>
      </c>
      <c r="I485" s="34">
        <v>21.8</v>
      </c>
      <c r="J485" s="34">
        <v>0.16800000000000001</v>
      </c>
      <c r="K485" s="34">
        <v>4.26</v>
      </c>
      <c r="L485" s="34">
        <v>0.40500000000000003</v>
      </c>
      <c r="M485" s="34">
        <v>10.3</v>
      </c>
      <c r="N485" s="41">
        <v>0.15</v>
      </c>
      <c r="O485" s="34">
        <v>3.8099999999999996</v>
      </c>
      <c r="P485" s="34">
        <v>7.5200000000000003E-2</v>
      </c>
      <c r="Q485" s="34">
        <v>7.52</v>
      </c>
      <c r="R485" s="34">
        <v>0.16400000000000001</v>
      </c>
      <c r="S485" s="34">
        <v>164</v>
      </c>
      <c r="T485" s="34">
        <v>0.14299999999999999</v>
      </c>
      <c r="U485" s="34">
        <f t="shared" si="8"/>
        <v>280</v>
      </c>
      <c r="V485" s="34">
        <f>VLOOKUP(U485,'Powder Core Toroid OD'!$A$2:$B$36,2,FALSE)</f>
        <v>9.65</v>
      </c>
    </row>
    <row r="486" spans="1:22" hidden="1">
      <c r="A486" s="42">
        <v>58281</v>
      </c>
      <c r="B486" s="34" t="s">
        <v>543</v>
      </c>
      <c r="C486" s="158">
        <v>280</v>
      </c>
      <c r="D486" s="34">
        <v>60</v>
      </c>
      <c r="E486" s="34" t="s">
        <v>503</v>
      </c>
      <c r="F486" s="34">
        <v>25</v>
      </c>
      <c r="G486" s="34" t="s">
        <v>0</v>
      </c>
      <c r="H486" s="34">
        <v>2.1800000000000002</v>
      </c>
      <c r="I486" s="34">
        <v>21.8</v>
      </c>
      <c r="J486" s="34">
        <v>0.16800000000000001</v>
      </c>
      <c r="K486" s="34">
        <v>4.26</v>
      </c>
      <c r="L486" s="34">
        <v>0.40500000000000003</v>
      </c>
      <c r="M486" s="34">
        <v>10.3</v>
      </c>
      <c r="N486" s="41">
        <v>0.15</v>
      </c>
      <c r="O486" s="34">
        <v>3.8099999999999996</v>
      </c>
      <c r="P486" s="34">
        <v>7.5200000000000003E-2</v>
      </c>
      <c r="Q486" s="34">
        <v>7.52</v>
      </c>
      <c r="R486" s="34">
        <v>0.16400000000000001</v>
      </c>
      <c r="S486" s="34">
        <v>164</v>
      </c>
      <c r="T486" s="34">
        <v>0.14299999999999999</v>
      </c>
      <c r="U486" s="34">
        <f t="shared" si="8"/>
        <v>280</v>
      </c>
      <c r="V486" s="34">
        <f>VLOOKUP(U486,'Powder Core Toroid OD'!$A$2:$B$36,2,FALSE)</f>
        <v>9.65</v>
      </c>
    </row>
    <row r="487" spans="1:22" hidden="1">
      <c r="A487" s="42">
        <v>58282</v>
      </c>
      <c r="B487" s="34" t="s">
        <v>617</v>
      </c>
      <c r="C487" s="158">
        <v>280</v>
      </c>
      <c r="D487" s="34">
        <v>26</v>
      </c>
      <c r="E487" s="34" t="s">
        <v>503</v>
      </c>
      <c r="F487" s="34">
        <v>11</v>
      </c>
      <c r="G487" s="34" t="s">
        <v>0</v>
      </c>
      <c r="H487" s="34">
        <v>2.1800000000000002</v>
      </c>
      <c r="I487" s="34">
        <v>21.8</v>
      </c>
      <c r="J487" s="34">
        <v>0.16800000000000001</v>
      </c>
      <c r="K487" s="34">
        <v>4.26</v>
      </c>
      <c r="L487" s="34">
        <v>0.40500000000000003</v>
      </c>
      <c r="M487" s="34">
        <v>10.3</v>
      </c>
      <c r="N487" s="41">
        <v>0.15</v>
      </c>
      <c r="O487" s="34">
        <v>3.8099999999999996</v>
      </c>
      <c r="P487" s="34">
        <v>7.5200000000000003E-2</v>
      </c>
      <c r="Q487" s="34">
        <v>7.52</v>
      </c>
      <c r="R487" s="34">
        <v>0.16400000000000001</v>
      </c>
      <c r="S487" s="34">
        <v>164</v>
      </c>
      <c r="T487" s="34">
        <v>0.14299999999999999</v>
      </c>
      <c r="U487" s="34">
        <f t="shared" si="8"/>
        <v>280</v>
      </c>
      <c r="V487" s="34">
        <f>VLOOKUP(U487,'Powder Core Toroid OD'!$A$2:$B$36,2,FALSE)</f>
        <v>9.65</v>
      </c>
    </row>
    <row r="488" spans="1:22" hidden="1">
      <c r="A488" s="42">
        <v>58288</v>
      </c>
      <c r="B488" s="34" t="s">
        <v>542</v>
      </c>
      <c r="C488" s="158">
        <v>290</v>
      </c>
      <c r="D488" s="34">
        <v>160</v>
      </c>
      <c r="E488" s="34" t="s">
        <v>503</v>
      </c>
      <c r="F488" s="34">
        <v>84</v>
      </c>
      <c r="G488" s="34" t="s">
        <v>0</v>
      </c>
      <c r="H488" s="34">
        <v>2.1800000000000002</v>
      </c>
      <c r="I488" s="34">
        <v>21.8</v>
      </c>
      <c r="J488" s="34">
        <v>0.16800000000000001</v>
      </c>
      <c r="K488" s="34">
        <v>4.26</v>
      </c>
      <c r="L488" s="34">
        <v>0.40500000000000003</v>
      </c>
      <c r="M488" s="34">
        <v>10.3</v>
      </c>
      <c r="N488" s="34">
        <v>0.18099999999999999</v>
      </c>
      <c r="O488" s="40">
        <v>4.5999999999999996</v>
      </c>
      <c r="P488" s="34">
        <v>9.4500000000000001E-2</v>
      </c>
      <c r="Q488" s="34">
        <v>9.4499999999999993</v>
      </c>
      <c r="R488" s="34">
        <v>0.20599999999999999</v>
      </c>
      <c r="S488" s="34">
        <v>206</v>
      </c>
      <c r="T488" s="34">
        <v>0.14299999999999999</v>
      </c>
      <c r="U488" s="34">
        <f t="shared" si="8"/>
        <v>290</v>
      </c>
      <c r="V488" s="34">
        <f>VLOOKUP(U488,'Powder Core Toroid OD'!$A$2:$B$36,2,FALSE)</f>
        <v>9.65</v>
      </c>
    </row>
    <row r="489" spans="1:22" hidden="1">
      <c r="A489" s="42">
        <v>58289</v>
      </c>
      <c r="B489" s="34" t="s">
        <v>541</v>
      </c>
      <c r="C489" s="158">
        <v>290</v>
      </c>
      <c r="D489" s="34">
        <v>147</v>
      </c>
      <c r="E489" s="34" t="s">
        <v>503</v>
      </c>
      <c r="F489" s="34">
        <v>78</v>
      </c>
      <c r="G489" s="34" t="s">
        <v>0</v>
      </c>
      <c r="H489" s="34">
        <v>2.1800000000000002</v>
      </c>
      <c r="I489" s="34">
        <v>21.8</v>
      </c>
      <c r="J489" s="34">
        <v>0.16800000000000001</v>
      </c>
      <c r="K489" s="34">
        <v>4.26</v>
      </c>
      <c r="L489" s="34">
        <v>0.40500000000000003</v>
      </c>
      <c r="M489" s="34">
        <v>10.3</v>
      </c>
      <c r="N489" s="34">
        <v>0.18099999999999999</v>
      </c>
      <c r="O489" s="40">
        <v>4.5999999999999996</v>
      </c>
      <c r="P489" s="34">
        <v>9.4500000000000001E-2</v>
      </c>
      <c r="Q489" s="34">
        <v>9.4499999999999993</v>
      </c>
      <c r="R489" s="34">
        <v>0.20599999999999999</v>
      </c>
      <c r="S489" s="34">
        <v>206</v>
      </c>
      <c r="T489" s="34">
        <v>0.14299999999999999</v>
      </c>
      <c r="U489" s="34">
        <f t="shared" si="8"/>
        <v>290</v>
      </c>
      <c r="V489" s="34">
        <f>VLOOKUP(U489,'Powder Core Toroid OD'!$A$2:$B$36,2,FALSE)</f>
        <v>9.65</v>
      </c>
    </row>
    <row r="490" spans="1:22" hidden="1">
      <c r="A490" s="42">
        <v>58290</v>
      </c>
      <c r="B490" s="34" t="s">
        <v>540</v>
      </c>
      <c r="C490" s="158">
        <v>290</v>
      </c>
      <c r="D490" s="34">
        <v>125</v>
      </c>
      <c r="E490" s="34" t="s">
        <v>503</v>
      </c>
      <c r="F490" s="34">
        <v>66</v>
      </c>
      <c r="G490" s="34" t="s">
        <v>0</v>
      </c>
      <c r="H490" s="34">
        <v>2.1800000000000002</v>
      </c>
      <c r="I490" s="34">
        <v>21.8</v>
      </c>
      <c r="J490" s="34">
        <v>0.16800000000000001</v>
      </c>
      <c r="K490" s="34">
        <v>4.26</v>
      </c>
      <c r="L490" s="34">
        <v>0.40500000000000003</v>
      </c>
      <c r="M490" s="34">
        <v>10.3</v>
      </c>
      <c r="N490" s="34">
        <v>0.18099999999999999</v>
      </c>
      <c r="O490" s="40">
        <v>4.5999999999999996</v>
      </c>
      <c r="P490" s="34">
        <v>9.4500000000000001E-2</v>
      </c>
      <c r="Q490" s="34">
        <v>9.4499999999999993</v>
      </c>
      <c r="R490" s="34">
        <v>0.20599999999999999</v>
      </c>
      <c r="S490" s="34">
        <v>206</v>
      </c>
      <c r="T490" s="34">
        <v>0.14299999999999999</v>
      </c>
      <c r="U490" s="34">
        <f t="shared" si="8"/>
        <v>290</v>
      </c>
      <c r="V490" s="34">
        <f>VLOOKUP(U490,'Powder Core Toroid OD'!$A$2:$B$36,2,FALSE)</f>
        <v>9.65</v>
      </c>
    </row>
    <row r="491" spans="1:22" hidden="1">
      <c r="A491" s="42">
        <v>58291</v>
      </c>
      <c r="B491" s="34" t="s">
        <v>539</v>
      </c>
      <c r="C491" s="158">
        <v>290</v>
      </c>
      <c r="D491" s="34">
        <v>60</v>
      </c>
      <c r="E491" s="34" t="s">
        <v>503</v>
      </c>
      <c r="F491" s="34">
        <v>32</v>
      </c>
      <c r="G491" s="34" t="s">
        <v>0</v>
      </c>
      <c r="H491" s="34">
        <v>2.1800000000000002</v>
      </c>
      <c r="I491" s="34">
        <v>21.8</v>
      </c>
      <c r="J491" s="34">
        <v>0.16800000000000001</v>
      </c>
      <c r="K491" s="34">
        <v>4.26</v>
      </c>
      <c r="L491" s="34">
        <v>0.40500000000000003</v>
      </c>
      <c r="M491" s="34">
        <v>10.3</v>
      </c>
      <c r="N491" s="34">
        <v>0.18099999999999999</v>
      </c>
      <c r="O491" s="40">
        <v>4.5999999999999996</v>
      </c>
      <c r="P491" s="34">
        <v>9.4500000000000001E-2</v>
      </c>
      <c r="Q491" s="34">
        <v>9.4499999999999993</v>
      </c>
      <c r="R491" s="34">
        <v>0.20599999999999999</v>
      </c>
      <c r="S491" s="34">
        <v>206</v>
      </c>
      <c r="T491" s="34">
        <v>0.14299999999999999</v>
      </c>
      <c r="U491" s="34">
        <f t="shared" si="8"/>
        <v>290</v>
      </c>
      <c r="V491" s="34">
        <f>VLOOKUP(U491,'Powder Core Toroid OD'!$A$2:$B$36,2,FALSE)</f>
        <v>9.65</v>
      </c>
    </row>
    <row r="492" spans="1:22" hidden="1">
      <c r="A492" s="42">
        <v>58292</v>
      </c>
      <c r="B492" s="34" t="s">
        <v>616</v>
      </c>
      <c r="C492" s="158">
        <v>290</v>
      </c>
      <c r="D492" s="34">
        <v>26</v>
      </c>
      <c r="E492" s="34" t="s">
        <v>503</v>
      </c>
      <c r="F492" s="34">
        <v>14</v>
      </c>
      <c r="G492" s="34" t="s">
        <v>0</v>
      </c>
      <c r="H492" s="34">
        <v>2.1800000000000002</v>
      </c>
      <c r="I492" s="34">
        <v>21.8</v>
      </c>
      <c r="J492" s="34">
        <v>0.16800000000000001</v>
      </c>
      <c r="K492" s="34">
        <v>4.26</v>
      </c>
      <c r="L492" s="34">
        <v>0.40500000000000003</v>
      </c>
      <c r="M492" s="34">
        <v>10.3</v>
      </c>
      <c r="N492" s="34">
        <v>0.18099999999999999</v>
      </c>
      <c r="O492" s="40">
        <v>4.5999999999999996</v>
      </c>
      <c r="P492" s="34">
        <v>9.4500000000000001E-2</v>
      </c>
      <c r="Q492" s="34">
        <v>9.4499999999999993</v>
      </c>
      <c r="R492" s="34">
        <v>0.20599999999999999</v>
      </c>
      <c r="S492" s="34">
        <v>206</v>
      </c>
      <c r="T492" s="34">
        <v>0.14299999999999999</v>
      </c>
      <c r="U492" s="34">
        <f t="shared" si="8"/>
        <v>290</v>
      </c>
      <c r="V492" s="34">
        <f>VLOOKUP(U492,'Powder Core Toroid OD'!$A$2:$B$36,2,FALSE)</f>
        <v>9.65</v>
      </c>
    </row>
    <row r="493" spans="1:22" hidden="1">
      <c r="A493" s="42">
        <v>58293</v>
      </c>
      <c r="B493" s="34" t="s">
        <v>615</v>
      </c>
      <c r="C493" s="158">
        <v>290</v>
      </c>
      <c r="D493" s="34">
        <v>14</v>
      </c>
      <c r="E493" s="34" t="s">
        <v>503</v>
      </c>
      <c r="F493" s="34">
        <v>7</v>
      </c>
      <c r="G493" s="34" t="s">
        <v>0</v>
      </c>
      <c r="H493" s="34">
        <v>2.1800000000000002</v>
      </c>
      <c r="I493" s="34">
        <v>21.8</v>
      </c>
      <c r="J493" s="34">
        <v>0.16800000000000001</v>
      </c>
      <c r="K493" s="34">
        <v>4.26</v>
      </c>
      <c r="L493" s="34">
        <v>0.40500000000000003</v>
      </c>
      <c r="M493" s="34">
        <v>10.3</v>
      </c>
      <c r="N493" s="34">
        <v>0.18099999999999999</v>
      </c>
      <c r="O493" s="40">
        <v>4.5999999999999996</v>
      </c>
      <c r="P493" s="34">
        <v>9.4500000000000001E-2</v>
      </c>
      <c r="Q493" s="34">
        <v>9.4499999999999993</v>
      </c>
      <c r="R493" s="34">
        <v>0.20599999999999999</v>
      </c>
      <c r="S493" s="34">
        <v>206</v>
      </c>
      <c r="T493" s="34">
        <v>0.14299999999999999</v>
      </c>
      <c r="U493" s="34">
        <f t="shared" si="8"/>
        <v>290</v>
      </c>
      <c r="V493" s="34">
        <f>VLOOKUP(U493,'Powder Core Toroid OD'!$A$2:$B$36,2,FALSE)</f>
        <v>9.65</v>
      </c>
    </row>
    <row r="494" spans="1:22" hidden="1">
      <c r="A494" s="42">
        <v>58308</v>
      </c>
      <c r="B494" s="34" t="s">
        <v>538</v>
      </c>
      <c r="C494" s="158">
        <v>310</v>
      </c>
      <c r="D494" s="34">
        <v>160</v>
      </c>
      <c r="E494" s="34" t="s">
        <v>503</v>
      </c>
      <c r="F494" s="34">
        <v>115</v>
      </c>
      <c r="G494" s="34" t="s">
        <v>0</v>
      </c>
      <c r="H494" s="34">
        <v>5.67</v>
      </c>
      <c r="I494" s="34">
        <v>56.7</v>
      </c>
      <c r="J494" s="34">
        <v>0.52500000000000002</v>
      </c>
      <c r="K494" s="34">
        <v>13.3</v>
      </c>
      <c r="L494" s="41">
        <v>0.93</v>
      </c>
      <c r="M494" s="34">
        <v>23.7</v>
      </c>
      <c r="N494" s="41">
        <v>0.33</v>
      </c>
      <c r="O494" s="34">
        <v>8.39</v>
      </c>
      <c r="P494" s="34">
        <v>0.317</v>
      </c>
      <c r="Q494" s="34">
        <v>31.7</v>
      </c>
      <c r="R494" s="40">
        <v>1.8</v>
      </c>
      <c r="S494" s="34">
        <v>1800</v>
      </c>
      <c r="T494" s="34">
        <v>1.39</v>
      </c>
      <c r="U494" s="34">
        <f t="shared" si="8"/>
        <v>310</v>
      </c>
      <c r="V494" s="34">
        <f>VLOOKUP(U494,'Powder Core Toroid OD'!$A$2:$B$36,2,FALSE)</f>
        <v>22.9</v>
      </c>
    </row>
    <row r="495" spans="1:22" hidden="1">
      <c r="A495" s="42">
        <v>58309</v>
      </c>
      <c r="B495" s="34" t="s">
        <v>537</v>
      </c>
      <c r="C495" s="158">
        <v>310</v>
      </c>
      <c r="D495" s="34">
        <v>147</v>
      </c>
      <c r="E495" s="34" t="s">
        <v>503</v>
      </c>
      <c r="F495" s="34">
        <v>106</v>
      </c>
      <c r="G495" s="34" t="s">
        <v>0</v>
      </c>
      <c r="H495" s="34">
        <v>5.67</v>
      </c>
      <c r="I495" s="34">
        <v>56.7</v>
      </c>
      <c r="J495" s="34">
        <v>0.52500000000000002</v>
      </c>
      <c r="K495" s="34">
        <v>13.3</v>
      </c>
      <c r="L495" s="41">
        <v>0.93</v>
      </c>
      <c r="M495" s="34">
        <v>23.7</v>
      </c>
      <c r="N495" s="41">
        <v>0.33</v>
      </c>
      <c r="O495" s="34">
        <v>8.39</v>
      </c>
      <c r="P495" s="34">
        <v>0.317</v>
      </c>
      <c r="Q495" s="34">
        <v>31.7</v>
      </c>
      <c r="R495" s="40">
        <v>1.8</v>
      </c>
      <c r="S495" s="34">
        <v>1800</v>
      </c>
      <c r="T495" s="34">
        <v>1.39</v>
      </c>
      <c r="U495" s="34">
        <f t="shared" si="8"/>
        <v>310</v>
      </c>
      <c r="V495" s="34">
        <f>VLOOKUP(U495,'Powder Core Toroid OD'!$A$2:$B$36,2,FALSE)</f>
        <v>22.9</v>
      </c>
    </row>
    <row r="496" spans="1:22" hidden="1">
      <c r="A496" s="42">
        <v>58310</v>
      </c>
      <c r="B496" s="34" t="s">
        <v>536</v>
      </c>
      <c r="C496" s="158">
        <v>310</v>
      </c>
      <c r="D496" s="34">
        <v>125</v>
      </c>
      <c r="E496" s="34" t="s">
        <v>503</v>
      </c>
      <c r="F496" s="34">
        <v>90</v>
      </c>
      <c r="G496" s="34" t="s">
        <v>0</v>
      </c>
      <c r="H496" s="34">
        <v>5.67</v>
      </c>
      <c r="I496" s="34">
        <v>56.7</v>
      </c>
      <c r="J496" s="34">
        <v>0.52500000000000002</v>
      </c>
      <c r="K496" s="34">
        <v>13.3</v>
      </c>
      <c r="L496" s="41">
        <v>0.93</v>
      </c>
      <c r="M496" s="34">
        <v>23.7</v>
      </c>
      <c r="N496" s="41">
        <v>0.33</v>
      </c>
      <c r="O496" s="34">
        <v>8.39</v>
      </c>
      <c r="P496" s="34">
        <v>0.317</v>
      </c>
      <c r="Q496" s="34">
        <v>31.7</v>
      </c>
      <c r="R496" s="40">
        <v>1.8</v>
      </c>
      <c r="S496" s="34">
        <v>1800</v>
      </c>
      <c r="T496" s="34">
        <v>1.39</v>
      </c>
      <c r="U496" s="34">
        <f t="shared" si="8"/>
        <v>310</v>
      </c>
      <c r="V496" s="34">
        <f>VLOOKUP(U496,'Powder Core Toroid OD'!$A$2:$B$36,2,FALSE)</f>
        <v>22.9</v>
      </c>
    </row>
    <row r="497" spans="1:22" hidden="1">
      <c r="A497" s="42">
        <v>58312</v>
      </c>
      <c r="B497" s="34" t="s">
        <v>614</v>
      </c>
      <c r="C497" s="158">
        <v>310</v>
      </c>
      <c r="D497" s="34">
        <v>26</v>
      </c>
      <c r="E497" s="34" t="s">
        <v>503</v>
      </c>
      <c r="F497" s="34">
        <v>19</v>
      </c>
      <c r="G497" s="34" t="s">
        <v>0</v>
      </c>
      <c r="H497" s="34">
        <v>5.67</v>
      </c>
      <c r="I497" s="34">
        <v>56.7</v>
      </c>
      <c r="J497" s="34">
        <v>0.52500000000000002</v>
      </c>
      <c r="K497" s="34">
        <v>13.3</v>
      </c>
      <c r="L497" s="41">
        <v>0.93</v>
      </c>
      <c r="M497" s="34">
        <v>23.7</v>
      </c>
      <c r="N497" s="41">
        <v>0.33</v>
      </c>
      <c r="O497" s="34">
        <v>8.39</v>
      </c>
      <c r="P497" s="34">
        <v>0.317</v>
      </c>
      <c r="Q497" s="34">
        <v>31.7</v>
      </c>
      <c r="R497" s="40">
        <v>1.8</v>
      </c>
      <c r="S497" s="34">
        <v>1800</v>
      </c>
      <c r="T497" s="34">
        <v>1.39</v>
      </c>
      <c r="U497" s="34">
        <f t="shared" si="8"/>
        <v>310</v>
      </c>
      <c r="V497" s="34">
        <f>VLOOKUP(U497,'Powder Core Toroid OD'!$A$2:$B$36,2,FALSE)</f>
        <v>22.9</v>
      </c>
    </row>
    <row r="498" spans="1:22" hidden="1">
      <c r="A498" s="42">
        <v>58313</v>
      </c>
      <c r="B498" s="34" t="s">
        <v>613</v>
      </c>
      <c r="C498" s="158">
        <v>310</v>
      </c>
      <c r="D498" s="34">
        <v>14</v>
      </c>
      <c r="E498" s="34" t="s">
        <v>503</v>
      </c>
      <c r="F498" s="34">
        <v>9.9</v>
      </c>
      <c r="G498" s="34" t="s">
        <v>0</v>
      </c>
      <c r="H498" s="34">
        <v>5.67</v>
      </c>
      <c r="I498" s="34">
        <v>56.7</v>
      </c>
      <c r="J498" s="34">
        <v>0.52500000000000002</v>
      </c>
      <c r="K498" s="34">
        <v>13.3</v>
      </c>
      <c r="L498" s="41">
        <v>0.93</v>
      </c>
      <c r="M498" s="34">
        <v>23.7</v>
      </c>
      <c r="N498" s="41">
        <v>0.33</v>
      </c>
      <c r="O498" s="34">
        <v>8.39</v>
      </c>
      <c r="P498" s="34">
        <v>0.317</v>
      </c>
      <c r="Q498" s="34">
        <v>31.7</v>
      </c>
      <c r="R498" s="40">
        <v>1.8</v>
      </c>
      <c r="S498" s="34">
        <v>1800</v>
      </c>
      <c r="T498" s="34">
        <v>1.39</v>
      </c>
      <c r="U498" s="34">
        <f t="shared" si="8"/>
        <v>310</v>
      </c>
      <c r="V498" s="34">
        <f>VLOOKUP(U498,'Powder Core Toroid OD'!$A$2:$B$36,2,FALSE)</f>
        <v>22.9</v>
      </c>
    </row>
    <row r="499" spans="1:22" hidden="1">
      <c r="A499" s="42">
        <v>58322</v>
      </c>
      <c r="B499" s="34" t="s">
        <v>535</v>
      </c>
      <c r="C499" s="158">
        <v>324</v>
      </c>
      <c r="D499" s="34">
        <v>160</v>
      </c>
      <c r="E499" s="34" t="s">
        <v>503</v>
      </c>
      <c r="F499" s="34">
        <v>150</v>
      </c>
      <c r="G499" s="34" t="s">
        <v>0</v>
      </c>
      <c r="H499" s="34">
        <v>8.98</v>
      </c>
      <c r="I499" s="34">
        <v>89.800000000000011</v>
      </c>
      <c r="J499" s="34">
        <v>0.84799999999999998</v>
      </c>
      <c r="K499" s="34">
        <v>21.5</v>
      </c>
      <c r="L499" s="34">
        <v>1.4450000000000001</v>
      </c>
      <c r="M499" s="34">
        <v>36.71</v>
      </c>
      <c r="N499" s="34">
        <v>0.44700000000000001</v>
      </c>
      <c r="O499" s="34">
        <v>11.4</v>
      </c>
      <c r="P499" s="34">
        <v>0.67800000000000005</v>
      </c>
      <c r="Q499" s="34">
        <v>67.800000000000011</v>
      </c>
      <c r="R499" s="40">
        <v>6.09</v>
      </c>
      <c r="S499" s="34">
        <v>6090</v>
      </c>
      <c r="T499" s="34">
        <v>3.64</v>
      </c>
      <c r="U499" s="34">
        <f t="shared" si="8"/>
        <v>324</v>
      </c>
      <c r="V499" s="34">
        <f>VLOOKUP(U499,'Powder Core Toroid OD'!$A$2:$B$36,2,FALSE)</f>
        <v>35.799999999999997</v>
      </c>
    </row>
    <row r="500" spans="1:22" hidden="1">
      <c r="A500" s="42">
        <v>58324</v>
      </c>
      <c r="B500" s="34" t="s">
        <v>534</v>
      </c>
      <c r="C500" s="158">
        <v>324</v>
      </c>
      <c r="D500" s="34">
        <v>125</v>
      </c>
      <c r="E500" s="34" t="s">
        <v>503</v>
      </c>
      <c r="F500" s="34">
        <v>117</v>
      </c>
      <c r="G500" s="34" t="s">
        <v>0</v>
      </c>
      <c r="H500" s="34">
        <v>8.98</v>
      </c>
      <c r="I500" s="34">
        <v>89.800000000000011</v>
      </c>
      <c r="J500" s="34">
        <v>0.84799999999999998</v>
      </c>
      <c r="K500" s="34">
        <v>21.5</v>
      </c>
      <c r="L500" s="34">
        <v>1.4450000000000001</v>
      </c>
      <c r="M500" s="34">
        <v>36.71</v>
      </c>
      <c r="N500" s="34">
        <v>0.44700000000000001</v>
      </c>
      <c r="O500" s="34">
        <v>11.4</v>
      </c>
      <c r="P500" s="34">
        <v>0.67800000000000005</v>
      </c>
      <c r="Q500" s="34">
        <v>67.800000000000011</v>
      </c>
      <c r="R500" s="40">
        <v>6.09</v>
      </c>
      <c r="S500" s="34">
        <v>6090</v>
      </c>
      <c r="T500" s="34">
        <v>3.64</v>
      </c>
      <c r="U500" s="34">
        <f t="shared" si="8"/>
        <v>324</v>
      </c>
      <c r="V500" s="34">
        <f>VLOOKUP(U500,'Powder Core Toroid OD'!$A$2:$B$36,2,FALSE)</f>
        <v>35.799999999999997</v>
      </c>
    </row>
    <row r="501" spans="1:22" hidden="1">
      <c r="A501" s="42">
        <v>58326</v>
      </c>
      <c r="B501" s="34" t="s">
        <v>612</v>
      </c>
      <c r="C501" s="158">
        <v>324</v>
      </c>
      <c r="D501" s="34">
        <v>26</v>
      </c>
      <c r="E501" s="34" t="s">
        <v>503</v>
      </c>
      <c r="F501" s="34">
        <v>24</v>
      </c>
      <c r="G501" s="34" t="s">
        <v>0</v>
      </c>
      <c r="H501" s="34">
        <v>8.98</v>
      </c>
      <c r="I501" s="34">
        <v>89.800000000000011</v>
      </c>
      <c r="J501" s="34">
        <v>0.84799999999999998</v>
      </c>
      <c r="K501" s="34">
        <v>21.5</v>
      </c>
      <c r="L501" s="34">
        <v>1.4450000000000001</v>
      </c>
      <c r="M501" s="34">
        <v>36.71</v>
      </c>
      <c r="N501" s="34">
        <v>0.44700000000000001</v>
      </c>
      <c r="O501" s="34">
        <v>11.4</v>
      </c>
      <c r="P501" s="34">
        <v>0.67800000000000005</v>
      </c>
      <c r="Q501" s="34">
        <v>67.800000000000011</v>
      </c>
      <c r="R501" s="40">
        <v>6.09</v>
      </c>
      <c r="S501" s="34">
        <v>6090</v>
      </c>
      <c r="T501" s="34">
        <v>3.64</v>
      </c>
      <c r="U501" s="34">
        <f t="shared" si="8"/>
        <v>324</v>
      </c>
      <c r="V501" s="34">
        <f>VLOOKUP(U501,'Powder Core Toroid OD'!$A$2:$B$36,2,FALSE)</f>
        <v>35.799999999999997</v>
      </c>
    </row>
    <row r="502" spans="1:22" hidden="1">
      <c r="A502" s="42">
        <v>58327</v>
      </c>
      <c r="B502" s="34" t="s">
        <v>611</v>
      </c>
      <c r="C502" s="158">
        <v>324</v>
      </c>
      <c r="D502" s="34">
        <v>14</v>
      </c>
      <c r="E502" s="34" t="s">
        <v>503</v>
      </c>
      <c r="F502" s="34">
        <v>13</v>
      </c>
      <c r="G502" s="34" t="s">
        <v>0</v>
      </c>
      <c r="H502" s="34">
        <v>8.98</v>
      </c>
      <c r="I502" s="34">
        <v>89.800000000000011</v>
      </c>
      <c r="J502" s="34">
        <v>0.84799999999999998</v>
      </c>
      <c r="K502" s="34">
        <v>21.5</v>
      </c>
      <c r="L502" s="34">
        <v>1.4450000000000001</v>
      </c>
      <c r="M502" s="34">
        <v>36.71</v>
      </c>
      <c r="N502" s="34">
        <v>0.44700000000000001</v>
      </c>
      <c r="O502" s="34">
        <v>11.4</v>
      </c>
      <c r="P502" s="34">
        <v>0.67800000000000005</v>
      </c>
      <c r="Q502" s="34">
        <v>67.800000000000011</v>
      </c>
      <c r="R502" s="40">
        <v>6.09</v>
      </c>
      <c r="S502" s="34">
        <v>6090</v>
      </c>
      <c r="T502" s="34">
        <v>3.64</v>
      </c>
      <c r="U502" s="34">
        <f t="shared" si="8"/>
        <v>324</v>
      </c>
      <c r="V502" s="34">
        <f>VLOOKUP(U502,'Powder Core Toroid OD'!$A$2:$B$36,2,FALSE)</f>
        <v>35.799999999999997</v>
      </c>
    </row>
    <row r="503" spans="1:22" hidden="1">
      <c r="A503" s="42">
        <v>58348</v>
      </c>
      <c r="B503" s="34" t="s">
        <v>533</v>
      </c>
      <c r="C503" s="158">
        <v>350</v>
      </c>
      <c r="D503" s="34">
        <v>160</v>
      </c>
      <c r="E503" s="34" t="s">
        <v>503</v>
      </c>
      <c r="F503" s="34">
        <v>135</v>
      </c>
      <c r="G503" s="34" t="s">
        <v>0</v>
      </c>
      <c r="H503" s="34">
        <v>5.88</v>
      </c>
      <c r="I503" s="34">
        <v>58.8</v>
      </c>
      <c r="J503" s="34">
        <v>0.54200000000000004</v>
      </c>
      <c r="K503" s="34">
        <v>13.7</v>
      </c>
      <c r="L503" s="34">
        <v>0.95799999999999996</v>
      </c>
      <c r="M503" s="34">
        <v>24.4</v>
      </c>
      <c r="N503" s="41">
        <v>0.38</v>
      </c>
      <c r="O503" s="34">
        <v>9.66</v>
      </c>
      <c r="P503" s="34">
        <v>0.38800000000000001</v>
      </c>
      <c r="Q503" s="34">
        <v>38.800000000000004</v>
      </c>
      <c r="R503" s="40">
        <v>2.2799999999999998</v>
      </c>
      <c r="S503" s="34">
        <v>2280</v>
      </c>
      <c r="T503" s="34">
        <v>1.49</v>
      </c>
      <c r="U503" s="34">
        <f t="shared" si="8"/>
        <v>350</v>
      </c>
      <c r="V503" s="34">
        <f>VLOOKUP(U503,'Powder Core Toroid OD'!$A$2:$B$36,2,FALSE)</f>
        <v>23.6</v>
      </c>
    </row>
    <row r="504" spans="1:22" hidden="1">
      <c r="A504" s="42">
        <v>58349</v>
      </c>
      <c r="B504" s="34" t="s">
        <v>532</v>
      </c>
      <c r="C504" s="158">
        <v>350</v>
      </c>
      <c r="D504" s="34">
        <v>147</v>
      </c>
      <c r="E504" s="34" t="s">
        <v>503</v>
      </c>
      <c r="F504" s="34">
        <v>124</v>
      </c>
      <c r="G504" s="34" t="s">
        <v>0</v>
      </c>
      <c r="H504" s="34">
        <v>5.88</v>
      </c>
      <c r="I504" s="34">
        <v>58.8</v>
      </c>
      <c r="J504" s="34">
        <v>0.54200000000000004</v>
      </c>
      <c r="K504" s="34">
        <v>13.7</v>
      </c>
      <c r="L504" s="34">
        <v>0.95799999999999996</v>
      </c>
      <c r="M504" s="34">
        <v>24.4</v>
      </c>
      <c r="N504" s="41">
        <v>0.38</v>
      </c>
      <c r="O504" s="34">
        <v>9.66</v>
      </c>
      <c r="P504" s="34">
        <v>0.38800000000000001</v>
      </c>
      <c r="Q504" s="34">
        <v>38.800000000000004</v>
      </c>
      <c r="R504" s="40">
        <v>2.2799999999999998</v>
      </c>
      <c r="S504" s="34">
        <v>2280</v>
      </c>
      <c r="T504" s="34">
        <v>1.49</v>
      </c>
      <c r="U504" s="34">
        <f t="shared" si="8"/>
        <v>350</v>
      </c>
      <c r="V504" s="34">
        <f>VLOOKUP(U504,'Powder Core Toroid OD'!$A$2:$B$36,2,FALSE)</f>
        <v>23.6</v>
      </c>
    </row>
    <row r="505" spans="1:22" hidden="1">
      <c r="A505" s="42">
        <v>58350</v>
      </c>
      <c r="B505" s="34" t="s">
        <v>531</v>
      </c>
      <c r="C505" s="158">
        <v>350</v>
      </c>
      <c r="D505" s="34">
        <v>125</v>
      </c>
      <c r="E505" s="34" t="s">
        <v>503</v>
      </c>
      <c r="F505" s="34">
        <v>105</v>
      </c>
      <c r="G505" s="34" t="s">
        <v>0</v>
      </c>
      <c r="H505" s="34">
        <v>5.88</v>
      </c>
      <c r="I505" s="34">
        <v>58.8</v>
      </c>
      <c r="J505" s="34">
        <v>0.54200000000000004</v>
      </c>
      <c r="K505" s="34">
        <v>13.7</v>
      </c>
      <c r="L505" s="34">
        <v>0.95799999999999996</v>
      </c>
      <c r="M505" s="34">
        <v>24.4</v>
      </c>
      <c r="N505" s="41">
        <v>0.38</v>
      </c>
      <c r="O505" s="34">
        <v>9.66</v>
      </c>
      <c r="P505" s="34">
        <v>0.38800000000000001</v>
      </c>
      <c r="Q505" s="34">
        <v>38.800000000000004</v>
      </c>
      <c r="R505" s="40">
        <v>2.2799999999999998</v>
      </c>
      <c r="S505" s="34">
        <v>2280</v>
      </c>
      <c r="T505" s="34">
        <v>1.49</v>
      </c>
      <c r="U505" s="34">
        <f t="shared" si="8"/>
        <v>350</v>
      </c>
      <c r="V505" s="34">
        <f>VLOOKUP(U505,'Powder Core Toroid OD'!$A$2:$B$36,2,FALSE)</f>
        <v>23.6</v>
      </c>
    </row>
    <row r="506" spans="1:22" hidden="1">
      <c r="A506" s="42">
        <v>58351</v>
      </c>
      <c r="B506" s="34" t="s">
        <v>530</v>
      </c>
      <c r="C506" s="158">
        <v>350</v>
      </c>
      <c r="D506" s="34">
        <v>60</v>
      </c>
      <c r="E506" s="34" t="s">
        <v>503</v>
      </c>
      <c r="F506" s="34">
        <v>51</v>
      </c>
      <c r="G506" s="34" t="s">
        <v>0</v>
      </c>
      <c r="H506" s="34">
        <v>5.88</v>
      </c>
      <c r="I506" s="34">
        <v>58.8</v>
      </c>
      <c r="J506" s="34">
        <v>0.54200000000000004</v>
      </c>
      <c r="K506" s="34">
        <v>13.7</v>
      </c>
      <c r="L506" s="34">
        <v>0.95799999999999996</v>
      </c>
      <c r="M506" s="34">
        <v>24.4</v>
      </c>
      <c r="N506" s="41">
        <v>0.38</v>
      </c>
      <c r="O506" s="34">
        <v>9.66</v>
      </c>
      <c r="P506" s="34">
        <v>0.38800000000000001</v>
      </c>
      <c r="Q506" s="34">
        <v>38.800000000000004</v>
      </c>
      <c r="R506" s="40">
        <v>2.2799999999999998</v>
      </c>
      <c r="S506" s="34">
        <v>2280</v>
      </c>
      <c r="T506" s="34">
        <v>1.49</v>
      </c>
      <c r="U506" s="34">
        <f t="shared" si="8"/>
        <v>350</v>
      </c>
      <c r="V506" s="34">
        <f>VLOOKUP(U506,'Powder Core Toroid OD'!$A$2:$B$36,2,FALSE)</f>
        <v>23.6</v>
      </c>
    </row>
    <row r="507" spans="1:22" hidden="1">
      <c r="A507" s="42">
        <v>58352</v>
      </c>
      <c r="B507" s="34" t="s">
        <v>610</v>
      </c>
      <c r="C507" s="158">
        <v>350</v>
      </c>
      <c r="D507" s="34">
        <v>26</v>
      </c>
      <c r="E507" s="34" t="s">
        <v>503</v>
      </c>
      <c r="F507" s="34">
        <v>22</v>
      </c>
      <c r="G507" s="34" t="s">
        <v>0</v>
      </c>
      <c r="H507" s="34">
        <v>5.88</v>
      </c>
      <c r="I507" s="34">
        <v>58.8</v>
      </c>
      <c r="J507" s="34">
        <v>0.54200000000000004</v>
      </c>
      <c r="K507" s="34">
        <v>13.7</v>
      </c>
      <c r="L507" s="34">
        <v>0.95799999999999996</v>
      </c>
      <c r="M507" s="34">
        <v>24.4</v>
      </c>
      <c r="N507" s="41">
        <v>0.38</v>
      </c>
      <c r="O507" s="34">
        <v>9.66</v>
      </c>
      <c r="P507" s="34">
        <v>0.38800000000000001</v>
      </c>
      <c r="Q507" s="34">
        <v>38.800000000000004</v>
      </c>
      <c r="R507" s="40">
        <v>2.2799999999999998</v>
      </c>
      <c r="S507" s="34">
        <v>2280</v>
      </c>
      <c r="T507" s="34">
        <v>1.49</v>
      </c>
      <c r="U507" s="34">
        <f t="shared" ref="U507:U548" si="9">C507*1</f>
        <v>350</v>
      </c>
      <c r="V507" s="34">
        <f>VLOOKUP(U507,'Powder Core Toroid OD'!$A$2:$B$36,2,FALSE)</f>
        <v>23.6</v>
      </c>
    </row>
    <row r="508" spans="1:22" hidden="1">
      <c r="A508" s="42">
        <v>58353</v>
      </c>
      <c r="B508" s="34" t="s">
        <v>609</v>
      </c>
      <c r="C508" s="158">
        <v>350</v>
      </c>
      <c r="D508" s="34">
        <v>14</v>
      </c>
      <c r="E508" s="34" t="s">
        <v>503</v>
      </c>
      <c r="F508" s="34">
        <v>12</v>
      </c>
      <c r="G508" s="34" t="s">
        <v>0</v>
      </c>
      <c r="H508" s="34">
        <v>5.88</v>
      </c>
      <c r="I508" s="34">
        <v>58.8</v>
      </c>
      <c r="J508" s="34">
        <v>0.54200000000000004</v>
      </c>
      <c r="K508" s="34">
        <v>13.7</v>
      </c>
      <c r="L508" s="34">
        <v>0.95799999999999996</v>
      </c>
      <c r="M508" s="34">
        <v>24.4</v>
      </c>
      <c r="N508" s="41">
        <v>0.38</v>
      </c>
      <c r="O508" s="34">
        <v>9.66</v>
      </c>
      <c r="P508" s="34">
        <v>0.38800000000000001</v>
      </c>
      <c r="Q508" s="34">
        <v>38.800000000000004</v>
      </c>
      <c r="R508" s="40">
        <v>2.2799999999999998</v>
      </c>
      <c r="S508" s="34">
        <v>2280</v>
      </c>
      <c r="T508" s="34">
        <v>1.49</v>
      </c>
      <c r="U508" s="34">
        <f t="shared" si="9"/>
        <v>350</v>
      </c>
      <c r="V508" s="34">
        <f>VLOOKUP(U508,'Powder Core Toroid OD'!$A$2:$B$36,2,FALSE)</f>
        <v>23.6</v>
      </c>
    </row>
    <row r="509" spans="1:22" hidden="1">
      <c r="A509" s="42">
        <v>58378</v>
      </c>
      <c r="B509" s="34" t="s">
        <v>529</v>
      </c>
      <c r="C509" s="158">
        <v>380</v>
      </c>
      <c r="D509" s="34">
        <v>160</v>
      </c>
      <c r="E509" s="34" t="s">
        <v>503</v>
      </c>
      <c r="F509" s="34">
        <v>114</v>
      </c>
      <c r="G509" s="34" t="s">
        <v>0</v>
      </c>
      <c r="H509" s="34">
        <v>4.1399999999999997</v>
      </c>
      <c r="I509" s="34">
        <v>41.4</v>
      </c>
      <c r="J509" s="34">
        <v>0.35499999999999998</v>
      </c>
      <c r="K509" s="34">
        <v>9.01</v>
      </c>
      <c r="L509" s="41">
        <v>0.71</v>
      </c>
      <c r="M509" s="34">
        <v>18.100000000000001</v>
      </c>
      <c r="N509" s="41">
        <v>0.28000000000000003</v>
      </c>
      <c r="O509" s="34">
        <v>7.12</v>
      </c>
      <c r="P509" s="34">
        <v>0.23200000000000001</v>
      </c>
      <c r="Q509" s="34">
        <v>23.200000000000003</v>
      </c>
      <c r="R509" s="41">
        <v>0.96</v>
      </c>
      <c r="S509" s="34">
        <v>960</v>
      </c>
      <c r="T509" s="34">
        <v>0.63800000000000001</v>
      </c>
      <c r="U509" s="34">
        <f t="shared" si="9"/>
        <v>380</v>
      </c>
      <c r="V509" s="34">
        <f>VLOOKUP(U509,'Powder Core Toroid OD'!$A$2:$B$36,2,FALSE)</f>
        <v>17.3</v>
      </c>
    </row>
    <row r="510" spans="1:22" hidden="1">
      <c r="A510" s="42">
        <v>58379</v>
      </c>
      <c r="B510" s="34" t="s">
        <v>528</v>
      </c>
      <c r="C510" s="158">
        <v>380</v>
      </c>
      <c r="D510" s="34">
        <v>147</v>
      </c>
      <c r="E510" s="34" t="s">
        <v>503</v>
      </c>
      <c r="F510" s="34">
        <v>105</v>
      </c>
      <c r="G510" s="34" t="s">
        <v>0</v>
      </c>
      <c r="H510" s="34">
        <v>4.1399999999999997</v>
      </c>
      <c r="I510" s="34">
        <v>41.4</v>
      </c>
      <c r="J510" s="34">
        <v>0.35499999999999998</v>
      </c>
      <c r="K510" s="34">
        <v>9.01</v>
      </c>
      <c r="L510" s="41">
        <v>0.71</v>
      </c>
      <c r="M510" s="34">
        <v>18.100000000000001</v>
      </c>
      <c r="N510" s="41">
        <v>0.28000000000000003</v>
      </c>
      <c r="O510" s="34">
        <v>7.12</v>
      </c>
      <c r="P510" s="34">
        <v>0.23200000000000001</v>
      </c>
      <c r="Q510" s="34">
        <v>23.200000000000003</v>
      </c>
      <c r="R510" s="41">
        <v>0.96</v>
      </c>
      <c r="S510" s="34">
        <v>960</v>
      </c>
      <c r="T510" s="34">
        <v>0.63800000000000001</v>
      </c>
      <c r="U510" s="34">
        <f t="shared" si="9"/>
        <v>380</v>
      </c>
      <c r="V510" s="34">
        <f>VLOOKUP(U510,'Powder Core Toroid OD'!$A$2:$B$36,2,FALSE)</f>
        <v>17.3</v>
      </c>
    </row>
    <row r="511" spans="1:22" hidden="1">
      <c r="A511" s="42">
        <v>58380</v>
      </c>
      <c r="B511" s="34" t="s">
        <v>527</v>
      </c>
      <c r="C511" s="158">
        <v>380</v>
      </c>
      <c r="D511" s="34">
        <v>125</v>
      </c>
      <c r="E511" s="34" t="s">
        <v>503</v>
      </c>
      <c r="F511" s="34">
        <v>89</v>
      </c>
      <c r="G511" s="34" t="s">
        <v>0</v>
      </c>
      <c r="H511" s="34">
        <v>4.1399999999999997</v>
      </c>
      <c r="I511" s="34">
        <v>41.4</v>
      </c>
      <c r="J511" s="34">
        <v>0.35499999999999998</v>
      </c>
      <c r="K511" s="34">
        <v>9.01</v>
      </c>
      <c r="L511" s="41">
        <v>0.71</v>
      </c>
      <c r="M511" s="34">
        <v>18.100000000000001</v>
      </c>
      <c r="N511" s="41">
        <v>0.28000000000000003</v>
      </c>
      <c r="O511" s="34">
        <v>7.12</v>
      </c>
      <c r="P511" s="34">
        <v>0.23200000000000001</v>
      </c>
      <c r="Q511" s="34">
        <v>23.200000000000003</v>
      </c>
      <c r="R511" s="41">
        <v>0.96</v>
      </c>
      <c r="S511" s="34">
        <v>960</v>
      </c>
      <c r="T511" s="34">
        <v>0.63800000000000001</v>
      </c>
      <c r="U511" s="34">
        <f t="shared" si="9"/>
        <v>380</v>
      </c>
      <c r="V511" s="34">
        <f>VLOOKUP(U511,'Powder Core Toroid OD'!$A$2:$B$36,2,FALSE)</f>
        <v>17.3</v>
      </c>
    </row>
    <row r="512" spans="1:22" hidden="1">
      <c r="A512" s="42">
        <v>58381</v>
      </c>
      <c r="B512" s="34" t="s">
        <v>526</v>
      </c>
      <c r="C512" s="158">
        <v>380</v>
      </c>
      <c r="D512" s="34">
        <v>60</v>
      </c>
      <c r="E512" s="34" t="s">
        <v>503</v>
      </c>
      <c r="F512" s="34">
        <v>43</v>
      </c>
      <c r="G512" s="34" t="s">
        <v>0</v>
      </c>
      <c r="H512" s="34">
        <v>4.1399999999999997</v>
      </c>
      <c r="I512" s="34">
        <v>41.4</v>
      </c>
      <c r="J512" s="34">
        <v>0.35499999999999998</v>
      </c>
      <c r="K512" s="34">
        <v>9.01</v>
      </c>
      <c r="L512" s="41">
        <v>0.71</v>
      </c>
      <c r="M512" s="34">
        <v>18.100000000000001</v>
      </c>
      <c r="N512" s="41">
        <v>0.28000000000000003</v>
      </c>
      <c r="O512" s="34">
        <v>7.12</v>
      </c>
      <c r="P512" s="34">
        <v>0.23200000000000001</v>
      </c>
      <c r="Q512" s="34">
        <v>23.200000000000003</v>
      </c>
      <c r="R512" s="41">
        <v>0.96</v>
      </c>
      <c r="S512" s="34">
        <v>960</v>
      </c>
      <c r="T512" s="34">
        <v>0.63800000000000001</v>
      </c>
      <c r="U512" s="34">
        <f t="shared" si="9"/>
        <v>380</v>
      </c>
      <c r="V512" s="34">
        <f>VLOOKUP(U512,'Powder Core Toroid OD'!$A$2:$B$36,2,FALSE)</f>
        <v>17.3</v>
      </c>
    </row>
    <row r="513" spans="1:22" hidden="1">
      <c r="A513" s="42">
        <v>58382</v>
      </c>
      <c r="B513" s="34" t="s">
        <v>608</v>
      </c>
      <c r="C513" s="158">
        <v>380</v>
      </c>
      <c r="D513" s="34">
        <v>26</v>
      </c>
      <c r="E513" s="34" t="s">
        <v>503</v>
      </c>
      <c r="F513" s="34">
        <v>19</v>
      </c>
      <c r="G513" s="34" t="s">
        <v>0</v>
      </c>
      <c r="H513" s="34">
        <v>4.1399999999999997</v>
      </c>
      <c r="I513" s="34">
        <v>41.4</v>
      </c>
      <c r="J513" s="34">
        <v>0.35499999999999998</v>
      </c>
      <c r="K513" s="34">
        <v>9.01</v>
      </c>
      <c r="L513" s="41">
        <v>0.71</v>
      </c>
      <c r="M513" s="34">
        <v>18.100000000000001</v>
      </c>
      <c r="N513" s="41">
        <v>0.28000000000000003</v>
      </c>
      <c r="O513" s="34">
        <v>7.12</v>
      </c>
      <c r="P513" s="34">
        <v>0.23200000000000001</v>
      </c>
      <c r="Q513" s="34">
        <v>23.200000000000003</v>
      </c>
      <c r="R513" s="41">
        <v>0.96</v>
      </c>
      <c r="S513" s="34">
        <v>960</v>
      </c>
      <c r="T513" s="34">
        <v>0.63800000000000001</v>
      </c>
      <c r="U513" s="34">
        <f t="shared" si="9"/>
        <v>380</v>
      </c>
      <c r="V513" s="34">
        <f>VLOOKUP(U513,'Powder Core Toroid OD'!$A$2:$B$36,2,FALSE)</f>
        <v>17.3</v>
      </c>
    </row>
    <row r="514" spans="1:22" hidden="1">
      <c r="A514" s="42">
        <v>58383</v>
      </c>
      <c r="B514" s="34" t="s">
        <v>607</v>
      </c>
      <c r="C514" s="158">
        <v>380</v>
      </c>
      <c r="D514" s="34">
        <v>14</v>
      </c>
      <c r="E514" s="34" t="s">
        <v>503</v>
      </c>
      <c r="F514" s="34">
        <v>10</v>
      </c>
      <c r="G514" s="34" t="s">
        <v>0</v>
      </c>
      <c r="H514" s="34">
        <v>4.1399999999999997</v>
      </c>
      <c r="I514" s="34">
        <v>41.4</v>
      </c>
      <c r="J514" s="34">
        <v>0.35499999999999998</v>
      </c>
      <c r="K514" s="34">
        <v>9.01</v>
      </c>
      <c r="L514" s="41">
        <v>0.71</v>
      </c>
      <c r="M514" s="34">
        <v>18.100000000000001</v>
      </c>
      <c r="N514" s="41">
        <v>0.28000000000000003</v>
      </c>
      <c r="O514" s="34">
        <v>7.12</v>
      </c>
      <c r="P514" s="34">
        <v>0.23200000000000001</v>
      </c>
      <c r="Q514" s="34">
        <v>23.200000000000003</v>
      </c>
      <c r="R514" s="41">
        <v>0.96</v>
      </c>
      <c r="S514" s="34">
        <v>960</v>
      </c>
      <c r="T514" s="34">
        <v>0.63800000000000001</v>
      </c>
      <c r="U514" s="34">
        <f t="shared" si="9"/>
        <v>380</v>
      </c>
      <c r="V514" s="34">
        <f>VLOOKUP(U514,'Powder Core Toroid OD'!$A$2:$B$36,2,FALSE)</f>
        <v>17.3</v>
      </c>
    </row>
    <row r="515" spans="1:22" hidden="1">
      <c r="A515" s="42">
        <v>58408</v>
      </c>
      <c r="B515" s="34" t="s">
        <v>525</v>
      </c>
      <c r="C515" s="158">
        <v>410</v>
      </c>
      <c r="D515" s="34">
        <v>160</v>
      </c>
      <c r="E515" s="34" t="s">
        <v>503</v>
      </c>
      <c r="F515" s="34">
        <v>89</v>
      </c>
      <c r="G515" s="34" t="s">
        <v>0</v>
      </c>
      <c r="H515" s="34">
        <v>1.65</v>
      </c>
      <c r="I515" s="34">
        <v>16.5</v>
      </c>
      <c r="J515" s="34">
        <v>0.13600000000000001</v>
      </c>
      <c r="K515" s="34">
        <v>3.45</v>
      </c>
      <c r="L515" s="34">
        <v>0.29499999999999998</v>
      </c>
      <c r="M515" s="40">
        <v>7.5</v>
      </c>
      <c r="N515" s="34">
        <v>0.22500000000000001</v>
      </c>
      <c r="O515" s="34">
        <v>5.72</v>
      </c>
      <c r="P515" s="34">
        <v>7.2499999999999995E-2</v>
      </c>
      <c r="Q515" s="34">
        <v>7.25</v>
      </c>
      <c r="R515" s="34">
        <v>0.12</v>
      </c>
      <c r="S515" s="34">
        <v>120</v>
      </c>
      <c r="T515" s="34">
        <v>9.35E-2</v>
      </c>
      <c r="U515" s="34">
        <f t="shared" si="9"/>
        <v>410</v>
      </c>
      <c r="V515" s="34">
        <f>VLOOKUP(U515,'Powder Core Toroid OD'!$A$2:$B$36,2,FALSE)</f>
        <v>6.86</v>
      </c>
    </row>
    <row r="516" spans="1:22" hidden="1">
      <c r="A516" s="42">
        <v>58410</v>
      </c>
      <c r="B516" s="34" t="s">
        <v>524</v>
      </c>
      <c r="C516" s="158">
        <v>410</v>
      </c>
      <c r="D516" s="34">
        <v>125</v>
      </c>
      <c r="E516" s="34" t="s">
        <v>503</v>
      </c>
      <c r="F516" s="34">
        <v>70</v>
      </c>
      <c r="G516" s="34" t="s">
        <v>0</v>
      </c>
      <c r="H516" s="34">
        <v>1.65</v>
      </c>
      <c r="I516" s="34">
        <v>16.5</v>
      </c>
      <c r="J516" s="34">
        <v>0.13600000000000001</v>
      </c>
      <c r="K516" s="34">
        <v>3.45</v>
      </c>
      <c r="L516" s="34">
        <v>0.29499999999999998</v>
      </c>
      <c r="M516" s="40">
        <v>7.5</v>
      </c>
      <c r="N516" s="34">
        <v>0.22500000000000001</v>
      </c>
      <c r="O516" s="34">
        <v>5.72</v>
      </c>
      <c r="P516" s="34">
        <v>7.2499999999999995E-2</v>
      </c>
      <c r="Q516" s="34">
        <v>7.25</v>
      </c>
      <c r="R516" s="34">
        <v>0.12</v>
      </c>
      <c r="S516" s="34">
        <v>120</v>
      </c>
      <c r="T516" s="34">
        <v>9.35E-2</v>
      </c>
      <c r="U516" s="34">
        <f t="shared" si="9"/>
        <v>410</v>
      </c>
      <c r="V516" s="34">
        <f>VLOOKUP(U516,'Powder Core Toroid OD'!$A$2:$B$36,2,FALSE)</f>
        <v>6.86</v>
      </c>
    </row>
    <row r="517" spans="1:22" hidden="1">
      <c r="A517" s="42">
        <v>58438</v>
      </c>
      <c r="B517" s="34" t="s">
        <v>523</v>
      </c>
      <c r="C517" s="158">
        <v>438</v>
      </c>
      <c r="D517" s="34">
        <v>125</v>
      </c>
      <c r="E517" s="34" t="s">
        <v>503</v>
      </c>
      <c r="F517" s="34">
        <v>281</v>
      </c>
      <c r="G517" s="34" t="s">
        <v>0</v>
      </c>
      <c r="H517" s="34">
        <v>10.7</v>
      </c>
      <c r="I517" s="34">
        <v>107</v>
      </c>
      <c r="J517" s="34">
        <v>0.91800000000000004</v>
      </c>
      <c r="K517" s="34">
        <v>23.3</v>
      </c>
      <c r="L517" s="34">
        <v>1.875</v>
      </c>
      <c r="M517" s="34">
        <v>47.63</v>
      </c>
      <c r="N517" s="34">
        <v>0.745</v>
      </c>
      <c r="O517" s="35">
        <v>19</v>
      </c>
      <c r="P517" s="34">
        <v>1.99</v>
      </c>
      <c r="Q517" s="34">
        <v>199</v>
      </c>
      <c r="R517" s="34">
        <v>21.3</v>
      </c>
      <c r="S517" s="34">
        <v>21300</v>
      </c>
      <c r="T517" s="34">
        <v>4.2699999999999996</v>
      </c>
      <c r="U517" s="34">
        <f t="shared" si="9"/>
        <v>438</v>
      </c>
      <c r="V517" s="34">
        <f>VLOOKUP(U517,'Powder Core Toroid OD'!$A$2:$B$36,2,FALSE)</f>
        <v>46.7</v>
      </c>
    </row>
    <row r="518" spans="1:22" hidden="1">
      <c r="A518" s="42">
        <v>58439</v>
      </c>
      <c r="B518" s="34" t="s">
        <v>522</v>
      </c>
      <c r="C518" s="158">
        <v>438</v>
      </c>
      <c r="D518" s="34">
        <v>60</v>
      </c>
      <c r="E518" s="34" t="s">
        <v>503</v>
      </c>
      <c r="F518" s="34">
        <v>135</v>
      </c>
      <c r="G518" s="34" t="s">
        <v>0</v>
      </c>
      <c r="H518" s="34">
        <v>10.7</v>
      </c>
      <c r="I518" s="34">
        <v>107</v>
      </c>
      <c r="J518" s="34">
        <v>0.91800000000000004</v>
      </c>
      <c r="K518" s="34">
        <v>23.3</v>
      </c>
      <c r="L518" s="34">
        <v>1.875</v>
      </c>
      <c r="M518" s="34">
        <v>47.63</v>
      </c>
      <c r="N518" s="34">
        <v>0.745</v>
      </c>
      <c r="O518" s="35">
        <v>19</v>
      </c>
      <c r="P518" s="34">
        <v>1.99</v>
      </c>
      <c r="Q518" s="34">
        <v>199</v>
      </c>
      <c r="R518" s="34">
        <v>21.3</v>
      </c>
      <c r="S518" s="34">
        <v>21300</v>
      </c>
      <c r="T518" s="34">
        <v>4.2699999999999996</v>
      </c>
      <c r="U518" s="34">
        <f t="shared" si="9"/>
        <v>438</v>
      </c>
      <c r="V518" s="34">
        <f>VLOOKUP(U518,'Powder Core Toroid OD'!$A$2:$B$36,2,FALSE)</f>
        <v>46.7</v>
      </c>
    </row>
    <row r="519" spans="1:22" hidden="1">
      <c r="A519" s="42">
        <v>58440</v>
      </c>
      <c r="B519" s="34" t="s">
        <v>606</v>
      </c>
      <c r="C519" s="158">
        <v>438</v>
      </c>
      <c r="D519" s="34">
        <v>26</v>
      </c>
      <c r="E519" s="34" t="s">
        <v>503</v>
      </c>
      <c r="F519" s="34">
        <v>59</v>
      </c>
      <c r="G519" s="34" t="s">
        <v>0</v>
      </c>
      <c r="H519" s="34">
        <v>10.7</v>
      </c>
      <c r="I519" s="34">
        <v>107</v>
      </c>
      <c r="J519" s="34">
        <v>0.91800000000000004</v>
      </c>
      <c r="K519" s="34">
        <v>23.3</v>
      </c>
      <c r="L519" s="34">
        <v>1.875</v>
      </c>
      <c r="M519" s="34">
        <v>47.63</v>
      </c>
      <c r="N519" s="34">
        <v>0.745</v>
      </c>
      <c r="O519" s="35">
        <v>19</v>
      </c>
      <c r="P519" s="34">
        <v>1.99</v>
      </c>
      <c r="Q519" s="34">
        <v>199</v>
      </c>
      <c r="R519" s="34">
        <v>21.3</v>
      </c>
      <c r="S519" s="34">
        <v>21300</v>
      </c>
      <c r="T519" s="34">
        <v>4.2699999999999996</v>
      </c>
      <c r="U519" s="34">
        <f t="shared" si="9"/>
        <v>438</v>
      </c>
      <c r="V519" s="34">
        <f>VLOOKUP(U519,'Powder Core Toroid OD'!$A$2:$B$36,2,FALSE)</f>
        <v>46.7</v>
      </c>
    </row>
    <row r="520" spans="1:22" hidden="1">
      <c r="A520" s="42">
        <v>58441</v>
      </c>
      <c r="B520" s="34" t="s">
        <v>605</v>
      </c>
      <c r="C520" s="158">
        <v>438</v>
      </c>
      <c r="D520" s="34">
        <v>14</v>
      </c>
      <c r="E520" s="34" t="s">
        <v>503</v>
      </c>
      <c r="F520" s="34">
        <v>32</v>
      </c>
      <c r="G520" s="34" t="s">
        <v>0</v>
      </c>
      <c r="H520" s="34">
        <v>10.7</v>
      </c>
      <c r="I520" s="34">
        <v>107</v>
      </c>
      <c r="J520" s="34">
        <v>0.91800000000000004</v>
      </c>
      <c r="K520" s="34">
        <v>23.3</v>
      </c>
      <c r="L520" s="34">
        <v>1.875</v>
      </c>
      <c r="M520" s="34">
        <v>47.63</v>
      </c>
      <c r="N520" s="34">
        <v>0.745</v>
      </c>
      <c r="O520" s="35">
        <v>19</v>
      </c>
      <c r="P520" s="34">
        <v>1.99</v>
      </c>
      <c r="Q520" s="34">
        <v>199</v>
      </c>
      <c r="R520" s="34">
        <v>21.3</v>
      </c>
      <c r="S520" s="34">
        <v>21300</v>
      </c>
      <c r="T520" s="34">
        <v>4.2699999999999996</v>
      </c>
      <c r="U520" s="34">
        <f t="shared" si="9"/>
        <v>438</v>
      </c>
      <c r="V520" s="34">
        <f>VLOOKUP(U520,'Powder Core Toroid OD'!$A$2:$B$36,2,FALSE)</f>
        <v>46.7</v>
      </c>
    </row>
    <row r="521" spans="1:22" hidden="1">
      <c r="A521" s="42">
        <v>58546</v>
      </c>
      <c r="B521" s="34" t="s">
        <v>521</v>
      </c>
      <c r="C521" s="158">
        <v>548</v>
      </c>
      <c r="D521" s="34">
        <v>160</v>
      </c>
      <c r="E521" s="34" t="s">
        <v>503</v>
      </c>
      <c r="F521" s="34">
        <v>163</v>
      </c>
      <c r="G521" s="34" t="s">
        <v>0</v>
      </c>
      <c r="H521" s="34">
        <v>8.14</v>
      </c>
      <c r="I521" s="34">
        <v>81.400000000000006</v>
      </c>
      <c r="J521" s="34">
        <v>0.76600000000000001</v>
      </c>
      <c r="K521" s="34">
        <v>19.399999999999999</v>
      </c>
      <c r="L521" s="34">
        <v>1.325</v>
      </c>
      <c r="M521" s="34">
        <v>33.659999999999997</v>
      </c>
      <c r="N521" s="41">
        <v>0.45</v>
      </c>
      <c r="O521" s="34">
        <v>11.5</v>
      </c>
      <c r="P521" s="34">
        <v>0.65600000000000003</v>
      </c>
      <c r="Q521" s="34">
        <v>65.600000000000009</v>
      </c>
      <c r="R521" s="40">
        <v>5.34</v>
      </c>
      <c r="S521" s="34">
        <v>5340</v>
      </c>
      <c r="T521" s="34">
        <v>2.97</v>
      </c>
      <c r="U521" s="34">
        <f t="shared" si="9"/>
        <v>548</v>
      </c>
      <c r="V521" s="34">
        <f>VLOOKUP(U521,'Powder Core Toroid OD'!$A$2:$B$36,2,FALSE)</f>
        <v>32.799999999999997</v>
      </c>
    </row>
    <row r="522" spans="1:22" hidden="1">
      <c r="A522" s="42">
        <v>58547</v>
      </c>
      <c r="B522" s="34" t="s">
        <v>520</v>
      </c>
      <c r="C522" s="158">
        <v>548</v>
      </c>
      <c r="D522" s="34">
        <v>147</v>
      </c>
      <c r="E522" s="34" t="s">
        <v>503</v>
      </c>
      <c r="F522" s="34">
        <v>150</v>
      </c>
      <c r="G522" s="34" t="s">
        <v>0</v>
      </c>
      <c r="H522" s="34">
        <v>8.14</v>
      </c>
      <c r="I522" s="34">
        <v>81.400000000000006</v>
      </c>
      <c r="J522" s="34">
        <v>0.76600000000000001</v>
      </c>
      <c r="K522" s="34">
        <v>19.399999999999999</v>
      </c>
      <c r="L522" s="34">
        <v>1.325</v>
      </c>
      <c r="M522" s="34">
        <v>33.659999999999997</v>
      </c>
      <c r="N522" s="41">
        <v>0.45</v>
      </c>
      <c r="O522" s="34">
        <v>11.5</v>
      </c>
      <c r="P522" s="34">
        <v>0.65600000000000003</v>
      </c>
      <c r="Q522" s="34">
        <v>65.600000000000009</v>
      </c>
      <c r="R522" s="40">
        <v>5.34</v>
      </c>
      <c r="S522" s="34">
        <v>5340</v>
      </c>
      <c r="T522" s="34">
        <v>2.97</v>
      </c>
      <c r="U522" s="34">
        <f t="shared" si="9"/>
        <v>548</v>
      </c>
      <c r="V522" s="34">
        <f>VLOOKUP(U522,'Powder Core Toroid OD'!$A$2:$B$36,2,FALSE)</f>
        <v>32.799999999999997</v>
      </c>
    </row>
    <row r="523" spans="1:22" hidden="1">
      <c r="A523" s="42">
        <v>58548</v>
      </c>
      <c r="B523" s="34" t="s">
        <v>519</v>
      </c>
      <c r="C523" s="158">
        <v>548</v>
      </c>
      <c r="D523" s="34">
        <v>125</v>
      </c>
      <c r="E523" s="34" t="s">
        <v>503</v>
      </c>
      <c r="F523" s="34">
        <v>127</v>
      </c>
      <c r="G523" s="34" t="s">
        <v>0</v>
      </c>
      <c r="H523" s="34">
        <v>8.14</v>
      </c>
      <c r="I523" s="34">
        <v>81.400000000000006</v>
      </c>
      <c r="J523" s="34">
        <v>0.76600000000000001</v>
      </c>
      <c r="K523" s="34">
        <v>19.399999999999999</v>
      </c>
      <c r="L523" s="34">
        <v>1.325</v>
      </c>
      <c r="M523" s="34">
        <v>33.659999999999997</v>
      </c>
      <c r="N523" s="41">
        <v>0.45</v>
      </c>
      <c r="O523" s="34">
        <v>11.5</v>
      </c>
      <c r="P523" s="34">
        <v>0.65600000000000003</v>
      </c>
      <c r="Q523" s="34">
        <v>65.600000000000009</v>
      </c>
      <c r="R523" s="40">
        <v>5.34</v>
      </c>
      <c r="S523" s="34">
        <v>5340</v>
      </c>
      <c r="T523" s="34">
        <v>2.97</v>
      </c>
      <c r="U523" s="34">
        <f t="shared" si="9"/>
        <v>548</v>
      </c>
      <c r="V523" s="34">
        <f>VLOOKUP(U523,'Powder Core Toroid OD'!$A$2:$B$36,2,FALSE)</f>
        <v>32.799999999999997</v>
      </c>
    </row>
    <row r="524" spans="1:22" hidden="1">
      <c r="A524" s="42">
        <v>58550</v>
      </c>
      <c r="B524" s="34" t="s">
        <v>604</v>
      </c>
      <c r="C524" s="158">
        <v>548</v>
      </c>
      <c r="D524" s="34">
        <v>26</v>
      </c>
      <c r="E524" s="34" t="s">
        <v>503</v>
      </c>
      <c r="F524" s="34">
        <v>28</v>
      </c>
      <c r="G524" s="34" t="s">
        <v>0</v>
      </c>
      <c r="H524" s="34">
        <v>8.14</v>
      </c>
      <c r="I524" s="34">
        <v>81.400000000000006</v>
      </c>
      <c r="J524" s="34">
        <v>0.76600000000000001</v>
      </c>
      <c r="K524" s="34">
        <v>19.399999999999999</v>
      </c>
      <c r="L524" s="34">
        <v>1.325</v>
      </c>
      <c r="M524" s="34">
        <v>33.659999999999997</v>
      </c>
      <c r="N524" s="41">
        <v>0.45</v>
      </c>
      <c r="O524" s="34">
        <v>11.5</v>
      </c>
      <c r="P524" s="34">
        <v>0.65600000000000003</v>
      </c>
      <c r="Q524" s="34">
        <v>65.600000000000009</v>
      </c>
      <c r="R524" s="40">
        <v>5.34</v>
      </c>
      <c r="S524" s="34">
        <v>5340</v>
      </c>
      <c r="T524" s="34">
        <v>2.97</v>
      </c>
      <c r="U524" s="34">
        <f t="shared" si="9"/>
        <v>548</v>
      </c>
      <c r="V524" s="34">
        <f>VLOOKUP(U524,'Powder Core Toroid OD'!$A$2:$B$36,2,FALSE)</f>
        <v>32.799999999999997</v>
      </c>
    </row>
    <row r="525" spans="1:22" hidden="1">
      <c r="A525" s="42">
        <v>58551</v>
      </c>
      <c r="B525" s="34" t="s">
        <v>603</v>
      </c>
      <c r="C525" s="158">
        <v>548</v>
      </c>
      <c r="D525" s="34">
        <v>14</v>
      </c>
      <c r="E525" s="34" t="s">
        <v>503</v>
      </c>
      <c r="F525" s="34">
        <v>14</v>
      </c>
      <c r="G525" s="34" t="s">
        <v>0</v>
      </c>
      <c r="H525" s="34">
        <v>8.14</v>
      </c>
      <c r="I525" s="34">
        <v>81.400000000000006</v>
      </c>
      <c r="J525" s="34">
        <v>0.76600000000000001</v>
      </c>
      <c r="K525" s="34">
        <v>19.399999999999999</v>
      </c>
      <c r="L525" s="34">
        <v>1.325</v>
      </c>
      <c r="M525" s="34">
        <v>33.659999999999997</v>
      </c>
      <c r="N525" s="41">
        <v>0.45</v>
      </c>
      <c r="O525" s="34">
        <v>11.5</v>
      </c>
      <c r="P525" s="34">
        <v>0.65600000000000003</v>
      </c>
      <c r="Q525" s="34">
        <v>65.600000000000009</v>
      </c>
      <c r="R525" s="40">
        <v>5.34</v>
      </c>
      <c r="S525" s="34">
        <v>5340</v>
      </c>
      <c r="T525" s="34">
        <v>2.97</v>
      </c>
      <c r="U525" s="34">
        <f t="shared" si="9"/>
        <v>548</v>
      </c>
      <c r="V525" s="34">
        <f>VLOOKUP(U525,'Powder Core Toroid OD'!$A$2:$B$36,2,FALSE)</f>
        <v>32.799999999999997</v>
      </c>
    </row>
    <row r="526" spans="1:22" hidden="1">
      <c r="A526" s="42">
        <v>58583</v>
      </c>
      <c r="B526" s="34" t="s">
        <v>518</v>
      </c>
      <c r="C526" s="158">
        <v>585</v>
      </c>
      <c r="D526" s="34">
        <v>160</v>
      </c>
      <c r="E526" s="34" t="s">
        <v>503</v>
      </c>
      <c r="F526" s="34">
        <v>101</v>
      </c>
      <c r="G526" s="34" t="s">
        <v>0</v>
      </c>
      <c r="H526" s="34">
        <v>8.9499999999999993</v>
      </c>
      <c r="I526" s="34">
        <v>89.5</v>
      </c>
      <c r="J526" s="34">
        <v>0.88800000000000001</v>
      </c>
      <c r="K526" s="34">
        <v>22.5</v>
      </c>
      <c r="L526" s="34">
        <v>1.385</v>
      </c>
      <c r="M526" s="34">
        <v>35.18</v>
      </c>
      <c r="N526" s="34">
        <v>0.38500000000000001</v>
      </c>
      <c r="O526" s="34">
        <v>9.7799999999999994</v>
      </c>
      <c r="P526" s="34">
        <v>0.46400000000000002</v>
      </c>
      <c r="Q526" s="34">
        <v>46.4</v>
      </c>
      <c r="R526" s="40">
        <v>4.1500000000000004</v>
      </c>
      <c r="S526" s="34">
        <v>4150</v>
      </c>
      <c r="T526" s="34">
        <v>3.99</v>
      </c>
      <c r="U526" s="34">
        <f t="shared" si="9"/>
        <v>585</v>
      </c>
      <c r="V526" s="34">
        <f>VLOOKUP(U526,'Powder Core Toroid OD'!$A$2:$B$36,2,FALSE)</f>
        <v>34.299999999999997</v>
      </c>
    </row>
    <row r="527" spans="1:22" hidden="1">
      <c r="A527" s="42">
        <v>58585</v>
      </c>
      <c r="B527" s="34" t="s">
        <v>517</v>
      </c>
      <c r="C527" s="158">
        <v>585</v>
      </c>
      <c r="D527" s="34">
        <v>125</v>
      </c>
      <c r="E527" s="34" t="s">
        <v>503</v>
      </c>
      <c r="F527" s="34">
        <v>79</v>
      </c>
      <c r="G527" s="34" t="s">
        <v>0</v>
      </c>
      <c r="H527" s="34">
        <v>8.9499999999999993</v>
      </c>
      <c r="I527" s="34">
        <v>89.5</v>
      </c>
      <c r="J527" s="34">
        <v>0.88800000000000001</v>
      </c>
      <c r="K527" s="34">
        <v>22.5</v>
      </c>
      <c r="L527" s="34">
        <v>1.385</v>
      </c>
      <c r="M527" s="34">
        <v>35.18</v>
      </c>
      <c r="N527" s="34">
        <v>0.38500000000000001</v>
      </c>
      <c r="O527" s="34">
        <v>9.7799999999999994</v>
      </c>
      <c r="P527" s="34">
        <v>0.46400000000000002</v>
      </c>
      <c r="Q527" s="34">
        <v>46.4</v>
      </c>
      <c r="R527" s="40">
        <v>4.1500000000000004</v>
      </c>
      <c r="S527" s="34">
        <v>4150</v>
      </c>
      <c r="T527" s="34">
        <v>3.99</v>
      </c>
      <c r="U527" s="34">
        <f t="shared" si="9"/>
        <v>585</v>
      </c>
      <c r="V527" s="34">
        <f>VLOOKUP(U527,'Powder Core Toroid OD'!$A$2:$B$36,2,FALSE)</f>
        <v>34.299999999999997</v>
      </c>
    </row>
    <row r="528" spans="1:22" hidden="1">
      <c r="A528" s="42">
        <v>58586</v>
      </c>
      <c r="B528" s="34" t="s">
        <v>516</v>
      </c>
      <c r="C528" s="158">
        <v>585</v>
      </c>
      <c r="D528" s="34">
        <v>60</v>
      </c>
      <c r="E528" s="34" t="s">
        <v>503</v>
      </c>
      <c r="F528" s="34">
        <v>38</v>
      </c>
      <c r="G528" s="34" t="s">
        <v>0</v>
      </c>
      <c r="H528" s="34">
        <v>8.9499999999999993</v>
      </c>
      <c r="I528" s="34">
        <v>89.5</v>
      </c>
      <c r="J528" s="34">
        <v>0.88800000000000001</v>
      </c>
      <c r="K528" s="34">
        <v>22.5</v>
      </c>
      <c r="L528" s="34">
        <v>1.385</v>
      </c>
      <c r="M528" s="34">
        <v>35.18</v>
      </c>
      <c r="N528" s="34">
        <v>0.38500000000000001</v>
      </c>
      <c r="O528" s="34">
        <v>9.7799999999999994</v>
      </c>
      <c r="P528" s="34">
        <v>0.46400000000000002</v>
      </c>
      <c r="Q528" s="34">
        <v>46.4</v>
      </c>
      <c r="R528" s="40">
        <v>4.1500000000000004</v>
      </c>
      <c r="S528" s="34">
        <v>4150</v>
      </c>
      <c r="T528" s="34">
        <v>3.99</v>
      </c>
      <c r="U528" s="34">
        <f t="shared" si="9"/>
        <v>585</v>
      </c>
      <c r="V528" s="34">
        <f>VLOOKUP(U528,'Powder Core Toroid OD'!$A$2:$B$36,2,FALSE)</f>
        <v>34.299999999999997</v>
      </c>
    </row>
    <row r="529" spans="1:22" hidden="1">
      <c r="A529" s="42">
        <v>58714</v>
      </c>
      <c r="B529" s="34" t="s">
        <v>515</v>
      </c>
      <c r="C529" s="158">
        <v>715</v>
      </c>
      <c r="D529" s="34">
        <v>147</v>
      </c>
      <c r="E529" s="34" t="s">
        <v>503</v>
      </c>
      <c r="F529" s="34">
        <v>179</v>
      </c>
      <c r="G529" s="34" t="s">
        <v>0</v>
      </c>
      <c r="H529" s="34">
        <v>12.7</v>
      </c>
      <c r="I529" s="34">
        <v>127</v>
      </c>
      <c r="J529" s="34">
        <v>1.218</v>
      </c>
      <c r="K529" s="34">
        <v>30.93</v>
      </c>
      <c r="L529" s="34">
        <v>2.0350000000000001</v>
      </c>
      <c r="M529" s="34">
        <v>51.69</v>
      </c>
      <c r="N529" s="34">
        <v>0.56500000000000006</v>
      </c>
      <c r="O529" s="34">
        <v>14.4</v>
      </c>
      <c r="P529" s="34">
        <v>1.25</v>
      </c>
      <c r="Q529" s="34">
        <v>125</v>
      </c>
      <c r="R529" s="34">
        <v>15.9</v>
      </c>
      <c r="S529" s="34">
        <v>15900</v>
      </c>
      <c r="T529" s="34">
        <v>7.51</v>
      </c>
      <c r="U529" s="34">
        <f t="shared" si="9"/>
        <v>715</v>
      </c>
      <c r="V529" s="34">
        <f>VLOOKUP(U529,'Powder Core Toroid OD'!$A$2:$B$36,2,FALSE)</f>
        <v>50.8</v>
      </c>
    </row>
    <row r="530" spans="1:22" hidden="1">
      <c r="A530" s="42">
        <v>58715</v>
      </c>
      <c r="B530" s="34" t="s">
        <v>514</v>
      </c>
      <c r="C530" s="158">
        <v>715</v>
      </c>
      <c r="D530" s="34">
        <v>125</v>
      </c>
      <c r="E530" s="34" t="s">
        <v>503</v>
      </c>
      <c r="F530" s="34">
        <v>152</v>
      </c>
      <c r="G530" s="34" t="s">
        <v>0</v>
      </c>
      <c r="H530" s="34">
        <v>12.7</v>
      </c>
      <c r="I530" s="34">
        <v>127</v>
      </c>
      <c r="J530" s="34">
        <v>1.218</v>
      </c>
      <c r="K530" s="34">
        <v>30.93</v>
      </c>
      <c r="L530" s="34">
        <v>2.0350000000000001</v>
      </c>
      <c r="M530" s="34">
        <v>51.69</v>
      </c>
      <c r="N530" s="34">
        <v>0.56500000000000006</v>
      </c>
      <c r="O530" s="34">
        <v>14.4</v>
      </c>
      <c r="P530" s="34">
        <v>1.25</v>
      </c>
      <c r="Q530" s="34">
        <v>125</v>
      </c>
      <c r="R530" s="34">
        <v>15.9</v>
      </c>
      <c r="S530" s="34">
        <v>15900</v>
      </c>
      <c r="T530" s="34">
        <v>7.51</v>
      </c>
      <c r="U530" s="34">
        <f t="shared" si="9"/>
        <v>715</v>
      </c>
      <c r="V530" s="34">
        <f>VLOOKUP(U530,'Powder Core Toroid OD'!$A$2:$B$36,2,FALSE)</f>
        <v>50.8</v>
      </c>
    </row>
    <row r="531" spans="1:22" hidden="1">
      <c r="A531" s="42">
        <v>58716</v>
      </c>
      <c r="B531" s="34" t="s">
        <v>513</v>
      </c>
      <c r="C531" s="158">
        <v>715</v>
      </c>
      <c r="D531" s="34">
        <v>60</v>
      </c>
      <c r="E531" s="34" t="s">
        <v>503</v>
      </c>
      <c r="F531" s="34">
        <v>73</v>
      </c>
      <c r="G531" s="34" t="s">
        <v>0</v>
      </c>
      <c r="H531" s="34">
        <v>12.7</v>
      </c>
      <c r="I531" s="34">
        <v>127</v>
      </c>
      <c r="J531" s="34">
        <v>1.218</v>
      </c>
      <c r="K531" s="34">
        <v>30.93</v>
      </c>
      <c r="L531" s="34">
        <v>2.0350000000000001</v>
      </c>
      <c r="M531" s="34">
        <v>51.69</v>
      </c>
      <c r="N531" s="34">
        <v>0.56500000000000006</v>
      </c>
      <c r="O531" s="34">
        <v>14.4</v>
      </c>
      <c r="P531" s="34">
        <v>1.25</v>
      </c>
      <c r="Q531" s="34">
        <v>125</v>
      </c>
      <c r="R531" s="34">
        <v>15.9</v>
      </c>
      <c r="S531" s="34">
        <v>15900</v>
      </c>
      <c r="T531" s="34">
        <v>7.51</v>
      </c>
      <c r="U531" s="34">
        <f t="shared" si="9"/>
        <v>715</v>
      </c>
      <c r="V531" s="34">
        <f>VLOOKUP(U531,'Powder Core Toroid OD'!$A$2:$B$36,2,FALSE)</f>
        <v>50.8</v>
      </c>
    </row>
    <row r="532" spans="1:22" hidden="1">
      <c r="A532" s="42">
        <v>58717</v>
      </c>
      <c r="B532" s="34" t="s">
        <v>602</v>
      </c>
      <c r="C532" s="158">
        <v>715</v>
      </c>
      <c r="D532" s="34">
        <v>26</v>
      </c>
      <c r="E532" s="34" t="s">
        <v>503</v>
      </c>
      <c r="F532" s="34">
        <v>32</v>
      </c>
      <c r="G532" s="34" t="s">
        <v>0</v>
      </c>
      <c r="H532" s="34">
        <v>12.7</v>
      </c>
      <c r="I532" s="34">
        <v>127</v>
      </c>
      <c r="J532" s="34">
        <v>1.218</v>
      </c>
      <c r="K532" s="34">
        <v>30.93</v>
      </c>
      <c r="L532" s="34">
        <v>2.0350000000000001</v>
      </c>
      <c r="M532" s="34">
        <v>51.69</v>
      </c>
      <c r="N532" s="34">
        <v>0.56500000000000006</v>
      </c>
      <c r="O532" s="34">
        <v>14.4</v>
      </c>
      <c r="P532" s="34">
        <v>1.25</v>
      </c>
      <c r="Q532" s="34">
        <v>125</v>
      </c>
      <c r="R532" s="34">
        <v>15.9</v>
      </c>
      <c r="S532" s="34">
        <v>15900</v>
      </c>
      <c r="T532" s="34">
        <v>7.51</v>
      </c>
      <c r="U532" s="34">
        <f t="shared" si="9"/>
        <v>715</v>
      </c>
      <c r="V532" s="34">
        <f>VLOOKUP(U532,'Powder Core Toroid OD'!$A$2:$B$36,2,FALSE)</f>
        <v>50.8</v>
      </c>
    </row>
    <row r="533" spans="1:22" hidden="1">
      <c r="A533" s="42">
        <v>58718</v>
      </c>
      <c r="B533" s="34" t="s">
        <v>601</v>
      </c>
      <c r="C533" s="158">
        <v>715</v>
      </c>
      <c r="D533" s="34">
        <v>14</v>
      </c>
      <c r="E533" s="34" t="s">
        <v>503</v>
      </c>
      <c r="F533" s="34">
        <v>17</v>
      </c>
      <c r="G533" s="34" t="s">
        <v>0</v>
      </c>
      <c r="H533" s="34">
        <v>12.7</v>
      </c>
      <c r="I533" s="34">
        <v>127</v>
      </c>
      <c r="J533" s="34">
        <v>1.218</v>
      </c>
      <c r="K533" s="34">
        <v>30.93</v>
      </c>
      <c r="L533" s="34">
        <v>2.0350000000000001</v>
      </c>
      <c r="M533" s="34">
        <v>51.69</v>
      </c>
      <c r="N533" s="34">
        <v>0.56500000000000006</v>
      </c>
      <c r="O533" s="34">
        <v>14.4</v>
      </c>
      <c r="P533" s="34">
        <v>1.25</v>
      </c>
      <c r="Q533" s="34">
        <v>125</v>
      </c>
      <c r="R533" s="34">
        <v>15.9</v>
      </c>
      <c r="S533" s="34">
        <v>15900</v>
      </c>
      <c r="T533" s="34">
        <v>7.51</v>
      </c>
      <c r="U533" s="34">
        <f t="shared" si="9"/>
        <v>715</v>
      </c>
      <c r="V533" s="34">
        <f>VLOOKUP(U533,'Powder Core Toroid OD'!$A$2:$B$36,2,FALSE)</f>
        <v>50.8</v>
      </c>
    </row>
    <row r="534" spans="1:22" hidden="1">
      <c r="A534" s="42">
        <v>58848</v>
      </c>
      <c r="B534" s="34" t="s">
        <v>512</v>
      </c>
      <c r="C534" s="158">
        <v>206</v>
      </c>
      <c r="D534" s="34">
        <v>60</v>
      </c>
      <c r="E534" s="34" t="s">
        <v>503</v>
      </c>
      <c r="F534" s="34">
        <v>32</v>
      </c>
      <c r="G534" s="34" t="s">
        <v>0</v>
      </c>
      <c r="H534" s="34">
        <v>5.09</v>
      </c>
      <c r="I534" s="34">
        <v>50.9</v>
      </c>
      <c r="J534" s="34">
        <v>0.47500000000000003</v>
      </c>
      <c r="K534" s="35">
        <v>12</v>
      </c>
      <c r="L534" s="41">
        <v>0.83</v>
      </c>
      <c r="M534" s="34">
        <v>21.1</v>
      </c>
      <c r="N534" s="41">
        <v>0.28000000000000003</v>
      </c>
      <c r="O534" s="34">
        <v>7.12</v>
      </c>
      <c r="P534" s="34">
        <v>0.221</v>
      </c>
      <c r="Q534" s="34">
        <v>22.1</v>
      </c>
      <c r="R534" s="40">
        <v>1.1200000000000001</v>
      </c>
      <c r="S534" s="34">
        <v>1120</v>
      </c>
      <c r="T534" s="34">
        <v>1.1399999999999999</v>
      </c>
      <c r="U534" s="34">
        <f t="shared" si="9"/>
        <v>206</v>
      </c>
      <c r="V534" s="34">
        <f>VLOOKUP(U534,'Powder Core Toroid OD'!$A$2:$B$36,2,FALSE)</f>
        <v>20.3</v>
      </c>
    </row>
    <row r="535" spans="1:22" hidden="1">
      <c r="A535" s="42">
        <v>58866</v>
      </c>
      <c r="B535" s="34" t="s">
        <v>511</v>
      </c>
      <c r="C535" s="158">
        <v>866</v>
      </c>
      <c r="D535" s="34">
        <v>125</v>
      </c>
      <c r="E535" s="34" t="s">
        <v>503</v>
      </c>
      <c r="F535" s="34">
        <v>142</v>
      </c>
      <c r="G535" s="34" t="s">
        <v>0</v>
      </c>
      <c r="H535" s="34">
        <v>19.600000000000001</v>
      </c>
      <c r="I535" s="34">
        <v>196</v>
      </c>
      <c r="J535" s="34">
        <v>1.8979999999999999</v>
      </c>
      <c r="K535" s="40">
        <v>48.2</v>
      </c>
      <c r="L535" s="34">
        <v>3.1080000000000001</v>
      </c>
      <c r="M535" s="34">
        <v>78.95</v>
      </c>
      <c r="N535" s="34">
        <v>0.54500000000000004</v>
      </c>
      <c r="O535" s="34">
        <v>13.9</v>
      </c>
      <c r="P535" s="34">
        <v>1.76</v>
      </c>
      <c r="Q535" s="34">
        <v>176</v>
      </c>
      <c r="R535" s="34">
        <v>34.5</v>
      </c>
      <c r="S535" s="34">
        <v>34500</v>
      </c>
      <c r="T535" s="34">
        <v>18.2</v>
      </c>
      <c r="U535" s="34">
        <f t="shared" si="9"/>
        <v>866</v>
      </c>
      <c r="V535" s="34">
        <f>VLOOKUP(U535,'Powder Core Toroid OD'!$A$2:$B$36,2,FALSE)</f>
        <v>77.8</v>
      </c>
    </row>
    <row r="536" spans="1:22" hidden="1">
      <c r="A536" s="42">
        <v>58867</v>
      </c>
      <c r="B536" s="34" t="s">
        <v>510</v>
      </c>
      <c r="C536" s="158">
        <v>866</v>
      </c>
      <c r="D536" s="34">
        <v>60</v>
      </c>
      <c r="E536" s="34" t="s">
        <v>503</v>
      </c>
      <c r="F536" s="34">
        <v>68</v>
      </c>
      <c r="G536" s="34" t="s">
        <v>0</v>
      </c>
      <c r="H536" s="34">
        <v>19.600000000000001</v>
      </c>
      <c r="I536" s="34">
        <v>196</v>
      </c>
      <c r="J536" s="34">
        <v>1.8979999999999999</v>
      </c>
      <c r="K536" s="40">
        <v>48.2</v>
      </c>
      <c r="L536" s="34">
        <v>3.1080000000000001</v>
      </c>
      <c r="M536" s="34">
        <v>78.95</v>
      </c>
      <c r="N536" s="34">
        <v>0.54500000000000004</v>
      </c>
      <c r="O536" s="34">
        <v>13.9</v>
      </c>
      <c r="P536" s="34">
        <v>1.76</v>
      </c>
      <c r="Q536" s="34">
        <v>176</v>
      </c>
      <c r="R536" s="34">
        <v>34.5</v>
      </c>
      <c r="S536" s="34">
        <v>34500</v>
      </c>
      <c r="T536" s="34">
        <v>18.2</v>
      </c>
      <c r="U536" s="34">
        <f t="shared" si="9"/>
        <v>866</v>
      </c>
      <c r="V536" s="34">
        <f>VLOOKUP(U536,'Powder Core Toroid OD'!$A$2:$B$36,2,FALSE)</f>
        <v>77.8</v>
      </c>
    </row>
    <row r="537" spans="1:22" hidden="1">
      <c r="A537" s="42">
        <v>58868</v>
      </c>
      <c r="B537" s="34" t="s">
        <v>600</v>
      </c>
      <c r="C537" s="158">
        <v>866</v>
      </c>
      <c r="D537" s="34">
        <v>26</v>
      </c>
      <c r="E537" s="34" t="s">
        <v>503</v>
      </c>
      <c r="F537" s="34">
        <v>30</v>
      </c>
      <c r="G537" s="34" t="s">
        <v>0</v>
      </c>
      <c r="H537" s="34">
        <v>19.600000000000001</v>
      </c>
      <c r="I537" s="34">
        <v>196</v>
      </c>
      <c r="J537" s="34">
        <v>1.8979999999999999</v>
      </c>
      <c r="K537" s="40">
        <v>48.2</v>
      </c>
      <c r="L537" s="34">
        <v>3.1080000000000001</v>
      </c>
      <c r="M537" s="34">
        <v>78.95</v>
      </c>
      <c r="N537" s="34">
        <v>0.54500000000000004</v>
      </c>
      <c r="O537" s="34">
        <v>13.9</v>
      </c>
      <c r="P537" s="34">
        <v>1.76</v>
      </c>
      <c r="Q537" s="34">
        <v>176</v>
      </c>
      <c r="R537" s="34">
        <v>34.5</v>
      </c>
      <c r="S537" s="34">
        <v>34500</v>
      </c>
      <c r="T537" s="34">
        <v>18.2</v>
      </c>
      <c r="U537" s="34">
        <f t="shared" si="9"/>
        <v>866</v>
      </c>
      <c r="V537" s="34">
        <f>VLOOKUP(U537,'Powder Core Toroid OD'!$A$2:$B$36,2,FALSE)</f>
        <v>77.8</v>
      </c>
    </row>
    <row r="538" spans="1:22" hidden="1">
      <c r="A538" s="42">
        <v>58869</v>
      </c>
      <c r="B538" s="34" t="s">
        <v>599</v>
      </c>
      <c r="C538" s="158">
        <v>866</v>
      </c>
      <c r="D538" s="34">
        <v>14</v>
      </c>
      <c r="E538" s="34" t="s">
        <v>503</v>
      </c>
      <c r="F538" s="34">
        <v>16</v>
      </c>
      <c r="G538" s="34" t="s">
        <v>0</v>
      </c>
      <c r="H538" s="34">
        <v>19.600000000000001</v>
      </c>
      <c r="I538" s="34">
        <v>196</v>
      </c>
      <c r="J538" s="34">
        <v>1.8979999999999999</v>
      </c>
      <c r="K538" s="40">
        <v>48.2</v>
      </c>
      <c r="L538" s="34">
        <v>3.1080000000000001</v>
      </c>
      <c r="M538" s="34">
        <v>78.95</v>
      </c>
      <c r="N538" s="34">
        <v>0.54500000000000004</v>
      </c>
      <c r="O538" s="34">
        <v>13.9</v>
      </c>
      <c r="P538" s="34">
        <v>1.76</v>
      </c>
      <c r="Q538" s="34">
        <v>176</v>
      </c>
      <c r="R538" s="34">
        <v>34.5</v>
      </c>
      <c r="S538" s="34">
        <v>34500</v>
      </c>
      <c r="T538" s="34">
        <v>18.2</v>
      </c>
      <c r="U538" s="34">
        <f t="shared" si="9"/>
        <v>866</v>
      </c>
      <c r="V538" s="34">
        <f>VLOOKUP(U538,'Powder Core Toroid OD'!$A$2:$B$36,2,FALSE)</f>
        <v>77.8</v>
      </c>
    </row>
    <row r="539" spans="1:22" hidden="1">
      <c r="A539" s="42">
        <v>58894</v>
      </c>
      <c r="B539" s="34" t="s">
        <v>509</v>
      </c>
      <c r="C539" s="158">
        <v>930</v>
      </c>
      <c r="D539" s="34">
        <v>60</v>
      </c>
      <c r="E539" s="34" t="s">
        <v>503</v>
      </c>
      <c r="F539" s="34">
        <v>75</v>
      </c>
      <c r="G539" s="34" t="s">
        <v>0</v>
      </c>
      <c r="H539" s="34">
        <v>6.35</v>
      </c>
      <c r="I539" s="34">
        <v>63.5</v>
      </c>
      <c r="J539" s="34">
        <v>0.55500000000000005</v>
      </c>
      <c r="K539" s="34">
        <v>14.1</v>
      </c>
      <c r="L539" s="41">
        <v>1.0900000000000001</v>
      </c>
      <c r="M539" s="34">
        <v>27.69</v>
      </c>
      <c r="N539" s="41">
        <v>0.47</v>
      </c>
      <c r="O539" s="35">
        <v>12</v>
      </c>
      <c r="P539" s="34">
        <v>0.65400000000000003</v>
      </c>
      <c r="Q539" s="34">
        <v>65.400000000000006</v>
      </c>
      <c r="R539" s="34">
        <v>4.1500000000000004</v>
      </c>
      <c r="S539" s="34">
        <v>4150</v>
      </c>
      <c r="T539" s="34">
        <v>1.56</v>
      </c>
      <c r="U539" s="34">
        <f t="shared" si="9"/>
        <v>930</v>
      </c>
      <c r="V539" s="34">
        <f>VLOOKUP(U539,'Powder Core Toroid OD'!$A$2:$B$36,2,FALSE)</f>
        <v>26.9</v>
      </c>
    </row>
    <row r="540" spans="1:22" hidden="1">
      <c r="A540" s="42">
        <v>58906</v>
      </c>
      <c r="B540" s="34" t="s">
        <v>508</v>
      </c>
      <c r="C540" s="158">
        <v>906</v>
      </c>
      <c r="D540" s="34">
        <v>125</v>
      </c>
      <c r="E540" s="34" t="s">
        <v>503</v>
      </c>
      <c r="F540" s="34">
        <v>178</v>
      </c>
      <c r="G540" s="34" t="s">
        <v>0</v>
      </c>
      <c r="H540" s="34">
        <v>19.600000000000001</v>
      </c>
      <c r="I540" s="34">
        <v>196</v>
      </c>
      <c r="J540" s="34">
        <v>1.8979999999999999</v>
      </c>
      <c r="K540" s="40">
        <v>48.2</v>
      </c>
      <c r="L540" s="34">
        <v>3.1080000000000001</v>
      </c>
      <c r="M540" s="34">
        <v>78.95</v>
      </c>
      <c r="N540" s="41">
        <v>0.67</v>
      </c>
      <c r="O540" s="34">
        <v>17.100000000000001</v>
      </c>
      <c r="P540" s="34">
        <v>2.21</v>
      </c>
      <c r="Q540" s="34">
        <v>221</v>
      </c>
      <c r="R540" s="34">
        <v>43.4</v>
      </c>
      <c r="S540" s="34">
        <v>43400</v>
      </c>
      <c r="T540" s="34">
        <v>18.2</v>
      </c>
      <c r="U540" s="34">
        <f t="shared" si="9"/>
        <v>906</v>
      </c>
      <c r="V540" s="34">
        <f>VLOOKUP(U540,'Powder Core Toroid OD'!$A$2:$B$36,2,FALSE)</f>
        <v>77.8</v>
      </c>
    </row>
    <row r="541" spans="1:22" hidden="1">
      <c r="A541" s="42">
        <v>58907</v>
      </c>
      <c r="B541" s="34" t="s">
        <v>507</v>
      </c>
      <c r="C541" s="158">
        <v>906</v>
      </c>
      <c r="D541" s="34">
        <v>60</v>
      </c>
      <c r="E541" s="34" t="s">
        <v>503</v>
      </c>
      <c r="F541" s="34">
        <v>85</v>
      </c>
      <c r="G541" s="34" t="s">
        <v>0</v>
      </c>
      <c r="H541" s="34">
        <v>19.600000000000001</v>
      </c>
      <c r="I541" s="34">
        <v>196</v>
      </c>
      <c r="J541" s="34">
        <v>1.8979999999999999</v>
      </c>
      <c r="K541" s="40">
        <v>48.2</v>
      </c>
      <c r="L541" s="34">
        <v>3.1080000000000001</v>
      </c>
      <c r="M541" s="34">
        <v>78.95</v>
      </c>
      <c r="N541" s="41">
        <v>0.67</v>
      </c>
      <c r="O541" s="34">
        <v>17.100000000000001</v>
      </c>
      <c r="P541" s="34">
        <v>2.21</v>
      </c>
      <c r="Q541" s="34">
        <v>221</v>
      </c>
      <c r="R541" s="34">
        <v>43.4</v>
      </c>
      <c r="S541" s="34">
        <v>43400</v>
      </c>
      <c r="T541" s="34">
        <v>18.2</v>
      </c>
      <c r="U541" s="34">
        <f t="shared" si="9"/>
        <v>906</v>
      </c>
      <c r="V541" s="34">
        <f>VLOOKUP(U541,'Powder Core Toroid OD'!$A$2:$B$36,2,FALSE)</f>
        <v>77.8</v>
      </c>
    </row>
    <row r="542" spans="1:22" hidden="1">
      <c r="A542" s="42">
        <v>58908</v>
      </c>
      <c r="B542" s="34" t="s">
        <v>598</v>
      </c>
      <c r="C542" s="158">
        <v>906</v>
      </c>
      <c r="D542" s="34">
        <v>26</v>
      </c>
      <c r="E542" s="34" t="s">
        <v>503</v>
      </c>
      <c r="F542" s="34">
        <v>37</v>
      </c>
      <c r="G542" s="34" t="s">
        <v>0</v>
      </c>
      <c r="H542" s="34">
        <v>19.600000000000001</v>
      </c>
      <c r="I542" s="34">
        <v>196</v>
      </c>
      <c r="J542" s="34">
        <v>1.8979999999999999</v>
      </c>
      <c r="K542" s="40">
        <v>48.2</v>
      </c>
      <c r="L542" s="34">
        <v>3.1080000000000001</v>
      </c>
      <c r="M542" s="34">
        <v>78.95</v>
      </c>
      <c r="N542" s="41">
        <v>0.67</v>
      </c>
      <c r="O542" s="34">
        <v>17.100000000000001</v>
      </c>
      <c r="P542" s="34">
        <v>2.21</v>
      </c>
      <c r="Q542" s="34">
        <v>221</v>
      </c>
      <c r="R542" s="34">
        <v>43.4</v>
      </c>
      <c r="S542" s="34">
        <v>43400</v>
      </c>
      <c r="T542" s="34">
        <v>18.2</v>
      </c>
      <c r="U542" s="34">
        <f t="shared" si="9"/>
        <v>906</v>
      </c>
      <c r="V542" s="34">
        <f>VLOOKUP(U542,'Powder Core Toroid OD'!$A$2:$B$36,2,FALSE)</f>
        <v>77.8</v>
      </c>
    </row>
    <row r="543" spans="1:22" hidden="1">
      <c r="A543" s="42">
        <v>58909</v>
      </c>
      <c r="B543" s="34" t="s">
        <v>597</v>
      </c>
      <c r="C543" s="158">
        <v>906</v>
      </c>
      <c r="D543" s="34">
        <v>14</v>
      </c>
      <c r="E543" s="34" t="s">
        <v>503</v>
      </c>
      <c r="F543" s="34">
        <v>20</v>
      </c>
      <c r="G543" s="34" t="s">
        <v>0</v>
      </c>
      <c r="H543" s="34">
        <v>19.600000000000001</v>
      </c>
      <c r="I543" s="34">
        <v>196</v>
      </c>
      <c r="J543" s="34">
        <v>1.8979999999999999</v>
      </c>
      <c r="K543" s="40">
        <v>48.2</v>
      </c>
      <c r="L543" s="34">
        <v>3.1080000000000001</v>
      </c>
      <c r="M543" s="34">
        <v>78.95</v>
      </c>
      <c r="N543" s="41">
        <v>0.67</v>
      </c>
      <c r="O543" s="34">
        <v>17.100000000000001</v>
      </c>
      <c r="P543" s="34">
        <v>2.21</v>
      </c>
      <c r="Q543" s="34">
        <v>221</v>
      </c>
      <c r="R543" s="34">
        <v>43.4</v>
      </c>
      <c r="S543" s="34">
        <v>43400</v>
      </c>
      <c r="T543" s="34">
        <v>18.2</v>
      </c>
      <c r="U543" s="34">
        <f t="shared" si="9"/>
        <v>906</v>
      </c>
      <c r="V543" s="34">
        <f>VLOOKUP(U543,'Powder Core Toroid OD'!$A$2:$B$36,2,FALSE)</f>
        <v>77.8</v>
      </c>
    </row>
    <row r="544" spans="1:22" hidden="1">
      <c r="A544" s="42">
        <v>58928</v>
      </c>
      <c r="B544" s="34" t="s">
        <v>506</v>
      </c>
      <c r="C544" s="158">
        <v>930</v>
      </c>
      <c r="D544" s="34">
        <v>160</v>
      </c>
      <c r="E544" s="34" t="s">
        <v>503</v>
      </c>
      <c r="F544" s="34">
        <v>201</v>
      </c>
      <c r="G544" s="34" t="s">
        <v>0</v>
      </c>
      <c r="H544" s="34">
        <v>6.35</v>
      </c>
      <c r="I544" s="34">
        <v>63.5</v>
      </c>
      <c r="J544" s="34">
        <v>0.55500000000000005</v>
      </c>
      <c r="K544" s="34">
        <v>14.1</v>
      </c>
      <c r="L544" s="41">
        <v>1.0900000000000001</v>
      </c>
      <c r="M544" s="34">
        <v>27.69</v>
      </c>
      <c r="N544" s="41">
        <v>0.47</v>
      </c>
      <c r="O544" s="35">
        <v>12</v>
      </c>
      <c r="P544" s="34">
        <v>0.65400000000000003</v>
      </c>
      <c r="Q544" s="34">
        <v>65.400000000000006</v>
      </c>
      <c r="R544" s="34">
        <v>4.1500000000000004</v>
      </c>
      <c r="S544" s="34">
        <v>4150</v>
      </c>
      <c r="T544" s="34">
        <v>1.56</v>
      </c>
      <c r="U544" s="34">
        <f t="shared" si="9"/>
        <v>930</v>
      </c>
      <c r="V544" s="34">
        <f>VLOOKUP(U544,'Powder Core Toroid OD'!$A$2:$B$36,2,FALSE)</f>
        <v>26.9</v>
      </c>
    </row>
    <row r="545" spans="1:22" hidden="1">
      <c r="A545" s="42">
        <v>58929</v>
      </c>
      <c r="B545" s="34" t="s">
        <v>505</v>
      </c>
      <c r="C545" s="158">
        <v>930</v>
      </c>
      <c r="D545" s="34">
        <v>147</v>
      </c>
      <c r="E545" s="34" t="s">
        <v>503</v>
      </c>
      <c r="F545" s="34">
        <v>185</v>
      </c>
      <c r="G545" s="34" t="s">
        <v>0</v>
      </c>
      <c r="H545" s="34">
        <v>6.35</v>
      </c>
      <c r="I545" s="34">
        <v>63.5</v>
      </c>
      <c r="J545" s="34">
        <v>0.55500000000000005</v>
      </c>
      <c r="K545" s="34">
        <v>14.1</v>
      </c>
      <c r="L545" s="41">
        <v>1.0900000000000001</v>
      </c>
      <c r="M545" s="34">
        <v>27.69</v>
      </c>
      <c r="N545" s="41">
        <v>0.47</v>
      </c>
      <c r="O545" s="35">
        <v>12</v>
      </c>
      <c r="P545" s="34">
        <v>0.65400000000000003</v>
      </c>
      <c r="Q545" s="34">
        <v>65.400000000000006</v>
      </c>
      <c r="R545" s="34">
        <v>4.1500000000000004</v>
      </c>
      <c r="S545" s="34">
        <v>4150</v>
      </c>
      <c r="T545" s="34">
        <v>1.56</v>
      </c>
      <c r="U545" s="34">
        <f t="shared" si="9"/>
        <v>930</v>
      </c>
      <c r="V545" s="34">
        <f>VLOOKUP(U545,'Powder Core Toroid OD'!$A$2:$B$36,2,FALSE)</f>
        <v>26.9</v>
      </c>
    </row>
    <row r="546" spans="1:22" hidden="1">
      <c r="A546" s="42">
        <v>58930</v>
      </c>
      <c r="B546" s="34" t="s">
        <v>504</v>
      </c>
      <c r="C546" s="158">
        <v>930</v>
      </c>
      <c r="D546" s="34">
        <v>125</v>
      </c>
      <c r="E546" s="34" t="s">
        <v>503</v>
      </c>
      <c r="F546" s="34">
        <v>157</v>
      </c>
      <c r="G546" s="34" t="s">
        <v>0</v>
      </c>
      <c r="H546" s="34">
        <v>6.35</v>
      </c>
      <c r="I546" s="34">
        <v>63.5</v>
      </c>
      <c r="J546" s="34">
        <v>0.55500000000000005</v>
      </c>
      <c r="K546" s="34">
        <v>14.1</v>
      </c>
      <c r="L546" s="41">
        <v>1.0900000000000001</v>
      </c>
      <c r="M546" s="34">
        <v>27.69</v>
      </c>
      <c r="N546" s="41">
        <v>0.47</v>
      </c>
      <c r="O546" s="35">
        <v>12</v>
      </c>
      <c r="P546" s="34">
        <v>0.65400000000000003</v>
      </c>
      <c r="Q546" s="34">
        <v>65.400000000000006</v>
      </c>
      <c r="R546" s="34">
        <v>4.1500000000000004</v>
      </c>
      <c r="S546" s="34">
        <v>4150</v>
      </c>
      <c r="T546" s="34">
        <v>1.56</v>
      </c>
      <c r="U546" s="34">
        <f t="shared" si="9"/>
        <v>930</v>
      </c>
      <c r="V546" s="34">
        <f>VLOOKUP(U546,'Powder Core Toroid OD'!$A$2:$B$36,2,FALSE)</f>
        <v>26.9</v>
      </c>
    </row>
    <row r="547" spans="1:22" hidden="1">
      <c r="A547" s="42">
        <v>58932</v>
      </c>
      <c r="B547" s="34" t="s">
        <v>596</v>
      </c>
      <c r="C547" s="158">
        <v>930</v>
      </c>
      <c r="D547" s="34">
        <v>26</v>
      </c>
      <c r="E547" s="34" t="s">
        <v>503</v>
      </c>
      <c r="F547" s="34">
        <v>32</v>
      </c>
      <c r="G547" s="34" t="s">
        <v>0</v>
      </c>
      <c r="H547" s="34">
        <v>6.35</v>
      </c>
      <c r="I547" s="34">
        <v>63.5</v>
      </c>
      <c r="J547" s="34">
        <v>0.55500000000000005</v>
      </c>
      <c r="K547" s="34">
        <v>14.1</v>
      </c>
      <c r="L547" s="41">
        <v>1.0900000000000001</v>
      </c>
      <c r="M547" s="34">
        <v>27.69</v>
      </c>
      <c r="N547" s="41">
        <v>0.47</v>
      </c>
      <c r="O547" s="35">
        <v>12</v>
      </c>
      <c r="P547" s="34">
        <v>0.65400000000000003</v>
      </c>
      <c r="Q547" s="34">
        <v>65.400000000000006</v>
      </c>
      <c r="R547" s="34">
        <v>4.1500000000000004</v>
      </c>
      <c r="S547" s="34">
        <v>4150</v>
      </c>
      <c r="T547" s="34">
        <v>1.56</v>
      </c>
      <c r="U547" s="34">
        <f t="shared" si="9"/>
        <v>930</v>
      </c>
      <c r="V547" s="34">
        <f>VLOOKUP(U547,'Powder Core Toroid OD'!$A$2:$B$36,2,FALSE)</f>
        <v>26.9</v>
      </c>
    </row>
    <row r="548" spans="1:22" hidden="1">
      <c r="A548" s="42">
        <v>58933</v>
      </c>
      <c r="B548" s="34" t="s">
        <v>595</v>
      </c>
      <c r="C548" s="158">
        <v>930</v>
      </c>
      <c r="D548" s="34">
        <v>14</v>
      </c>
      <c r="E548" s="34" t="s">
        <v>503</v>
      </c>
      <c r="F548" s="34">
        <v>18</v>
      </c>
      <c r="G548" s="34" t="s">
        <v>0</v>
      </c>
      <c r="H548" s="34">
        <v>6.35</v>
      </c>
      <c r="I548" s="34">
        <v>63.5</v>
      </c>
      <c r="J548" s="34">
        <v>0.55500000000000005</v>
      </c>
      <c r="K548" s="34">
        <v>14.1</v>
      </c>
      <c r="L548" s="41">
        <v>1.0900000000000001</v>
      </c>
      <c r="M548" s="34">
        <v>27.69</v>
      </c>
      <c r="N548" s="41">
        <v>0.47</v>
      </c>
      <c r="O548" s="35">
        <v>12</v>
      </c>
      <c r="P548" s="34">
        <v>0.65400000000000003</v>
      </c>
      <c r="Q548" s="34">
        <v>65.400000000000006</v>
      </c>
      <c r="R548" s="34">
        <v>4.1500000000000004</v>
      </c>
      <c r="S548" s="34">
        <v>4150</v>
      </c>
      <c r="T548" s="34">
        <v>1.56</v>
      </c>
      <c r="U548" s="34">
        <f t="shared" si="9"/>
        <v>930</v>
      </c>
      <c r="V548" s="34">
        <f>VLOOKUP(U548,'Powder Core Toroid OD'!$A$2:$B$36,2,FALSE)</f>
        <v>26.9</v>
      </c>
    </row>
    <row r="549" spans="1:22" customFormat="1" hidden="1">
      <c r="A549" s="8">
        <v>6527</v>
      </c>
      <c r="B549" t="s">
        <v>316</v>
      </c>
      <c r="C549" s="1" t="s">
        <v>679</v>
      </c>
      <c r="D549" s="1">
        <v>26</v>
      </c>
      <c r="E549" s="1" t="s">
        <v>298</v>
      </c>
      <c r="F549" s="1">
        <v>162</v>
      </c>
      <c r="G549" s="1" t="s">
        <v>297</v>
      </c>
      <c r="H549" s="1">
        <v>14.7</v>
      </c>
      <c r="I549" s="1">
        <v>147</v>
      </c>
      <c r="J549" s="1">
        <v>1.2949999999999999</v>
      </c>
      <c r="K549" s="1">
        <v>32.89</v>
      </c>
      <c r="L549" s="1">
        <v>2.6150000000000002</v>
      </c>
      <c r="M549" s="1">
        <v>66.42</v>
      </c>
      <c r="N549" s="1">
        <v>1.079</v>
      </c>
      <c r="O549" s="1">
        <v>27.41</v>
      </c>
      <c r="P549" s="4">
        <v>5.4</v>
      </c>
      <c r="Q549" s="1">
        <v>540</v>
      </c>
      <c r="R549" s="1">
        <v>79.400000000000006</v>
      </c>
      <c r="S549" s="1">
        <v>79400</v>
      </c>
      <c r="T549" s="1"/>
    </row>
    <row r="550" spans="1:22" customFormat="1" hidden="1">
      <c r="A550" s="8">
        <v>6527</v>
      </c>
      <c r="B550" t="s">
        <v>315</v>
      </c>
      <c r="C550" s="1" t="s">
        <v>679</v>
      </c>
      <c r="D550" s="1">
        <v>40</v>
      </c>
      <c r="E550" s="1" t="s">
        <v>298</v>
      </c>
      <c r="F550" s="1">
        <v>230</v>
      </c>
      <c r="G550" s="1" t="s">
        <v>297</v>
      </c>
      <c r="H550" s="1">
        <v>14.7</v>
      </c>
      <c r="I550" s="1">
        <v>147</v>
      </c>
      <c r="J550" s="1">
        <v>1.2949999999999999</v>
      </c>
      <c r="K550" s="1">
        <v>32.89</v>
      </c>
      <c r="L550" s="1">
        <v>2.6150000000000002</v>
      </c>
      <c r="M550" s="1">
        <v>66.42</v>
      </c>
      <c r="N550" s="1">
        <v>1.079</v>
      </c>
      <c r="O550" s="1">
        <v>27.41</v>
      </c>
      <c r="P550" s="4">
        <v>5.4</v>
      </c>
      <c r="Q550" s="1">
        <v>540</v>
      </c>
      <c r="R550" s="1">
        <v>79.400000000000006</v>
      </c>
      <c r="S550" s="1">
        <v>79400</v>
      </c>
      <c r="T550" s="1"/>
    </row>
    <row r="551" spans="1:22" customFormat="1" hidden="1">
      <c r="A551" s="8">
        <v>6527</v>
      </c>
      <c r="B551" t="s">
        <v>314</v>
      </c>
      <c r="C551" s="1" t="s">
        <v>679</v>
      </c>
      <c r="D551" s="1">
        <v>60</v>
      </c>
      <c r="E551" s="1" t="s">
        <v>298</v>
      </c>
      <c r="F551" s="1">
        <v>300</v>
      </c>
      <c r="G551" s="1" t="s">
        <v>297</v>
      </c>
      <c r="H551" s="1">
        <v>14.7</v>
      </c>
      <c r="I551" s="1">
        <v>147</v>
      </c>
      <c r="J551" s="1">
        <v>1.2949999999999999</v>
      </c>
      <c r="K551" s="1">
        <v>32.89</v>
      </c>
      <c r="L551" s="1">
        <v>2.6150000000000002</v>
      </c>
      <c r="M551" s="1">
        <v>66.42</v>
      </c>
      <c r="N551" s="1">
        <v>1.079</v>
      </c>
      <c r="O551" s="1">
        <v>27.41</v>
      </c>
      <c r="P551" s="4">
        <v>5.4</v>
      </c>
      <c r="Q551" s="1">
        <v>540</v>
      </c>
      <c r="R551" s="1">
        <v>79.400000000000006</v>
      </c>
      <c r="S551" s="1">
        <v>79400</v>
      </c>
      <c r="T551" s="1"/>
    </row>
    <row r="552" spans="1:22" customFormat="1" hidden="1">
      <c r="A552" s="8">
        <v>6527</v>
      </c>
      <c r="B552" t="s">
        <v>313</v>
      </c>
      <c r="C552" s="1" t="s">
        <v>679</v>
      </c>
      <c r="D552" s="1">
        <v>26</v>
      </c>
      <c r="E552" s="1" t="s">
        <v>298</v>
      </c>
      <c r="F552" s="1">
        <v>89</v>
      </c>
      <c r="G552" s="1" t="s">
        <v>301</v>
      </c>
      <c r="H552" s="1">
        <v>21.9</v>
      </c>
      <c r="I552" s="1">
        <v>219</v>
      </c>
      <c r="J552" s="1">
        <v>1.292</v>
      </c>
      <c r="K552" s="1">
        <v>32.82</v>
      </c>
      <c r="L552" s="1">
        <v>2.6179999999999999</v>
      </c>
      <c r="M552" s="4">
        <v>66.5</v>
      </c>
      <c r="N552" s="1">
        <v>1.079</v>
      </c>
      <c r="O552" s="1">
        <v>27.41</v>
      </c>
      <c r="P552" s="4">
        <v>2.7</v>
      </c>
      <c r="Q552" s="1">
        <v>270</v>
      </c>
      <c r="R552" s="1">
        <v>59.1</v>
      </c>
      <c r="S552" s="1">
        <v>59100</v>
      </c>
      <c r="T552" s="1"/>
    </row>
    <row r="553" spans="1:22" customFormat="1" hidden="1">
      <c r="A553" s="8">
        <v>6527</v>
      </c>
      <c r="B553" t="s">
        <v>312</v>
      </c>
      <c r="C553" s="1" t="s">
        <v>679</v>
      </c>
      <c r="D553" s="1">
        <v>60</v>
      </c>
      <c r="E553" s="1" t="s">
        <v>298</v>
      </c>
      <c r="F553" s="1">
        <v>165</v>
      </c>
      <c r="G553" s="1" t="s">
        <v>301</v>
      </c>
      <c r="H553" s="1">
        <v>21.9</v>
      </c>
      <c r="I553" s="1">
        <v>219</v>
      </c>
      <c r="J553" s="1">
        <v>1.292</v>
      </c>
      <c r="K553" s="1">
        <v>32.82</v>
      </c>
      <c r="L553" s="1">
        <v>2.6179999999999999</v>
      </c>
      <c r="M553" s="4">
        <v>66.5</v>
      </c>
      <c r="N553" s="1">
        <v>1.079</v>
      </c>
      <c r="O553" s="1">
        <v>27.41</v>
      </c>
      <c r="P553" s="4">
        <v>2.7</v>
      </c>
      <c r="Q553" s="1">
        <v>270</v>
      </c>
      <c r="R553" s="1">
        <v>59.1</v>
      </c>
      <c r="S553" s="1">
        <v>59100</v>
      </c>
      <c r="T553" s="1"/>
    </row>
    <row r="554" spans="1:22" customFormat="1" hidden="1">
      <c r="A554" s="8">
        <v>6533</v>
      </c>
      <c r="B554" t="s">
        <v>311</v>
      </c>
      <c r="C554" s="1" t="s">
        <v>680</v>
      </c>
      <c r="D554" s="1">
        <v>26</v>
      </c>
      <c r="E554" s="1" t="s">
        <v>298</v>
      </c>
      <c r="F554" s="1">
        <v>82</v>
      </c>
      <c r="G554" s="1" t="s">
        <v>301</v>
      </c>
      <c r="H554" s="1">
        <v>19.899999999999999</v>
      </c>
      <c r="I554" s="1">
        <v>199</v>
      </c>
      <c r="J554" s="1">
        <v>1.292</v>
      </c>
      <c r="K554" s="1">
        <v>32.82</v>
      </c>
      <c r="L554" s="1">
        <v>2.6179999999999999</v>
      </c>
      <c r="M554" s="4">
        <v>66.5</v>
      </c>
      <c r="N554" s="1">
        <v>0.80400000000000005</v>
      </c>
      <c r="O554" s="1">
        <v>20.420000000000002</v>
      </c>
      <c r="P554" s="4">
        <v>2.5</v>
      </c>
      <c r="Q554" s="1">
        <v>250</v>
      </c>
      <c r="R554" s="1">
        <v>49.8</v>
      </c>
      <c r="S554" s="1">
        <v>49800</v>
      </c>
      <c r="T554" s="1"/>
    </row>
    <row r="555" spans="1:22" customFormat="1" hidden="1">
      <c r="A555" s="8">
        <v>7228</v>
      </c>
      <c r="B555" t="s">
        <v>310</v>
      </c>
      <c r="C555" s="1" t="s">
        <v>681</v>
      </c>
      <c r="D555" s="1">
        <v>26</v>
      </c>
      <c r="E555" s="1" t="s">
        <v>298</v>
      </c>
      <c r="F555" s="1">
        <v>130</v>
      </c>
      <c r="G555" s="1" t="s">
        <v>297</v>
      </c>
      <c r="H555" s="1">
        <v>13.7</v>
      </c>
      <c r="I555" s="1">
        <v>137</v>
      </c>
      <c r="J555" s="2">
        <v>1.1200000000000001</v>
      </c>
      <c r="K555" s="1">
        <v>28.45</v>
      </c>
      <c r="L555" s="1">
        <v>2.8929999999999998</v>
      </c>
      <c r="M555" s="1">
        <v>73.48</v>
      </c>
      <c r="N555" s="1">
        <v>0.76500000000000001</v>
      </c>
      <c r="O555" s="1">
        <v>19.5</v>
      </c>
      <c r="P555" s="1">
        <v>3.68</v>
      </c>
      <c r="Q555" s="1">
        <v>368</v>
      </c>
      <c r="R555" s="1">
        <v>50.4</v>
      </c>
      <c r="S555" s="1">
        <v>50400</v>
      </c>
      <c r="T555" s="1"/>
    </row>
    <row r="556" spans="1:22" customFormat="1" hidden="1">
      <c r="A556" s="8">
        <v>7228</v>
      </c>
      <c r="B556" t="s">
        <v>309</v>
      </c>
      <c r="C556" s="1" t="s">
        <v>681</v>
      </c>
      <c r="D556" s="1">
        <v>40</v>
      </c>
      <c r="E556" s="1" t="s">
        <v>298</v>
      </c>
      <c r="F556" s="1">
        <v>173</v>
      </c>
      <c r="G556" s="1" t="s">
        <v>297</v>
      </c>
      <c r="H556" s="1">
        <v>13.7</v>
      </c>
      <c r="I556" s="1">
        <v>137</v>
      </c>
      <c r="J556" s="2">
        <v>1.1200000000000001</v>
      </c>
      <c r="K556" s="1">
        <v>28.45</v>
      </c>
      <c r="L556" s="1">
        <v>2.8929999999999998</v>
      </c>
      <c r="M556" s="1">
        <v>73.48</v>
      </c>
      <c r="N556" s="1">
        <v>0.76500000000000001</v>
      </c>
      <c r="O556" s="1">
        <v>19.5</v>
      </c>
      <c r="P556" s="1">
        <v>3.68</v>
      </c>
      <c r="Q556" s="1">
        <v>368</v>
      </c>
      <c r="R556" s="1">
        <v>50.4</v>
      </c>
      <c r="S556" s="1">
        <v>50400</v>
      </c>
      <c r="T556" s="1"/>
    </row>
    <row r="557" spans="1:22" customFormat="1" hidden="1">
      <c r="A557" s="8">
        <v>7228</v>
      </c>
      <c r="B557" t="s">
        <v>308</v>
      </c>
      <c r="C557" s="1" t="s">
        <v>681</v>
      </c>
      <c r="D557" s="1">
        <v>60</v>
      </c>
      <c r="E557" s="1" t="s">
        <v>298</v>
      </c>
      <c r="F557" s="1">
        <v>236</v>
      </c>
      <c r="G557" s="1" t="s">
        <v>297</v>
      </c>
      <c r="H557" s="1">
        <v>13.7</v>
      </c>
      <c r="I557" s="1">
        <v>137</v>
      </c>
      <c r="J557" s="2">
        <v>1.1200000000000001</v>
      </c>
      <c r="K557" s="1">
        <v>28.45</v>
      </c>
      <c r="L557" s="1">
        <v>2.8929999999999998</v>
      </c>
      <c r="M557" s="1">
        <v>73.48</v>
      </c>
      <c r="N557" s="1">
        <v>0.76500000000000001</v>
      </c>
      <c r="O557" s="1">
        <v>19.5</v>
      </c>
      <c r="P557" s="1">
        <v>3.68</v>
      </c>
      <c r="Q557" s="1">
        <v>368</v>
      </c>
      <c r="R557" s="1">
        <v>50.4</v>
      </c>
      <c r="S557" s="1">
        <v>50400</v>
      </c>
      <c r="T557" s="1"/>
    </row>
    <row r="558" spans="1:22" customFormat="1" hidden="1">
      <c r="A558" s="8">
        <v>7236</v>
      </c>
      <c r="B558" t="s">
        <v>307</v>
      </c>
      <c r="C558" s="1" t="s">
        <v>682</v>
      </c>
      <c r="D558" s="1">
        <v>26</v>
      </c>
      <c r="E558" s="1" t="s">
        <v>298</v>
      </c>
      <c r="F558" s="1">
        <v>87</v>
      </c>
      <c r="G558" s="1" t="s">
        <v>301</v>
      </c>
      <c r="H558" s="1">
        <v>21.9</v>
      </c>
      <c r="I558" s="1">
        <v>219</v>
      </c>
      <c r="J558" s="1">
        <v>1.425</v>
      </c>
      <c r="K558" s="4">
        <v>36.200000000000003</v>
      </c>
      <c r="L558" s="1">
        <v>2.8849999999999998</v>
      </c>
      <c r="M558" s="1">
        <v>73.28</v>
      </c>
      <c r="N558" s="1">
        <v>0.83599999999999997</v>
      </c>
      <c r="O558" s="1">
        <v>21.3</v>
      </c>
      <c r="P558" s="4">
        <v>2.9</v>
      </c>
      <c r="Q558" s="1">
        <v>290</v>
      </c>
      <c r="R558" s="1">
        <v>63.5</v>
      </c>
      <c r="S558" s="1">
        <v>63500</v>
      </c>
      <c r="T558" s="1"/>
    </row>
    <row r="559" spans="1:22" hidden="1">
      <c r="A559" s="42">
        <v>77020</v>
      </c>
      <c r="B559" s="34" t="s">
        <v>502</v>
      </c>
      <c r="C559" s="158" t="s">
        <v>692</v>
      </c>
      <c r="D559" s="34">
        <v>125</v>
      </c>
      <c r="E559" s="34" t="s">
        <v>298</v>
      </c>
      <c r="F559" s="34">
        <v>50</v>
      </c>
      <c r="G559" s="34" t="s">
        <v>0</v>
      </c>
      <c r="H559" s="34">
        <v>1.36</v>
      </c>
      <c r="I559" s="34">
        <v>13.6</v>
      </c>
      <c r="J559" s="41">
        <v>0.09</v>
      </c>
      <c r="K559" s="34">
        <v>2.2799999999999998</v>
      </c>
      <c r="L559" s="34">
        <v>0.27500000000000002</v>
      </c>
      <c r="M559" s="34">
        <v>6.99</v>
      </c>
      <c r="N559" s="34">
        <v>0.13500000000000001</v>
      </c>
      <c r="O559" s="34">
        <v>3.43</v>
      </c>
      <c r="P559" s="34">
        <v>4.7E-2</v>
      </c>
      <c r="Q559" s="34">
        <v>4.7</v>
      </c>
      <c r="R559" s="41">
        <v>6.4000000000000001E-2</v>
      </c>
      <c r="S559" s="35">
        <v>64</v>
      </c>
      <c r="T559" s="34">
        <v>4.0800000000000003E-2</v>
      </c>
      <c r="U559" s="34">
        <f t="shared" ref="U559:U622" si="10">C559*1</f>
        <v>20</v>
      </c>
      <c r="V559" s="34">
        <f>VLOOKUP(U559,'Powder Core Toroid OD'!$A$2:$B$36,2,FALSE)</f>
        <v>6.35</v>
      </c>
    </row>
    <row r="560" spans="1:22" hidden="1">
      <c r="A560" s="42">
        <v>77021</v>
      </c>
      <c r="B560" s="34" t="s">
        <v>501</v>
      </c>
      <c r="C560" s="158" t="s">
        <v>692</v>
      </c>
      <c r="D560" s="34">
        <v>60</v>
      </c>
      <c r="E560" s="34" t="s">
        <v>298</v>
      </c>
      <c r="F560" s="34">
        <v>24</v>
      </c>
      <c r="G560" s="34" t="s">
        <v>0</v>
      </c>
      <c r="H560" s="34">
        <v>1.36</v>
      </c>
      <c r="I560" s="34">
        <v>13.6</v>
      </c>
      <c r="J560" s="41">
        <v>0.09</v>
      </c>
      <c r="K560" s="34">
        <v>2.2799999999999998</v>
      </c>
      <c r="L560" s="34">
        <v>0.27500000000000002</v>
      </c>
      <c r="M560" s="34">
        <v>6.99</v>
      </c>
      <c r="N560" s="34">
        <v>0.13500000000000001</v>
      </c>
      <c r="O560" s="34">
        <v>3.43</v>
      </c>
      <c r="P560" s="34">
        <v>4.7E-2</v>
      </c>
      <c r="Q560" s="34">
        <v>4.7</v>
      </c>
      <c r="R560" s="41">
        <v>6.4000000000000001E-2</v>
      </c>
      <c r="S560" s="35">
        <v>64</v>
      </c>
      <c r="T560" s="34">
        <v>4.0800000000000003E-2</v>
      </c>
      <c r="U560" s="34">
        <f t="shared" si="10"/>
        <v>20</v>
      </c>
      <c r="V560" s="34">
        <f>VLOOKUP(U560,'Powder Core Toroid OD'!$A$2:$B$36,2,FALSE)</f>
        <v>6.35</v>
      </c>
    </row>
    <row r="561" spans="1:22" hidden="1">
      <c r="A561" s="42">
        <v>77030</v>
      </c>
      <c r="B561" s="34" t="s">
        <v>500</v>
      </c>
      <c r="C561" s="158" t="s">
        <v>693</v>
      </c>
      <c r="D561" s="34">
        <v>125</v>
      </c>
      <c r="E561" s="34" t="s">
        <v>298</v>
      </c>
      <c r="F561" s="34">
        <v>52</v>
      </c>
      <c r="G561" s="34" t="s">
        <v>0</v>
      </c>
      <c r="H561" s="34">
        <v>1.79</v>
      </c>
      <c r="I561" s="34">
        <v>17.899999999999999</v>
      </c>
      <c r="J561" s="34">
        <v>0.13600000000000001</v>
      </c>
      <c r="K561" s="34">
        <v>3.45</v>
      </c>
      <c r="L561" s="34">
        <v>0.33500000000000002</v>
      </c>
      <c r="M561" s="34">
        <v>8.51</v>
      </c>
      <c r="N561" s="41">
        <v>0.15</v>
      </c>
      <c r="O561" s="34">
        <v>3.8099999999999996</v>
      </c>
      <c r="P561" s="34">
        <v>5.9900000000000002E-2</v>
      </c>
      <c r="Q561" s="34">
        <v>5.99</v>
      </c>
      <c r="R561" s="34">
        <v>0.107</v>
      </c>
      <c r="S561" s="34">
        <v>107</v>
      </c>
      <c r="T561" s="34">
        <v>9.35E-2</v>
      </c>
      <c r="U561" s="34">
        <f t="shared" si="10"/>
        <v>30</v>
      </c>
      <c r="V561" s="34">
        <f>VLOOKUP(U561,'Powder Core Toroid OD'!$A$2:$B$36,2,FALSE)</f>
        <v>7.87</v>
      </c>
    </row>
    <row r="562" spans="1:22" hidden="1">
      <c r="A562" s="42">
        <v>77031</v>
      </c>
      <c r="B562" s="34" t="s">
        <v>499</v>
      </c>
      <c r="C562" s="158" t="s">
        <v>693</v>
      </c>
      <c r="D562" s="34">
        <v>60</v>
      </c>
      <c r="E562" s="34" t="s">
        <v>298</v>
      </c>
      <c r="F562" s="34">
        <v>25</v>
      </c>
      <c r="G562" s="34" t="s">
        <v>0</v>
      </c>
      <c r="H562" s="34">
        <v>1.79</v>
      </c>
      <c r="I562" s="34">
        <v>17.899999999999999</v>
      </c>
      <c r="J562" s="34">
        <v>0.13600000000000001</v>
      </c>
      <c r="K562" s="34">
        <v>3.45</v>
      </c>
      <c r="L562" s="34">
        <v>0.33500000000000002</v>
      </c>
      <c r="M562" s="34">
        <v>8.51</v>
      </c>
      <c r="N562" s="41">
        <v>0.15</v>
      </c>
      <c r="O562" s="34">
        <v>3.8099999999999996</v>
      </c>
      <c r="P562" s="34">
        <v>5.9900000000000002E-2</v>
      </c>
      <c r="Q562" s="34">
        <v>5.99</v>
      </c>
      <c r="R562" s="34">
        <v>0.107</v>
      </c>
      <c r="S562" s="34">
        <v>107</v>
      </c>
      <c r="T562" s="34">
        <v>9.35E-2</v>
      </c>
      <c r="U562" s="34">
        <f t="shared" si="10"/>
        <v>30</v>
      </c>
      <c r="V562" s="34">
        <f>VLOOKUP(U562,'Powder Core Toroid OD'!$A$2:$B$36,2,FALSE)</f>
        <v>7.87</v>
      </c>
    </row>
    <row r="563" spans="1:22" hidden="1">
      <c r="A563" s="42">
        <v>77040</v>
      </c>
      <c r="B563" s="34" t="s">
        <v>498</v>
      </c>
      <c r="C563" s="158" t="s">
        <v>694</v>
      </c>
      <c r="D563" s="34">
        <v>125</v>
      </c>
      <c r="E563" s="34" t="s">
        <v>298</v>
      </c>
      <c r="F563" s="34">
        <v>66</v>
      </c>
      <c r="G563" s="34" t="s">
        <v>0</v>
      </c>
      <c r="H563" s="40">
        <v>2.2999999999999998</v>
      </c>
      <c r="I563" s="35">
        <v>23</v>
      </c>
      <c r="J563" s="41">
        <v>0.18</v>
      </c>
      <c r="K563" s="34">
        <v>4.57</v>
      </c>
      <c r="L563" s="34">
        <v>0.42499999999999999</v>
      </c>
      <c r="M563" s="34">
        <v>10.8</v>
      </c>
      <c r="N563" s="34">
        <v>0.18099999999999999</v>
      </c>
      <c r="O563" s="34">
        <v>4.5999999999999996</v>
      </c>
      <c r="P563" s="34">
        <v>9.5699999999999993E-2</v>
      </c>
      <c r="Q563" s="34">
        <v>9.5699999999999985</v>
      </c>
      <c r="R563" s="34">
        <v>0.22</v>
      </c>
      <c r="S563" s="34">
        <v>220</v>
      </c>
      <c r="T563" s="34">
        <v>0.16400000000000001</v>
      </c>
      <c r="U563" s="34">
        <f t="shared" si="10"/>
        <v>40</v>
      </c>
      <c r="V563" s="34">
        <f>VLOOKUP(U563,'Powder Core Toroid OD'!$A$2:$B$36,2,FALSE)</f>
        <v>10.199999999999999</v>
      </c>
    </row>
    <row r="564" spans="1:22" hidden="1">
      <c r="A564" s="42">
        <v>77041</v>
      </c>
      <c r="B564" s="34" t="s">
        <v>497</v>
      </c>
      <c r="C564" s="158" t="s">
        <v>694</v>
      </c>
      <c r="D564" s="34">
        <v>60</v>
      </c>
      <c r="E564" s="34" t="s">
        <v>298</v>
      </c>
      <c r="F564" s="34">
        <v>32</v>
      </c>
      <c r="G564" s="34" t="s">
        <v>0</v>
      </c>
      <c r="H564" s="40">
        <v>2.2999999999999998</v>
      </c>
      <c r="I564" s="35">
        <v>23</v>
      </c>
      <c r="J564" s="41">
        <v>0.18</v>
      </c>
      <c r="K564" s="34">
        <v>4.57</v>
      </c>
      <c r="L564" s="34">
        <v>0.42499999999999999</v>
      </c>
      <c r="M564" s="34">
        <v>10.8</v>
      </c>
      <c r="N564" s="34">
        <v>0.18099999999999999</v>
      </c>
      <c r="O564" s="34">
        <v>4.5999999999999996</v>
      </c>
      <c r="P564" s="34">
        <v>9.5699999999999993E-2</v>
      </c>
      <c r="Q564" s="34">
        <v>9.5699999999999985</v>
      </c>
      <c r="R564" s="34">
        <v>0.22</v>
      </c>
      <c r="S564" s="34">
        <v>220</v>
      </c>
      <c r="T564" s="34">
        <v>0.16400000000000001</v>
      </c>
      <c r="U564" s="34">
        <f t="shared" si="10"/>
        <v>40</v>
      </c>
      <c r="V564" s="34">
        <f>VLOOKUP(U564,'Powder Core Toroid OD'!$A$2:$B$36,2,FALSE)</f>
        <v>10.199999999999999</v>
      </c>
    </row>
    <row r="565" spans="1:22" hidden="1">
      <c r="A565" s="42">
        <v>77050</v>
      </c>
      <c r="B565" s="34" t="s">
        <v>496</v>
      </c>
      <c r="C565" s="158" t="s">
        <v>695</v>
      </c>
      <c r="D565" s="34">
        <v>125</v>
      </c>
      <c r="E565" s="34" t="s">
        <v>298</v>
      </c>
      <c r="F565" s="34">
        <v>56</v>
      </c>
      <c r="G565" s="34" t="s">
        <v>0</v>
      </c>
      <c r="H565" s="34">
        <v>3.12</v>
      </c>
      <c r="I565" s="34">
        <v>31.200000000000003</v>
      </c>
      <c r="J565" s="34">
        <v>0.27500000000000002</v>
      </c>
      <c r="K565" s="34">
        <v>6.98</v>
      </c>
      <c r="L565" s="41">
        <v>0.53</v>
      </c>
      <c r="M565" s="34">
        <v>13.5</v>
      </c>
      <c r="N565" s="34">
        <v>0.217</v>
      </c>
      <c r="O565" s="34">
        <v>5.52</v>
      </c>
      <c r="P565" s="34">
        <v>0.109</v>
      </c>
      <c r="Q565" s="34">
        <v>10.9</v>
      </c>
      <c r="R565" s="34">
        <v>0.34</v>
      </c>
      <c r="S565" s="34">
        <v>340</v>
      </c>
      <c r="T565" s="34">
        <v>0.38300000000000001</v>
      </c>
      <c r="U565" s="34">
        <f t="shared" si="10"/>
        <v>50</v>
      </c>
      <c r="V565" s="34">
        <f>VLOOKUP(U565,'Powder Core Toroid OD'!$A$2:$B$36,2,FALSE)</f>
        <v>12.7</v>
      </c>
    </row>
    <row r="566" spans="1:22" hidden="1">
      <c r="A566" s="42">
        <v>77051</v>
      </c>
      <c r="B566" s="34" t="s">
        <v>495</v>
      </c>
      <c r="C566" s="158" t="s">
        <v>695</v>
      </c>
      <c r="D566" s="34">
        <v>60</v>
      </c>
      <c r="E566" s="34" t="s">
        <v>298</v>
      </c>
      <c r="F566" s="34">
        <v>27</v>
      </c>
      <c r="G566" s="34" t="s">
        <v>0</v>
      </c>
      <c r="H566" s="34">
        <v>3.12</v>
      </c>
      <c r="I566" s="34">
        <v>31.200000000000003</v>
      </c>
      <c r="J566" s="34">
        <v>0.27500000000000002</v>
      </c>
      <c r="K566" s="34">
        <v>6.98</v>
      </c>
      <c r="L566" s="41">
        <v>0.53</v>
      </c>
      <c r="M566" s="34">
        <v>13.5</v>
      </c>
      <c r="N566" s="34">
        <v>0.217</v>
      </c>
      <c r="O566" s="34">
        <v>5.52</v>
      </c>
      <c r="P566" s="34">
        <v>0.109</v>
      </c>
      <c r="Q566" s="34">
        <v>10.9</v>
      </c>
      <c r="R566" s="34">
        <v>0.34</v>
      </c>
      <c r="S566" s="34">
        <v>340</v>
      </c>
      <c r="T566" s="34">
        <v>0.38300000000000001</v>
      </c>
      <c r="U566" s="34">
        <f t="shared" si="10"/>
        <v>50</v>
      </c>
      <c r="V566" s="34">
        <f>VLOOKUP(U566,'Powder Core Toroid OD'!$A$2:$B$36,2,FALSE)</f>
        <v>12.7</v>
      </c>
    </row>
    <row r="567" spans="1:22" hidden="1">
      <c r="A567" s="42">
        <v>77052</v>
      </c>
      <c r="B567" s="34" t="s">
        <v>494</v>
      </c>
      <c r="C567" s="158" t="s">
        <v>695</v>
      </c>
      <c r="D567" s="34">
        <v>26</v>
      </c>
      <c r="E567" s="34" t="s">
        <v>298</v>
      </c>
      <c r="F567" s="34">
        <v>12</v>
      </c>
      <c r="G567" s="34" t="s">
        <v>0</v>
      </c>
      <c r="H567" s="34">
        <v>3.12</v>
      </c>
      <c r="I567" s="34">
        <v>31.2</v>
      </c>
      <c r="J567" s="34">
        <v>0.27500000000000002</v>
      </c>
      <c r="K567" s="34">
        <v>6.98</v>
      </c>
      <c r="L567" s="41">
        <v>0.53</v>
      </c>
      <c r="M567" s="34">
        <v>13.5</v>
      </c>
      <c r="N567" s="34">
        <v>0.217</v>
      </c>
      <c r="O567" s="34">
        <v>5.52</v>
      </c>
      <c r="P567" s="34">
        <v>0.109</v>
      </c>
      <c r="Q567" s="34">
        <v>10.9</v>
      </c>
      <c r="R567" s="34">
        <v>0.34</v>
      </c>
      <c r="S567" s="34">
        <v>340</v>
      </c>
      <c r="T567" s="34">
        <v>0.38300000000000001</v>
      </c>
      <c r="U567" s="34">
        <f t="shared" si="10"/>
        <v>50</v>
      </c>
      <c r="V567" s="34">
        <f>VLOOKUP(U567,'Powder Core Toroid OD'!$A$2:$B$36,2,FALSE)</f>
        <v>12.7</v>
      </c>
    </row>
    <row r="568" spans="1:22" hidden="1">
      <c r="A568" s="42">
        <v>77054</v>
      </c>
      <c r="B568" s="34" t="s">
        <v>493</v>
      </c>
      <c r="C568" s="158" t="s">
        <v>695</v>
      </c>
      <c r="D568" s="34">
        <v>90</v>
      </c>
      <c r="E568" s="34" t="s">
        <v>298</v>
      </c>
      <c r="F568" s="34">
        <v>40</v>
      </c>
      <c r="G568" s="34" t="s">
        <v>0</v>
      </c>
      <c r="H568" s="34">
        <v>3.12</v>
      </c>
      <c r="I568" s="34">
        <v>31.200000000000003</v>
      </c>
      <c r="J568" s="34">
        <v>0.27500000000000002</v>
      </c>
      <c r="K568" s="34">
        <v>6.98</v>
      </c>
      <c r="L568" s="41">
        <v>0.53</v>
      </c>
      <c r="M568" s="34">
        <v>13.5</v>
      </c>
      <c r="N568" s="34">
        <v>0.217</v>
      </c>
      <c r="O568" s="34">
        <v>5.52</v>
      </c>
      <c r="P568" s="34">
        <v>0.109</v>
      </c>
      <c r="Q568" s="34">
        <v>10.9</v>
      </c>
      <c r="R568" s="34">
        <v>0.34</v>
      </c>
      <c r="S568" s="34">
        <v>340</v>
      </c>
      <c r="T568" s="34">
        <v>0.38300000000000001</v>
      </c>
      <c r="U568" s="34">
        <f t="shared" si="10"/>
        <v>50</v>
      </c>
      <c r="V568" s="34">
        <f>VLOOKUP(U568,'Powder Core Toroid OD'!$A$2:$B$36,2,FALSE)</f>
        <v>12.7</v>
      </c>
    </row>
    <row r="569" spans="1:22" hidden="1">
      <c r="A569" s="42">
        <v>77055</v>
      </c>
      <c r="B569" s="34" t="s">
        <v>492</v>
      </c>
      <c r="C569" s="158" t="s">
        <v>695</v>
      </c>
      <c r="D569" s="34">
        <v>75</v>
      </c>
      <c r="E569" s="34" t="s">
        <v>298</v>
      </c>
      <c r="F569" s="34">
        <v>34</v>
      </c>
      <c r="G569" s="34" t="s">
        <v>0</v>
      </c>
      <c r="H569" s="34">
        <v>3.12</v>
      </c>
      <c r="I569" s="34">
        <v>31.200000000000003</v>
      </c>
      <c r="J569" s="34">
        <v>0.27500000000000002</v>
      </c>
      <c r="K569" s="34">
        <v>6.98</v>
      </c>
      <c r="L569" s="41">
        <v>0.53</v>
      </c>
      <c r="M569" s="34">
        <v>13.5</v>
      </c>
      <c r="N569" s="34">
        <v>0.217</v>
      </c>
      <c r="O569" s="34">
        <v>5.52</v>
      </c>
      <c r="P569" s="34">
        <v>0.109</v>
      </c>
      <c r="Q569" s="34">
        <v>10.9</v>
      </c>
      <c r="R569" s="34">
        <v>0.34</v>
      </c>
      <c r="S569" s="34">
        <v>340</v>
      </c>
      <c r="T569" s="34">
        <v>0.38300000000000001</v>
      </c>
      <c r="U569" s="34">
        <f t="shared" si="10"/>
        <v>50</v>
      </c>
      <c r="V569" s="34">
        <f>VLOOKUP(U569,'Powder Core Toroid OD'!$A$2:$B$36,2,FALSE)</f>
        <v>12.7</v>
      </c>
    </row>
    <row r="570" spans="1:22" hidden="1">
      <c r="A570" s="42">
        <v>77059</v>
      </c>
      <c r="B570" s="34" t="s">
        <v>491</v>
      </c>
      <c r="C570" s="158">
        <v>310</v>
      </c>
      <c r="D570" s="34">
        <v>60</v>
      </c>
      <c r="E570" s="34" t="s">
        <v>298</v>
      </c>
      <c r="F570" s="34">
        <v>43</v>
      </c>
      <c r="G570" s="34" t="s">
        <v>0</v>
      </c>
      <c r="H570" s="34">
        <v>5.67</v>
      </c>
      <c r="I570" s="34">
        <v>56.7</v>
      </c>
      <c r="J570" s="34">
        <v>0.52500000000000002</v>
      </c>
      <c r="K570" s="34">
        <v>13.3</v>
      </c>
      <c r="L570" s="41">
        <v>0.93</v>
      </c>
      <c r="M570" s="34">
        <v>23.7</v>
      </c>
      <c r="N570" s="41">
        <v>0.33</v>
      </c>
      <c r="O570" s="34">
        <v>8.39</v>
      </c>
      <c r="P570" s="34">
        <v>0.317</v>
      </c>
      <c r="Q570" s="34">
        <v>31.7</v>
      </c>
      <c r="R570" s="40">
        <v>1.8</v>
      </c>
      <c r="S570" s="34">
        <v>1800</v>
      </c>
      <c r="T570" s="34">
        <v>1.39</v>
      </c>
      <c r="U570" s="34">
        <f t="shared" si="10"/>
        <v>310</v>
      </c>
      <c r="V570" s="34">
        <f>VLOOKUP(U570,'Powder Core Toroid OD'!$A$2:$B$36,2,FALSE)</f>
        <v>22.9</v>
      </c>
    </row>
    <row r="571" spans="1:22" hidden="1">
      <c r="A571" s="42">
        <v>77071</v>
      </c>
      <c r="B571" s="34" t="s">
        <v>490</v>
      </c>
      <c r="C571" s="158">
        <v>548</v>
      </c>
      <c r="D571" s="34">
        <v>60</v>
      </c>
      <c r="E571" s="34" t="s">
        <v>298</v>
      </c>
      <c r="F571" s="34">
        <v>61</v>
      </c>
      <c r="G571" s="34" t="s">
        <v>0</v>
      </c>
      <c r="H571" s="34">
        <v>8.14</v>
      </c>
      <c r="I571" s="34">
        <v>81.400000000000006</v>
      </c>
      <c r="J571" s="34">
        <v>0.76600000000000001</v>
      </c>
      <c r="K571" s="34">
        <v>19.399999999999999</v>
      </c>
      <c r="L571" s="34">
        <v>1.325</v>
      </c>
      <c r="M571" s="34">
        <v>33.659999999999997</v>
      </c>
      <c r="N571" s="41">
        <v>0.45</v>
      </c>
      <c r="O571" s="34">
        <v>11.5</v>
      </c>
      <c r="P571" s="34">
        <v>0.65600000000000003</v>
      </c>
      <c r="Q571" s="34">
        <v>65.599999999999994</v>
      </c>
      <c r="R571" s="40">
        <v>5.34</v>
      </c>
      <c r="S571" s="34">
        <v>5340</v>
      </c>
      <c r="T571" s="34">
        <v>2.97</v>
      </c>
      <c r="U571" s="34">
        <f t="shared" si="10"/>
        <v>548</v>
      </c>
      <c r="V571" s="34">
        <f>VLOOKUP(U571,'Powder Core Toroid OD'!$A$2:$B$36,2,FALSE)</f>
        <v>32.799999999999997</v>
      </c>
    </row>
    <row r="572" spans="1:22" hidden="1">
      <c r="A572" s="42">
        <v>77076</v>
      </c>
      <c r="B572" s="34" t="s">
        <v>489</v>
      </c>
      <c r="C572" s="158">
        <v>324</v>
      </c>
      <c r="D572" s="34">
        <v>60</v>
      </c>
      <c r="E572" s="34" t="s">
        <v>298</v>
      </c>
      <c r="F572" s="34">
        <v>56</v>
      </c>
      <c r="G572" s="34" t="s">
        <v>0</v>
      </c>
      <c r="H572" s="34">
        <v>8.98</v>
      </c>
      <c r="I572" s="34">
        <v>89.800000000000011</v>
      </c>
      <c r="J572" s="34">
        <v>0.84799999999999998</v>
      </c>
      <c r="K572" s="34">
        <v>21.5</v>
      </c>
      <c r="L572" s="34">
        <v>1.4450000000000001</v>
      </c>
      <c r="M572" s="34">
        <v>36.71</v>
      </c>
      <c r="N572" s="34">
        <v>0.44700000000000001</v>
      </c>
      <c r="O572" s="34">
        <v>11.4</v>
      </c>
      <c r="P572" s="34">
        <v>0.67800000000000005</v>
      </c>
      <c r="Q572" s="34">
        <v>67.800000000000011</v>
      </c>
      <c r="R572" s="40">
        <v>6.09</v>
      </c>
      <c r="S572" s="34">
        <v>6090</v>
      </c>
      <c r="T572" s="34">
        <v>3.64</v>
      </c>
      <c r="U572" s="34">
        <f t="shared" si="10"/>
        <v>324</v>
      </c>
      <c r="V572" s="34">
        <f>VLOOKUP(U572,'Powder Core Toroid OD'!$A$2:$B$36,2,FALSE)</f>
        <v>35.799999999999997</v>
      </c>
    </row>
    <row r="573" spans="1:22" hidden="1">
      <c r="A573" s="42">
        <v>77083</v>
      </c>
      <c r="B573" s="34" t="s">
        <v>488</v>
      </c>
      <c r="C573" s="158">
        <v>254</v>
      </c>
      <c r="D573" s="34">
        <v>60</v>
      </c>
      <c r="E573" s="34" t="s">
        <v>298</v>
      </c>
      <c r="F573" s="34">
        <v>81</v>
      </c>
      <c r="G573" s="34" t="s">
        <v>0</v>
      </c>
      <c r="H573" s="34">
        <v>9.84</v>
      </c>
      <c r="I573" s="34">
        <v>98.4</v>
      </c>
      <c r="J573" s="34">
        <v>0.91800000000000004</v>
      </c>
      <c r="K573" s="34">
        <v>23.3</v>
      </c>
      <c r="L573" s="34">
        <v>1.605</v>
      </c>
      <c r="M573" s="34">
        <v>40.770000000000003</v>
      </c>
      <c r="N573" s="34">
        <v>0.60499999999999998</v>
      </c>
      <c r="O573" s="34">
        <v>15.4</v>
      </c>
      <c r="P573" s="34">
        <v>1.07</v>
      </c>
      <c r="Q573" s="34">
        <v>107</v>
      </c>
      <c r="R573" s="35">
        <v>10.6</v>
      </c>
      <c r="S573" s="34">
        <v>10600</v>
      </c>
      <c r="T573" s="34">
        <v>4.2699999999999996</v>
      </c>
      <c r="U573" s="34">
        <f t="shared" si="10"/>
        <v>254</v>
      </c>
      <c r="V573" s="34">
        <f>VLOOKUP(U573,'Powder Core Toroid OD'!$A$2:$B$36,2,FALSE)</f>
        <v>39.9</v>
      </c>
    </row>
    <row r="574" spans="1:22" hidden="1">
      <c r="A574" s="42">
        <v>77089</v>
      </c>
      <c r="B574" s="34" t="s">
        <v>487</v>
      </c>
      <c r="C574" s="158" t="s">
        <v>696</v>
      </c>
      <c r="D574" s="34">
        <v>125</v>
      </c>
      <c r="E574" s="34" t="s">
        <v>298</v>
      </c>
      <c r="F574" s="34">
        <v>178</v>
      </c>
      <c r="G574" s="34" t="s">
        <v>0</v>
      </c>
      <c r="H574" s="34">
        <v>11.6</v>
      </c>
      <c r="I574" s="34">
        <v>116</v>
      </c>
      <c r="J574" s="34">
        <v>1.0980000000000001</v>
      </c>
      <c r="K574" s="34">
        <v>27.88</v>
      </c>
      <c r="L574" s="34">
        <v>1.875</v>
      </c>
      <c r="M574" s="34">
        <v>47.63</v>
      </c>
      <c r="N574" s="34">
        <v>0.63500000000000001</v>
      </c>
      <c r="O574" s="34">
        <v>16.100000000000001</v>
      </c>
      <c r="P574" s="34">
        <v>1.34</v>
      </c>
      <c r="Q574" s="34">
        <v>134</v>
      </c>
      <c r="R574" s="34">
        <v>15.6</v>
      </c>
      <c r="S574" s="34">
        <v>15600</v>
      </c>
      <c r="T574" s="34">
        <v>6.1</v>
      </c>
      <c r="U574" s="34">
        <f t="shared" si="10"/>
        <v>89</v>
      </c>
      <c r="V574" s="34">
        <f>VLOOKUP(U574,'Powder Core Toroid OD'!$A$2:$B$36,2,FALSE)</f>
        <v>46.7</v>
      </c>
    </row>
    <row r="575" spans="1:22" hidden="1">
      <c r="A575" s="42">
        <v>77090</v>
      </c>
      <c r="B575" s="34" t="s">
        <v>486</v>
      </c>
      <c r="C575" s="158" t="s">
        <v>696</v>
      </c>
      <c r="D575" s="34">
        <v>60</v>
      </c>
      <c r="E575" s="34" t="s">
        <v>298</v>
      </c>
      <c r="F575" s="34">
        <v>86</v>
      </c>
      <c r="G575" s="34" t="s">
        <v>0</v>
      </c>
      <c r="H575" s="34">
        <v>11.6</v>
      </c>
      <c r="I575" s="34">
        <v>116</v>
      </c>
      <c r="J575" s="34">
        <v>1.0980000000000001</v>
      </c>
      <c r="K575" s="34">
        <v>27.88</v>
      </c>
      <c r="L575" s="34">
        <v>1.875</v>
      </c>
      <c r="M575" s="34">
        <v>47.63</v>
      </c>
      <c r="N575" s="34">
        <v>0.63500000000000001</v>
      </c>
      <c r="O575" s="34">
        <v>16.100000000000001</v>
      </c>
      <c r="P575" s="34">
        <v>1.34</v>
      </c>
      <c r="Q575" s="34">
        <v>134</v>
      </c>
      <c r="R575" s="34">
        <v>15.6</v>
      </c>
      <c r="S575" s="34">
        <v>15600</v>
      </c>
      <c r="T575" s="34">
        <v>6.1</v>
      </c>
      <c r="U575" s="34">
        <f t="shared" si="10"/>
        <v>89</v>
      </c>
      <c r="V575" s="34">
        <f>VLOOKUP(U575,'Powder Core Toroid OD'!$A$2:$B$36,2,FALSE)</f>
        <v>46.7</v>
      </c>
    </row>
    <row r="576" spans="1:22" hidden="1">
      <c r="A576" s="42">
        <v>77091</v>
      </c>
      <c r="B576" s="34" t="s">
        <v>485</v>
      </c>
      <c r="C576" s="158" t="s">
        <v>696</v>
      </c>
      <c r="D576" s="34">
        <v>26</v>
      </c>
      <c r="E576" s="34" t="s">
        <v>298</v>
      </c>
      <c r="F576" s="34">
        <v>37</v>
      </c>
      <c r="G576" s="34" t="s">
        <v>0</v>
      </c>
      <c r="H576" s="34">
        <v>11.6</v>
      </c>
      <c r="I576" s="34">
        <v>116</v>
      </c>
      <c r="J576" s="34">
        <v>1.0980000000000001</v>
      </c>
      <c r="K576" s="34">
        <v>27.88</v>
      </c>
      <c r="L576" s="34">
        <v>1.875</v>
      </c>
      <c r="M576" s="34">
        <v>47.63</v>
      </c>
      <c r="N576" s="34">
        <v>0.63500000000000001</v>
      </c>
      <c r="O576" s="34">
        <v>16.100000000000001</v>
      </c>
      <c r="P576" s="34">
        <v>1.34</v>
      </c>
      <c r="Q576" s="34">
        <v>134</v>
      </c>
      <c r="R576" s="34">
        <v>15.6</v>
      </c>
      <c r="S576" s="34">
        <v>15600</v>
      </c>
      <c r="T576" s="34">
        <v>6.1</v>
      </c>
      <c r="U576" s="34">
        <f t="shared" si="10"/>
        <v>89</v>
      </c>
      <c r="V576" s="34">
        <f>VLOOKUP(U576,'Powder Core Toroid OD'!$A$2:$B$36,2,FALSE)</f>
        <v>46.7</v>
      </c>
    </row>
    <row r="577" spans="1:22" hidden="1">
      <c r="A577" s="42">
        <v>77093</v>
      </c>
      <c r="B577" s="34" t="s">
        <v>484</v>
      </c>
      <c r="C577" s="158" t="s">
        <v>696</v>
      </c>
      <c r="D577" s="34">
        <v>90</v>
      </c>
      <c r="E577" s="34" t="s">
        <v>298</v>
      </c>
      <c r="F577" s="34">
        <v>128</v>
      </c>
      <c r="G577" s="34" t="s">
        <v>0</v>
      </c>
      <c r="H577" s="34">
        <v>11.6</v>
      </c>
      <c r="I577" s="34">
        <v>116</v>
      </c>
      <c r="J577" s="34">
        <v>1.0980000000000001</v>
      </c>
      <c r="K577" s="34">
        <v>27.88</v>
      </c>
      <c r="L577" s="34">
        <v>1.875</v>
      </c>
      <c r="M577" s="34">
        <v>47.63</v>
      </c>
      <c r="N577" s="34">
        <v>0.63500000000000001</v>
      </c>
      <c r="O577" s="34">
        <v>16.100000000000001</v>
      </c>
      <c r="P577" s="34">
        <v>1.34</v>
      </c>
      <c r="Q577" s="34">
        <v>134</v>
      </c>
      <c r="R577" s="34">
        <v>15.6</v>
      </c>
      <c r="S577" s="34">
        <v>15600</v>
      </c>
      <c r="T577" s="34">
        <v>6.1</v>
      </c>
      <c r="U577" s="34">
        <f t="shared" si="10"/>
        <v>89</v>
      </c>
      <c r="V577" s="34">
        <f>VLOOKUP(U577,'Powder Core Toroid OD'!$A$2:$B$36,2,FALSE)</f>
        <v>46.7</v>
      </c>
    </row>
    <row r="578" spans="1:22" hidden="1">
      <c r="A578" s="42">
        <v>77094</v>
      </c>
      <c r="B578" s="34" t="s">
        <v>483</v>
      </c>
      <c r="C578" s="158" t="s">
        <v>696</v>
      </c>
      <c r="D578" s="34">
        <v>75</v>
      </c>
      <c r="E578" s="34" t="s">
        <v>298</v>
      </c>
      <c r="F578" s="34">
        <v>107</v>
      </c>
      <c r="G578" s="34" t="s">
        <v>0</v>
      </c>
      <c r="H578" s="34">
        <v>11.6</v>
      </c>
      <c r="I578" s="34">
        <v>116</v>
      </c>
      <c r="J578" s="34">
        <v>1.0980000000000001</v>
      </c>
      <c r="K578" s="34">
        <v>27.88</v>
      </c>
      <c r="L578" s="34">
        <v>1.875</v>
      </c>
      <c r="M578" s="34">
        <v>47.63</v>
      </c>
      <c r="N578" s="34">
        <v>0.63500000000000001</v>
      </c>
      <c r="O578" s="34">
        <v>16.100000000000001</v>
      </c>
      <c r="P578" s="34">
        <v>1.34</v>
      </c>
      <c r="Q578" s="34">
        <v>134</v>
      </c>
      <c r="R578" s="34">
        <v>15.6</v>
      </c>
      <c r="S578" s="34">
        <v>15600</v>
      </c>
      <c r="T578" s="34">
        <v>6.1</v>
      </c>
      <c r="U578" s="34">
        <f t="shared" si="10"/>
        <v>89</v>
      </c>
      <c r="V578" s="34">
        <f>VLOOKUP(U578,'Powder Core Toroid OD'!$A$2:$B$36,2,FALSE)</f>
        <v>46.7</v>
      </c>
    </row>
    <row r="579" spans="1:22" hidden="1">
      <c r="A579" s="42">
        <v>77095</v>
      </c>
      <c r="B579" s="34" t="s">
        <v>482</v>
      </c>
      <c r="C579" s="158" t="s">
        <v>696</v>
      </c>
      <c r="D579" s="34">
        <v>40</v>
      </c>
      <c r="E579" s="34" t="s">
        <v>298</v>
      </c>
      <c r="F579" s="34">
        <v>57</v>
      </c>
      <c r="G579" s="34" t="s">
        <v>0</v>
      </c>
      <c r="H579" s="34">
        <v>11.6</v>
      </c>
      <c r="I579" s="34">
        <v>116</v>
      </c>
      <c r="J579" s="34">
        <v>1.0980000000000001</v>
      </c>
      <c r="K579" s="34">
        <v>27.88</v>
      </c>
      <c r="L579" s="34">
        <v>1.875</v>
      </c>
      <c r="M579" s="34">
        <v>47.63</v>
      </c>
      <c r="N579" s="34">
        <v>0.63500000000000001</v>
      </c>
      <c r="O579" s="34">
        <v>16.100000000000001</v>
      </c>
      <c r="P579" s="34">
        <v>1.34</v>
      </c>
      <c r="Q579" s="34">
        <v>134</v>
      </c>
      <c r="R579" s="34">
        <v>15.6</v>
      </c>
      <c r="S579" s="34">
        <v>15600</v>
      </c>
      <c r="T579" s="34">
        <v>6.1</v>
      </c>
      <c r="U579" s="34">
        <f t="shared" si="10"/>
        <v>89</v>
      </c>
      <c r="V579" s="34">
        <f>VLOOKUP(U579,'Powder Core Toroid OD'!$A$2:$B$36,2,FALSE)</f>
        <v>46.7</v>
      </c>
    </row>
    <row r="580" spans="1:22" hidden="1">
      <c r="A580" s="42">
        <v>77109</v>
      </c>
      <c r="B580" s="34" t="s">
        <v>481</v>
      </c>
      <c r="C580" s="158">
        <v>109</v>
      </c>
      <c r="D580" s="34">
        <v>125</v>
      </c>
      <c r="E580" s="34" t="s">
        <v>298</v>
      </c>
      <c r="F580" s="34">
        <v>156</v>
      </c>
      <c r="G580" s="34" t="s">
        <v>0</v>
      </c>
      <c r="H580" s="34">
        <v>14.3</v>
      </c>
      <c r="I580" s="34">
        <v>143</v>
      </c>
      <c r="J580" s="34">
        <v>1.3680000000000001</v>
      </c>
      <c r="K580" s="34">
        <v>34.74</v>
      </c>
      <c r="L580" s="34">
        <v>2.2850000000000001</v>
      </c>
      <c r="M580" s="34">
        <v>58.04</v>
      </c>
      <c r="N580" s="34">
        <v>0.58499999999999996</v>
      </c>
      <c r="O580" s="34">
        <v>14.9</v>
      </c>
      <c r="P580" s="34">
        <v>1.44</v>
      </c>
      <c r="Q580" s="34">
        <v>144</v>
      </c>
      <c r="R580" s="34">
        <v>20.7</v>
      </c>
      <c r="S580" s="34">
        <v>20700</v>
      </c>
      <c r="T580" s="34">
        <v>9.48</v>
      </c>
      <c r="U580" s="34">
        <f t="shared" si="10"/>
        <v>109</v>
      </c>
      <c r="V580" s="34">
        <f>VLOOKUP(U580,'Powder Core Toroid OD'!$A$2:$B$36,2,FALSE)</f>
        <v>57.2</v>
      </c>
    </row>
    <row r="581" spans="1:22" hidden="1">
      <c r="A581" s="42">
        <v>77110</v>
      </c>
      <c r="B581" s="34" t="s">
        <v>480</v>
      </c>
      <c r="C581" s="158">
        <v>109</v>
      </c>
      <c r="D581" s="34">
        <v>60</v>
      </c>
      <c r="E581" s="34" t="s">
        <v>298</v>
      </c>
      <c r="F581" s="34">
        <v>75</v>
      </c>
      <c r="G581" s="34" t="s">
        <v>0</v>
      </c>
      <c r="H581" s="34">
        <v>14.3</v>
      </c>
      <c r="I581" s="34">
        <v>143</v>
      </c>
      <c r="J581" s="34">
        <v>1.3680000000000001</v>
      </c>
      <c r="K581" s="34">
        <v>34.74</v>
      </c>
      <c r="L581" s="34">
        <v>2.2850000000000001</v>
      </c>
      <c r="M581" s="34">
        <v>58.04</v>
      </c>
      <c r="N581" s="34">
        <v>0.58499999999999996</v>
      </c>
      <c r="O581" s="34">
        <v>14.9</v>
      </c>
      <c r="P581" s="34">
        <v>1.44</v>
      </c>
      <c r="Q581" s="34">
        <v>144</v>
      </c>
      <c r="R581" s="34">
        <v>20.7</v>
      </c>
      <c r="S581" s="34">
        <v>20700</v>
      </c>
      <c r="T581" s="34">
        <v>9.48</v>
      </c>
      <c r="U581" s="34">
        <f t="shared" si="10"/>
        <v>109</v>
      </c>
      <c r="V581" s="34">
        <f>VLOOKUP(U581,'Powder Core Toroid OD'!$A$2:$B$36,2,FALSE)</f>
        <v>57.2</v>
      </c>
    </row>
    <row r="582" spans="1:22" hidden="1">
      <c r="A582" s="42">
        <v>77111</v>
      </c>
      <c r="B582" s="34" t="s">
        <v>479</v>
      </c>
      <c r="C582" s="158">
        <v>109</v>
      </c>
      <c r="D582" s="34">
        <v>26</v>
      </c>
      <c r="E582" s="34" t="s">
        <v>298</v>
      </c>
      <c r="F582" s="34">
        <v>33</v>
      </c>
      <c r="G582" s="34" t="s">
        <v>0</v>
      </c>
      <c r="H582" s="34">
        <v>14.3</v>
      </c>
      <c r="I582" s="34">
        <v>143</v>
      </c>
      <c r="J582" s="34">
        <v>1.3680000000000001</v>
      </c>
      <c r="K582" s="34">
        <v>34.74</v>
      </c>
      <c r="L582" s="34">
        <v>2.2850000000000001</v>
      </c>
      <c r="M582" s="34">
        <v>58.04</v>
      </c>
      <c r="N582" s="34">
        <v>0.58499999999999996</v>
      </c>
      <c r="O582" s="34">
        <v>14.9</v>
      </c>
      <c r="P582" s="34">
        <v>1.44</v>
      </c>
      <c r="Q582" s="34">
        <v>144</v>
      </c>
      <c r="R582" s="34">
        <v>20.7</v>
      </c>
      <c r="S582" s="34">
        <v>20700</v>
      </c>
      <c r="T582" s="34">
        <v>9.48</v>
      </c>
      <c r="U582" s="34">
        <f t="shared" si="10"/>
        <v>109</v>
      </c>
      <c r="V582" s="34">
        <f>VLOOKUP(U582,'Powder Core Toroid OD'!$A$2:$B$36,2,FALSE)</f>
        <v>57.2</v>
      </c>
    </row>
    <row r="583" spans="1:22" hidden="1">
      <c r="A583" s="42">
        <v>77120</v>
      </c>
      <c r="B583" s="34" t="s">
        <v>478</v>
      </c>
      <c r="C583" s="158">
        <v>120</v>
      </c>
      <c r="D583" s="34">
        <v>125</v>
      </c>
      <c r="E583" s="34" t="s">
        <v>298</v>
      </c>
      <c r="F583" s="34">
        <v>72</v>
      </c>
      <c r="G583" s="34" t="s">
        <v>0</v>
      </c>
      <c r="H583" s="34">
        <v>4.12</v>
      </c>
      <c r="I583" s="34">
        <v>41.2</v>
      </c>
      <c r="J583" s="34">
        <v>0.375</v>
      </c>
      <c r="K583" s="34">
        <v>9.52</v>
      </c>
      <c r="L583" s="41">
        <v>0.68</v>
      </c>
      <c r="M583" s="34">
        <v>17.3</v>
      </c>
      <c r="N583" s="41">
        <v>0.28000000000000003</v>
      </c>
      <c r="O583" s="34">
        <v>7.12</v>
      </c>
      <c r="P583" s="34">
        <v>0.192</v>
      </c>
      <c r="Q583" s="34">
        <v>19.2</v>
      </c>
      <c r="R583" s="34">
        <v>0.79100000000000004</v>
      </c>
      <c r="S583" s="34">
        <v>791</v>
      </c>
      <c r="T583" s="34">
        <v>0.71199999999999997</v>
      </c>
      <c r="U583" s="34">
        <f t="shared" si="10"/>
        <v>120</v>
      </c>
      <c r="V583" s="34">
        <f>VLOOKUP(U583,'Powder Core Toroid OD'!$A$2:$B$36,2,FALSE)</f>
        <v>16.600000000000001</v>
      </c>
    </row>
    <row r="584" spans="1:22" hidden="1">
      <c r="A584" s="42">
        <v>77121</v>
      </c>
      <c r="B584" s="34" t="s">
        <v>477</v>
      </c>
      <c r="C584" s="158">
        <v>120</v>
      </c>
      <c r="D584" s="34">
        <v>60</v>
      </c>
      <c r="E584" s="34" t="s">
        <v>298</v>
      </c>
      <c r="F584" s="34">
        <v>35</v>
      </c>
      <c r="G584" s="34" t="s">
        <v>0</v>
      </c>
      <c r="H584" s="34">
        <v>4.12</v>
      </c>
      <c r="I584" s="34">
        <v>41.2</v>
      </c>
      <c r="J584" s="34">
        <v>0.375</v>
      </c>
      <c r="K584" s="34">
        <v>9.52</v>
      </c>
      <c r="L584" s="41">
        <v>0.68</v>
      </c>
      <c r="M584" s="34">
        <v>17.3</v>
      </c>
      <c r="N584" s="41">
        <v>0.28000000000000003</v>
      </c>
      <c r="O584" s="34">
        <v>7.12</v>
      </c>
      <c r="P584" s="34">
        <v>0.192</v>
      </c>
      <c r="Q584" s="34">
        <v>19.2</v>
      </c>
      <c r="R584" s="34">
        <v>0.79100000000000004</v>
      </c>
      <c r="S584" s="34">
        <v>791</v>
      </c>
      <c r="T584" s="34">
        <v>0.71199999999999997</v>
      </c>
      <c r="U584" s="34">
        <f t="shared" si="10"/>
        <v>120</v>
      </c>
      <c r="V584" s="34">
        <f>VLOOKUP(U584,'Powder Core Toroid OD'!$A$2:$B$36,2,FALSE)</f>
        <v>16.600000000000001</v>
      </c>
    </row>
    <row r="585" spans="1:22" hidden="1">
      <c r="A585" s="42">
        <v>77130</v>
      </c>
      <c r="B585" s="34" t="s">
        <v>476</v>
      </c>
      <c r="C585" s="158">
        <v>130</v>
      </c>
      <c r="D585" s="34">
        <v>125</v>
      </c>
      <c r="E585" s="34" t="s">
        <v>298</v>
      </c>
      <c r="F585" s="34">
        <v>53</v>
      </c>
      <c r="G585" s="34" t="s">
        <v>0</v>
      </c>
      <c r="H585" s="34">
        <v>2.69</v>
      </c>
      <c r="I585" s="34">
        <v>26.9</v>
      </c>
      <c r="J585" s="41">
        <v>0.23</v>
      </c>
      <c r="K585" s="34">
        <v>5.84</v>
      </c>
      <c r="L585" s="34">
        <v>0.46500000000000002</v>
      </c>
      <c r="M585" s="34">
        <v>11.9</v>
      </c>
      <c r="N585" s="34">
        <v>0.18099999999999999</v>
      </c>
      <c r="O585" s="41">
        <v>4.5999999999999996</v>
      </c>
      <c r="P585" s="34">
        <v>9.06E-2</v>
      </c>
      <c r="Q585" s="34">
        <v>9.06</v>
      </c>
      <c r="R585" s="34">
        <v>0.24399999999999999</v>
      </c>
      <c r="S585" s="34">
        <v>244</v>
      </c>
      <c r="T585" s="34">
        <v>0.26800000000000002</v>
      </c>
      <c r="U585" s="34">
        <f t="shared" si="10"/>
        <v>130</v>
      </c>
      <c r="V585" s="34">
        <f>VLOOKUP(U585,'Powder Core Toroid OD'!$A$2:$B$36,2,FALSE)</f>
        <v>11.2</v>
      </c>
    </row>
    <row r="586" spans="1:22" hidden="1">
      <c r="A586" s="42">
        <v>77131</v>
      </c>
      <c r="B586" s="34" t="s">
        <v>475</v>
      </c>
      <c r="C586" s="158">
        <v>130</v>
      </c>
      <c r="D586" s="34">
        <v>60</v>
      </c>
      <c r="E586" s="34" t="s">
        <v>298</v>
      </c>
      <c r="F586" s="34">
        <v>26</v>
      </c>
      <c r="G586" s="34" t="s">
        <v>0</v>
      </c>
      <c r="H586" s="34">
        <v>2.69</v>
      </c>
      <c r="I586" s="34">
        <v>26.9</v>
      </c>
      <c r="J586" s="41">
        <v>0.23</v>
      </c>
      <c r="K586" s="34">
        <v>5.84</v>
      </c>
      <c r="L586" s="34">
        <v>0.46500000000000002</v>
      </c>
      <c r="M586" s="34">
        <v>11.9</v>
      </c>
      <c r="N586" s="34">
        <v>0.18099999999999999</v>
      </c>
      <c r="O586" s="41">
        <v>4.5999999999999996</v>
      </c>
      <c r="P586" s="34">
        <v>9.06E-2</v>
      </c>
      <c r="Q586" s="34">
        <v>9.06</v>
      </c>
      <c r="R586" s="34">
        <v>0.24399999999999999</v>
      </c>
      <c r="S586" s="34">
        <v>244</v>
      </c>
      <c r="T586" s="34">
        <v>0.26800000000000002</v>
      </c>
      <c r="U586" s="34">
        <f t="shared" si="10"/>
        <v>130</v>
      </c>
      <c r="V586" s="34">
        <f>VLOOKUP(U586,'Powder Core Toroid OD'!$A$2:$B$36,2,FALSE)</f>
        <v>11.2</v>
      </c>
    </row>
    <row r="587" spans="1:22" hidden="1">
      <c r="A587" s="42">
        <v>77140</v>
      </c>
      <c r="B587" s="34" t="s">
        <v>474</v>
      </c>
      <c r="C587" s="158">
        <v>140</v>
      </c>
      <c r="D587" s="34">
        <v>125</v>
      </c>
      <c r="E587" s="34" t="s">
        <v>298</v>
      </c>
      <c r="F587" s="34">
        <v>26</v>
      </c>
      <c r="G587" s="34" t="s">
        <v>0</v>
      </c>
      <c r="H587" s="34">
        <v>0.80600000000000005</v>
      </c>
      <c r="I587" s="34">
        <v>8.06</v>
      </c>
      <c r="J587" s="41">
        <v>0.05</v>
      </c>
      <c r="K587" s="34">
        <v>1.27</v>
      </c>
      <c r="L587" s="34">
        <v>0.16500000000000001</v>
      </c>
      <c r="M587" s="40">
        <v>4.2</v>
      </c>
      <c r="N587" s="34">
        <v>8.5000000000000006E-2</v>
      </c>
      <c r="O587" s="34">
        <v>2.16</v>
      </c>
      <c r="P587" s="34">
        <v>1.2999999999999999E-2</v>
      </c>
      <c r="Q587" s="34">
        <v>1.3</v>
      </c>
      <c r="R587" s="34">
        <v>1.0500000000000001E-2</v>
      </c>
      <c r="S587" s="34">
        <v>10.5</v>
      </c>
      <c r="T587" s="34">
        <v>1.2699999999999999E-2</v>
      </c>
      <c r="U587" s="34">
        <f t="shared" si="10"/>
        <v>140</v>
      </c>
      <c r="V587" s="34">
        <f>VLOOKUP(U587,'Powder Core Toroid OD'!$A$2:$B$36,2,FALSE)</f>
        <v>3.56</v>
      </c>
    </row>
    <row r="588" spans="1:22" hidden="1">
      <c r="A588" s="42">
        <v>77141</v>
      </c>
      <c r="B588" s="34" t="s">
        <v>473</v>
      </c>
      <c r="C588" s="158">
        <v>140</v>
      </c>
      <c r="D588" s="34">
        <v>60</v>
      </c>
      <c r="E588" s="34" t="s">
        <v>298</v>
      </c>
      <c r="F588" s="34">
        <v>13</v>
      </c>
      <c r="G588" s="34" t="s">
        <v>0</v>
      </c>
      <c r="H588" s="34">
        <v>0.80600000000000005</v>
      </c>
      <c r="I588" s="34">
        <v>8.06</v>
      </c>
      <c r="J588" s="41">
        <v>0.05</v>
      </c>
      <c r="K588" s="34">
        <v>1.27</v>
      </c>
      <c r="L588" s="34">
        <v>0.16500000000000001</v>
      </c>
      <c r="M588" s="40">
        <v>4.2</v>
      </c>
      <c r="N588" s="34">
        <v>8.5000000000000006E-2</v>
      </c>
      <c r="O588" s="34">
        <v>2.16</v>
      </c>
      <c r="P588" s="34">
        <v>1.2999999999999999E-2</v>
      </c>
      <c r="Q588" s="34">
        <v>1.3</v>
      </c>
      <c r="R588" s="34">
        <v>1.0500000000000001E-2</v>
      </c>
      <c r="S588" s="34">
        <v>10.5</v>
      </c>
      <c r="T588" s="34">
        <v>1.2699999999999999E-2</v>
      </c>
      <c r="U588" s="34">
        <f t="shared" si="10"/>
        <v>140</v>
      </c>
      <c r="V588" s="34">
        <f>VLOOKUP(U588,'Powder Core Toroid OD'!$A$2:$B$36,2,FALSE)</f>
        <v>3.56</v>
      </c>
    </row>
    <row r="589" spans="1:22" hidden="1">
      <c r="A589" s="42">
        <v>77150</v>
      </c>
      <c r="B589" s="34" t="s">
        <v>472</v>
      </c>
      <c r="C589" s="158">
        <v>150</v>
      </c>
      <c r="D589" s="34">
        <v>125</v>
      </c>
      <c r="E589" s="34" t="s">
        <v>298</v>
      </c>
      <c r="F589" s="34">
        <v>35</v>
      </c>
      <c r="G589" s="34" t="s">
        <v>0</v>
      </c>
      <c r="H589" s="34">
        <v>0.94199999999999995</v>
      </c>
      <c r="I589" s="34">
        <v>9.42</v>
      </c>
      <c r="J589" s="34">
        <v>6.8000000000000005E-2</v>
      </c>
      <c r="K589" s="34">
        <v>1.72</v>
      </c>
      <c r="L589" s="34">
        <v>0.18</v>
      </c>
      <c r="M589" s="34">
        <v>4.58</v>
      </c>
      <c r="N589" s="34">
        <v>0.125</v>
      </c>
      <c r="O589" s="34">
        <v>3.18</v>
      </c>
      <c r="P589" s="34">
        <v>2.1100000000000001E-2</v>
      </c>
      <c r="Q589" s="34">
        <v>2.11</v>
      </c>
      <c r="R589" s="34">
        <v>1.9900000000000001E-2</v>
      </c>
      <c r="S589" s="34">
        <v>19.899999999999999</v>
      </c>
      <c r="T589" s="34">
        <v>2.3199999999999998E-2</v>
      </c>
      <c r="U589" s="34">
        <f t="shared" si="10"/>
        <v>150</v>
      </c>
      <c r="V589" s="34">
        <f>VLOOKUP(U589,'Powder Core Toroid OD'!$A$2:$B$36,2,FALSE)</f>
        <v>3.94</v>
      </c>
    </row>
    <row r="590" spans="1:22" hidden="1">
      <c r="A590" s="42">
        <v>77151</v>
      </c>
      <c r="B590" s="34" t="s">
        <v>860</v>
      </c>
      <c r="C590" s="158">
        <v>150</v>
      </c>
      <c r="D590" s="34">
        <v>60</v>
      </c>
      <c r="E590" s="34" t="s">
        <v>298</v>
      </c>
      <c r="F590" s="34">
        <v>17</v>
      </c>
      <c r="G590" s="34" t="s">
        <v>0</v>
      </c>
      <c r="H590" s="34">
        <v>0.94199999999999995</v>
      </c>
      <c r="I590" s="34">
        <v>9.42</v>
      </c>
      <c r="J590" s="34">
        <v>6.8000000000000005E-2</v>
      </c>
      <c r="K590" s="34">
        <v>1.72</v>
      </c>
      <c r="L590" s="34">
        <v>0.18</v>
      </c>
      <c r="M590" s="34">
        <v>4.58</v>
      </c>
      <c r="N590" s="34">
        <v>0.125</v>
      </c>
      <c r="O590" s="34">
        <v>3.18</v>
      </c>
      <c r="P590" s="34">
        <v>2.1100000000000001E-2</v>
      </c>
      <c r="Q590" s="34">
        <v>2.11</v>
      </c>
      <c r="R590" s="34">
        <v>1.9900000000000001E-2</v>
      </c>
      <c r="S590" s="34">
        <v>19.899999999999999</v>
      </c>
      <c r="T590" s="34">
        <v>2.3199999999999998E-2</v>
      </c>
      <c r="U590" s="34">
        <f t="shared" si="10"/>
        <v>150</v>
      </c>
      <c r="V590" s="34">
        <f>VLOOKUP(U590,'Powder Core Toroid OD'!$A$2:$B$36,2,FALSE)</f>
        <v>3.94</v>
      </c>
    </row>
    <row r="591" spans="1:22" hidden="1">
      <c r="A591" s="42">
        <v>77154</v>
      </c>
      <c r="B591" s="34" t="s">
        <v>861</v>
      </c>
      <c r="C591" s="158">
        <v>150</v>
      </c>
      <c r="D591" s="34">
        <v>90</v>
      </c>
      <c r="E591" s="34" t="s">
        <v>298</v>
      </c>
      <c r="F591" s="34">
        <v>25</v>
      </c>
      <c r="G591" s="34" t="s">
        <v>0</v>
      </c>
      <c r="H591" s="34">
        <v>0.94199999999999995</v>
      </c>
      <c r="I591" s="34">
        <v>9.42</v>
      </c>
      <c r="J591" s="34">
        <v>6.8000000000000005E-2</v>
      </c>
      <c r="K591" s="34">
        <v>1.72</v>
      </c>
      <c r="L591" s="34">
        <v>0.18</v>
      </c>
      <c r="M591" s="34">
        <v>4.58</v>
      </c>
      <c r="N591" s="34">
        <v>0.125</v>
      </c>
      <c r="O591" s="34">
        <v>3.18</v>
      </c>
      <c r="P591" s="34">
        <v>2.1100000000000001E-2</v>
      </c>
      <c r="Q591" s="34">
        <v>2.11</v>
      </c>
      <c r="R591" s="34">
        <v>1.9900000000000001E-2</v>
      </c>
      <c r="S591" s="34">
        <v>19.899999999999999</v>
      </c>
      <c r="T591" s="34">
        <v>2.3199999999999998E-2</v>
      </c>
      <c r="U591" s="34">
        <f t="shared" si="10"/>
        <v>150</v>
      </c>
      <c r="V591" s="34">
        <f>VLOOKUP(U591,'Powder Core Toroid OD'!$A$2:$B$36,2,FALSE)</f>
        <v>3.94</v>
      </c>
    </row>
    <row r="592" spans="1:22" hidden="1">
      <c r="A592" s="42">
        <v>77180</v>
      </c>
      <c r="B592" s="34" t="s">
        <v>471</v>
      </c>
      <c r="C592" s="158">
        <v>180</v>
      </c>
      <c r="D592" s="34">
        <v>125</v>
      </c>
      <c r="E592" s="34" t="s">
        <v>298</v>
      </c>
      <c r="F592" s="34">
        <v>42</v>
      </c>
      <c r="G592" s="34" t="s">
        <v>0</v>
      </c>
      <c r="H592" s="34">
        <v>1.06</v>
      </c>
      <c r="I592" s="34">
        <v>10.6</v>
      </c>
      <c r="J592" s="34">
        <v>7.2999999999999995E-2</v>
      </c>
      <c r="K592" s="34">
        <v>1.85</v>
      </c>
      <c r="L592" s="34">
        <v>0.20799999999999999</v>
      </c>
      <c r="M592" s="34">
        <v>5.29</v>
      </c>
      <c r="N592" s="34">
        <v>0.125</v>
      </c>
      <c r="O592" s="34">
        <v>3.18</v>
      </c>
      <c r="P592" s="34">
        <v>2.8500000000000001E-2</v>
      </c>
      <c r="Q592" s="34">
        <v>2.85</v>
      </c>
      <c r="R592" s="34">
        <v>3.0300000000000001E-2</v>
      </c>
      <c r="S592" s="34">
        <v>30.3</v>
      </c>
      <c r="T592" s="34">
        <v>2.69E-2</v>
      </c>
      <c r="U592" s="34">
        <f t="shared" si="10"/>
        <v>180</v>
      </c>
      <c r="V592" s="34">
        <f>VLOOKUP(U592,'Powder Core Toroid OD'!$A$2:$B$36,2,FALSE)</f>
        <v>4.6500000000000004</v>
      </c>
    </row>
    <row r="593" spans="1:22" hidden="1">
      <c r="A593" s="42">
        <v>77181</v>
      </c>
      <c r="B593" s="34" t="s">
        <v>470</v>
      </c>
      <c r="C593" s="158">
        <v>180</v>
      </c>
      <c r="D593" s="34">
        <v>60</v>
      </c>
      <c r="E593" s="34" t="s">
        <v>298</v>
      </c>
      <c r="F593" s="34">
        <v>20</v>
      </c>
      <c r="G593" s="34" t="s">
        <v>0</v>
      </c>
      <c r="H593" s="34">
        <v>1.06</v>
      </c>
      <c r="I593" s="34">
        <v>10.6</v>
      </c>
      <c r="J593" s="34">
        <v>7.2999999999999995E-2</v>
      </c>
      <c r="K593" s="34">
        <v>1.85</v>
      </c>
      <c r="L593" s="34">
        <v>0.20799999999999999</v>
      </c>
      <c r="M593" s="34">
        <v>5.29</v>
      </c>
      <c r="N593" s="34">
        <v>0.125</v>
      </c>
      <c r="O593" s="34">
        <v>3.18</v>
      </c>
      <c r="P593" s="34">
        <v>2.8500000000000001E-2</v>
      </c>
      <c r="Q593" s="34">
        <v>2.85</v>
      </c>
      <c r="R593" s="34">
        <v>3.0300000000000001E-2</v>
      </c>
      <c r="S593" s="34">
        <v>30.3</v>
      </c>
      <c r="T593" s="34">
        <v>2.69E-2</v>
      </c>
      <c r="U593" s="34">
        <f t="shared" si="10"/>
        <v>180</v>
      </c>
      <c r="V593" s="34">
        <f>VLOOKUP(U593,'Powder Core Toroid OD'!$A$2:$B$36,2,FALSE)</f>
        <v>4.6500000000000004</v>
      </c>
    </row>
    <row r="594" spans="1:22" hidden="1">
      <c r="A594" s="42">
        <v>77184</v>
      </c>
      <c r="B594" s="34" t="s">
        <v>866</v>
      </c>
      <c r="C594" s="158">
        <v>180</v>
      </c>
      <c r="D594" s="34">
        <v>90</v>
      </c>
      <c r="E594" s="34" t="s">
        <v>298</v>
      </c>
      <c r="F594" s="34">
        <v>30</v>
      </c>
      <c r="G594" s="34" t="s">
        <v>0</v>
      </c>
      <c r="H594" s="34">
        <v>1.06</v>
      </c>
      <c r="I594" s="34">
        <v>10.6</v>
      </c>
      <c r="J594" s="34">
        <v>7.2999999999999995E-2</v>
      </c>
      <c r="K594" s="34">
        <v>1.85</v>
      </c>
      <c r="L594" s="34">
        <v>0.20799999999999999</v>
      </c>
      <c r="M594" s="34">
        <v>5.29</v>
      </c>
      <c r="N594" s="34">
        <v>0.125</v>
      </c>
      <c r="O594" s="34">
        <v>3.18</v>
      </c>
      <c r="P594" s="34">
        <v>2.8500000000000001E-2</v>
      </c>
      <c r="Q594" s="34">
        <v>2.85</v>
      </c>
      <c r="R594" s="34">
        <v>3.0300000000000001E-2</v>
      </c>
      <c r="S594" s="34">
        <v>30.3</v>
      </c>
      <c r="T594" s="34">
        <v>2.69E-2</v>
      </c>
      <c r="U594" s="34">
        <f t="shared" si="10"/>
        <v>180</v>
      </c>
      <c r="V594" s="34">
        <f>VLOOKUP(U594,'Powder Core Toroid OD'!$A$2:$B$36,2,FALSE)</f>
        <v>4.6500000000000004</v>
      </c>
    </row>
    <row r="595" spans="1:22" hidden="1">
      <c r="A595" s="42">
        <v>77189</v>
      </c>
      <c r="B595" s="34" t="s">
        <v>469</v>
      </c>
      <c r="C595" s="158">
        <v>195</v>
      </c>
      <c r="D595" s="34">
        <v>40</v>
      </c>
      <c r="E595" s="34" t="s">
        <v>298</v>
      </c>
      <c r="F595" s="34">
        <v>92</v>
      </c>
      <c r="G595" s="34" t="s">
        <v>0</v>
      </c>
      <c r="H595" s="34">
        <v>12.5</v>
      </c>
      <c r="I595" s="34">
        <v>125</v>
      </c>
      <c r="J595" s="34">
        <v>1.0069999999999999</v>
      </c>
      <c r="K595" s="34">
        <v>25.57</v>
      </c>
      <c r="L595" s="34">
        <v>2.2850000000000001</v>
      </c>
      <c r="M595" s="34">
        <v>58.04</v>
      </c>
      <c r="N595" s="34">
        <v>0.63500000000000001</v>
      </c>
      <c r="O595" s="34">
        <v>16.2</v>
      </c>
      <c r="P595" s="34">
        <v>2.29</v>
      </c>
      <c r="Q595" s="34">
        <v>229</v>
      </c>
      <c r="R595" s="34">
        <v>28.6</v>
      </c>
      <c r="S595" s="34">
        <v>28600</v>
      </c>
      <c r="T595" s="34">
        <v>5.14</v>
      </c>
      <c r="U595" s="34">
        <f t="shared" si="10"/>
        <v>195</v>
      </c>
      <c r="V595" s="34">
        <f>VLOOKUP(U595,'Powder Core Toroid OD'!$A$2:$B$36,2,FALSE)</f>
        <v>57.2</v>
      </c>
    </row>
    <row r="596" spans="1:22" hidden="1">
      <c r="A596" s="42">
        <v>77191</v>
      </c>
      <c r="B596" s="34" t="s">
        <v>468</v>
      </c>
      <c r="C596" s="158">
        <v>195</v>
      </c>
      <c r="D596" s="34">
        <v>26</v>
      </c>
      <c r="E596" s="34" t="s">
        <v>298</v>
      </c>
      <c r="F596" s="34">
        <v>60</v>
      </c>
      <c r="G596" s="34" t="s">
        <v>0</v>
      </c>
      <c r="H596" s="34">
        <v>12.5</v>
      </c>
      <c r="I596" s="34">
        <v>125</v>
      </c>
      <c r="J596" s="34">
        <v>1.0069999999999999</v>
      </c>
      <c r="K596" s="34">
        <v>25.57</v>
      </c>
      <c r="L596" s="34">
        <v>2.2850000000000001</v>
      </c>
      <c r="M596" s="34">
        <v>58.04</v>
      </c>
      <c r="N596" s="34">
        <v>0.63500000000000001</v>
      </c>
      <c r="O596" s="34">
        <v>16.2</v>
      </c>
      <c r="P596" s="34">
        <v>2.29</v>
      </c>
      <c r="Q596" s="34">
        <v>229</v>
      </c>
      <c r="R596" s="34">
        <v>28.6</v>
      </c>
      <c r="S596" s="34">
        <v>28600</v>
      </c>
      <c r="T596" s="34">
        <v>5.14</v>
      </c>
      <c r="U596" s="34">
        <f t="shared" si="10"/>
        <v>195</v>
      </c>
      <c r="V596" s="34">
        <f>VLOOKUP(U596,'Powder Core Toroid OD'!$A$2:$B$36,2,FALSE)</f>
        <v>57.2</v>
      </c>
    </row>
    <row r="597" spans="1:22" hidden="1">
      <c r="A597" s="42">
        <v>77192</v>
      </c>
      <c r="B597" s="34" t="s">
        <v>467</v>
      </c>
      <c r="C597" s="158">
        <v>195</v>
      </c>
      <c r="D597" s="34">
        <v>60</v>
      </c>
      <c r="E597" s="34" t="s">
        <v>298</v>
      </c>
      <c r="F597" s="34">
        <v>138</v>
      </c>
      <c r="G597" s="34" t="s">
        <v>0</v>
      </c>
      <c r="H597" s="34">
        <v>12.5</v>
      </c>
      <c r="I597" s="34">
        <v>125</v>
      </c>
      <c r="J597" s="34">
        <v>1.0069999999999999</v>
      </c>
      <c r="K597" s="34">
        <v>25.57</v>
      </c>
      <c r="L597" s="34">
        <v>2.2850000000000001</v>
      </c>
      <c r="M597" s="34">
        <v>58.04</v>
      </c>
      <c r="N597" s="34">
        <v>0.63500000000000001</v>
      </c>
      <c r="O597" s="34">
        <v>16.2</v>
      </c>
      <c r="P597" s="34">
        <v>2.29</v>
      </c>
      <c r="Q597" s="34">
        <v>229</v>
      </c>
      <c r="R597" s="34">
        <v>28.6</v>
      </c>
      <c r="S597" s="34">
        <v>28600</v>
      </c>
      <c r="T597" s="34">
        <v>5.14</v>
      </c>
      <c r="U597" s="34">
        <f t="shared" si="10"/>
        <v>195</v>
      </c>
      <c r="V597" s="34">
        <f>VLOOKUP(U597,'Powder Core Toroid OD'!$A$2:$B$36,2,FALSE)</f>
        <v>57.2</v>
      </c>
    </row>
    <row r="598" spans="1:22" hidden="1">
      <c r="A598" s="42">
        <v>77193</v>
      </c>
      <c r="B598" s="34" t="s">
        <v>466</v>
      </c>
      <c r="C598" s="158">
        <v>195</v>
      </c>
      <c r="D598" s="34">
        <v>75</v>
      </c>
      <c r="E598" s="34" t="s">
        <v>298</v>
      </c>
      <c r="F598" s="34">
        <v>172</v>
      </c>
      <c r="G598" s="34" t="s">
        <v>0</v>
      </c>
      <c r="H598" s="34">
        <v>12.5</v>
      </c>
      <c r="I598" s="34">
        <v>125</v>
      </c>
      <c r="J598" s="34">
        <v>1.0069999999999999</v>
      </c>
      <c r="K598" s="34">
        <v>25.57</v>
      </c>
      <c r="L598" s="34">
        <v>2.2850000000000001</v>
      </c>
      <c r="M598" s="34">
        <v>58.04</v>
      </c>
      <c r="N598" s="34">
        <v>0.63500000000000001</v>
      </c>
      <c r="O598" s="34">
        <v>16.2</v>
      </c>
      <c r="P598" s="34">
        <v>2.29</v>
      </c>
      <c r="Q598" s="34">
        <v>229</v>
      </c>
      <c r="R598" s="34">
        <v>28.6</v>
      </c>
      <c r="S598" s="34">
        <v>28600</v>
      </c>
      <c r="T598" s="34">
        <v>5.14</v>
      </c>
      <c r="U598" s="34">
        <f t="shared" si="10"/>
        <v>195</v>
      </c>
      <c r="V598" s="34">
        <f>VLOOKUP(U598,'Powder Core Toroid OD'!$A$2:$B$36,2,FALSE)</f>
        <v>57.2</v>
      </c>
    </row>
    <row r="599" spans="1:22" hidden="1">
      <c r="A599" s="42">
        <v>77194</v>
      </c>
      <c r="B599" s="34" t="s">
        <v>465</v>
      </c>
      <c r="C599" s="158">
        <v>195</v>
      </c>
      <c r="D599" s="34">
        <v>90</v>
      </c>
      <c r="E599" s="34" t="s">
        <v>298</v>
      </c>
      <c r="F599" s="34">
        <v>207</v>
      </c>
      <c r="G599" s="34" t="s">
        <v>0</v>
      </c>
      <c r="H599" s="34">
        <v>12.5</v>
      </c>
      <c r="I599" s="34">
        <v>125</v>
      </c>
      <c r="J599" s="34">
        <v>1.0069999999999999</v>
      </c>
      <c r="K599" s="34">
        <v>25.57</v>
      </c>
      <c r="L599" s="34">
        <v>2.2850000000000001</v>
      </c>
      <c r="M599" s="34">
        <v>58.04</v>
      </c>
      <c r="N599" s="34">
        <v>0.63500000000000001</v>
      </c>
      <c r="O599" s="34">
        <v>16.2</v>
      </c>
      <c r="P599" s="34">
        <v>2.29</v>
      </c>
      <c r="Q599" s="34">
        <v>229</v>
      </c>
      <c r="R599" s="34">
        <v>28.6</v>
      </c>
      <c r="S599" s="34">
        <v>28600</v>
      </c>
      <c r="T599" s="34">
        <v>5.14</v>
      </c>
      <c r="U599" s="34">
        <f t="shared" si="10"/>
        <v>195</v>
      </c>
      <c r="V599" s="34">
        <f>VLOOKUP(U599,'Powder Core Toroid OD'!$A$2:$B$36,2,FALSE)</f>
        <v>57.2</v>
      </c>
    </row>
    <row r="600" spans="1:22" hidden="1">
      <c r="A600" s="42">
        <v>77195</v>
      </c>
      <c r="B600" s="34" t="s">
        <v>464</v>
      </c>
      <c r="C600" s="158">
        <v>195</v>
      </c>
      <c r="D600" s="34">
        <v>125</v>
      </c>
      <c r="E600" s="34" t="s">
        <v>298</v>
      </c>
      <c r="F600" s="34">
        <v>287</v>
      </c>
      <c r="G600" s="34" t="s">
        <v>0</v>
      </c>
      <c r="H600" s="34">
        <v>12.5</v>
      </c>
      <c r="I600" s="34">
        <v>125</v>
      </c>
      <c r="J600" s="34">
        <v>1.0069999999999999</v>
      </c>
      <c r="K600" s="34">
        <v>25.57</v>
      </c>
      <c r="L600" s="34">
        <v>2.2850000000000001</v>
      </c>
      <c r="M600" s="34">
        <v>58.04</v>
      </c>
      <c r="N600" s="34">
        <v>0.63500000000000001</v>
      </c>
      <c r="O600" s="34">
        <v>16.2</v>
      </c>
      <c r="P600" s="34">
        <v>2.29</v>
      </c>
      <c r="Q600" s="34">
        <v>229</v>
      </c>
      <c r="R600" s="34">
        <v>28.6</v>
      </c>
      <c r="S600" s="34">
        <v>28600</v>
      </c>
      <c r="T600" s="34">
        <v>5.14</v>
      </c>
      <c r="U600" s="34">
        <f t="shared" si="10"/>
        <v>195</v>
      </c>
      <c r="V600" s="34">
        <f>VLOOKUP(U600,'Powder Core Toroid OD'!$A$2:$B$36,2,FALSE)</f>
        <v>57.2</v>
      </c>
    </row>
    <row r="601" spans="1:22" hidden="1">
      <c r="A601" s="42">
        <v>77206</v>
      </c>
      <c r="B601" s="34" t="s">
        <v>463</v>
      </c>
      <c r="C601" s="158">
        <v>206</v>
      </c>
      <c r="D601" s="34">
        <v>125</v>
      </c>
      <c r="E601" s="34" t="s">
        <v>298</v>
      </c>
      <c r="F601" s="34">
        <v>68</v>
      </c>
      <c r="G601" s="34" t="s">
        <v>0</v>
      </c>
      <c r="H601" s="34">
        <v>5.09</v>
      </c>
      <c r="I601" s="34">
        <v>50.9</v>
      </c>
      <c r="J601" s="34">
        <v>0.47500000000000003</v>
      </c>
      <c r="K601" s="35">
        <v>12</v>
      </c>
      <c r="L601" s="41">
        <v>0.83</v>
      </c>
      <c r="M601" s="34">
        <v>21.1</v>
      </c>
      <c r="N601" s="41">
        <v>0.28000000000000003</v>
      </c>
      <c r="O601" s="34">
        <v>7.12</v>
      </c>
      <c r="P601" s="34">
        <v>0.221</v>
      </c>
      <c r="Q601" s="34">
        <v>22.1</v>
      </c>
      <c r="R601" s="40">
        <v>1.1200000000000001</v>
      </c>
      <c r="S601" s="34">
        <v>1120</v>
      </c>
      <c r="T601" s="34">
        <v>1.1399999999999999</v>
      </c>
      <c r="U601" s="34">
        <f t="shared" si="10"/>
        <v>206</v>
      </c>
      <c r="V601" s="34">
        <f>VLOOKUP(U601,'Powder Core Toroid OD'!$A$2:$B$36,2,FALSE)</f>
        <v>20.3</v>
      </c>
    </row>
    <row r="602" spans="1:22" hidden="1">
      <c r="A602" s="42">
        <v>77210</v>
      </c>
      <c r="B602" s="34" t="s">
        <v>462</v>
      </c>
      <c r="C602" s="158">
        <v>206</v>
      </c>
      <c r="D602" s="34">
        <v>90</v>
      </c>
      <c r="E602" s="34" t="s">
        <v>298</v>
      </c>
      <c r="F602" s="34">
        <v>49</v>
      </c>
      <c r="G602" s="34" t="s">
        <v>0</v>
      </c>
      <c r="H602" s="34">
        <v>5.09</v>
      </c>
      <c r="I602" s="34">
        <v>50.9</v>
      </c>
      <c r="J602" s="34">
        <v>0.47500000000000003</v>
      </c>
      <c r="K602" s="35">
        <v>12</v>
      </c>
      <c r="L602" s="41">
        <v>0.83</v>
      </c>
      <c r="M602" s="34">
        <v>21.1</v>
      </c>
      <c r="N602" s="41">
        <v>0.28000000000000003</v>
      </c>
      <c r="O602" s="34">
        <v>7.12</v>
      </c>
      <c r="P602" s="34">
        <v>0.221</v>
      </c>
      <c r="Q602" s="34">
        <v>22.1</v>
      </c>
      <c r="R602" s="40">
        <v>1.1200000000000001</v>
      </c>
      <c r="S602" s="34">
        <v>1120</v>
      </c>
      <c r="T602" s="34">
        <v>1.1399999999999999</v>
      </c>
      <c r="U602" s="34">
        <f t="shared" si="10"/>
        <v>206</v>
      </c>
      <c r="V602" s="34">
        <f>VLOOKUP(U602,'Powder Core Toroid OD'!$A$2:$B$36,2,FALSE)</f>
        <v>20.3</v>
      </c>
    </row>
    <row r="603" spans="1:22" hidden="1">
      <c r="A603" s="42">
        <v>77211</v>
      </c>
      <c r="B603" s="34" t="s">
        <v>461</v>
      </c>
      <c r="C603" s="158">
        <v>206</v>
      </c>
      <c r="D603" s="34">
        <v>75</v>
      </c>
      <c r="E603" s="34" t="s">
        <v>298</v>
      </c>
      <c r="F603" s="34">
        <v>41</v>
      </c>
      <c r="G603" s="34" t="s">
        <v>0</v>
      </c>
      <c r="H603" s="34">
        <v>5.09</v>
      </c>
      <c r="I603" s="34">
        <v>50.9</v>
      </c>
      <c r="J603" s="34">
        <v>0.47500000000000003</v>
      </c>
      <c r="K603" s="35">
        <v>12</v>
      </c>
      <c r="L603" s="41">
        <v>0.83</v>
      </c>
      <c r="M603" s="34">
        <v>21.1</v>
      </c>
      <c r="N603" s="41">
        <v>0.28000000000000003</v>
      </c>
      <c r="O603" s="34">
        <v>7.12</v>
      </c>
      <c r="P603" s="34">
        <v>0.221</v>
      </c>
      <c r="Q603" s="34">
        <v>22.1</v>
      </c>
      <c r="R603" s="40">
        <v>1.1200000000000001</v>
      </c>
      <c r="S603" s="34">
        <v>1120</v>
      </c>
      <c r="T603" s="34">
        <v>1.1399999999999999</v>
      </c>
      <c r="U603" s="34">
        <f t="shared" si="10"/>
        <v>206</v>
      </c>
      <c r="V603" s="34">
        <f>VLOOKUP(U603,'Powder Core Toroid OD'!$A$2:$B$36,2,FALSE)</f>
        <v>20.3</v>
      </c>
    </row>
    <row r="604" spans="1:22" hidden="1">
      <c r="A604" s="42">
        <v>77212</v>
      </c>
      <c r="B604" s="34" t="s">
        <v>460</v>
      </c>
      <c r="C604" s="158">
        <v>109</v>
      </c>
      <c r="D604" s="34">
        <v>40</v>
      </c>
      <c r="E604" s="34" t="s">
        <v>298</v>
      </c>
      <c r="F604" s="34">
        <v>50</v>
      </c>
      <c r="G604" s="34" t="s">
        <v>0</v>
      </c>
      <c r="H604" s="34">
        <v>14.3</v>
      </c>
      <c r="I604" s="34">
        <v>143</v>
      </c>
      <c r="J604" s="34">
        <v>1.3680000000000001</v>
      </c>
      <c r="K604" s="34">
        <v>34.74</v>
      </c>
      <c r="L604" s="34">
        <v>2.2850000000000001</v>
      </c>
      <c r="M604" s="34">
        <v>58.04</v>
      </c>
      <c r="N604" s="34">
        <v>0.58499999999999996</v>
      </c>
      <c r="O604" s="34">
        <v>14.9</v>
      </c>
      <c r="P604" s="34">
        <v>1.44</v>
      </c>
      <c r="Q604" s="34">
        <v>144</v>
      </c>
      <c r="R604" s="34">
        <v>20.7</v>
      </c>
      <c r="S604" s="34">
        <v>20700</v>
      </c>
      <c r="T604" s="34">
        <v>9.48</v>
      </c>
      <c r="U604" s="34">
        <f t="shared" si="10"/>
        <v>109</v>
      </c>
      <c r="V604" s="34">
        <f>VLOOKUP(U604,'Powder Core Toroid OD'!$A$2:$B$36,2,FALSE)</f>
        <v>57.2</v>
      </c>
    </row>
    <row r="605" spans="1:22" hidden="1">
      <c r="A605" s="42">
        <v>77213</v>
      </c>
      <c r="B605" s="34" t="s">
        <v>459</v>
      </c>
      <c r="C605" s="158">
        <v>109</v>
      </c>
      <c r="D605" s="34">
        <v>90</v>
      </c>
      <c r="E605" s="34" t="s">
        <v>298</v>
      </c>
      <c r="F605" s="34">
        <v>112</v>
      </c>
      <c r="G605" s="34" t="s">
        <v>0</v>
      </c>
      <c r="H605" s="34">
        <v>14.3</v>
      </c>
      <c r="I605" s="34">
        <v>143</v>
      </c>
      <c r="J605" s="34">
        <v>1.3680000000000001</v>
      </c>
      <c r="K605" s="34">
        <v>34.74</v>
      </c>
      <c r="L605" s="34">
        <v>2.2850000000000001</v>
      </c>
      <c r="M605" s="34">
        <v>58.04</v>
      </c>
      <c r="N605" s="34">
        <v>0.58499999999999996</v>
      </c>
      <c r="O605" s="34">
        <v>14.9</v>
      </c>
      <c r="P605" s="34">
        <v>1.44</v>
      </c>
      <c r="Q605" s="34">
        <v>144</v>
      </c>
      <c r="R605" s="34">
        <v>20.7</v>
      </c>
      <c r="S605" s="34">
        <v>20700</v>
      </c>
      <c r="T605" s="34">
        <v>9.48</v>
      </c>
      <c r="U605" s="34">
        <f t="shared" si="10"/>
        <v>109</v>
      </c>
      <c r="V605" s="34">
        <f>VLOOKUP(U605,'Powder Core Toroid OD'!$A$2:$B$36,2,FALSE)</f>
        <v>57.2</v>
      </c>
    </row>
    <row r="606" spans="1:22" hidden="1">
      <c r="A606" s="42">
        <v>77214</v>
      </c>
      <c r="B606" s="34" t="s">
        <v>458</v>
      </c>
      <c r="C606" s="158">
        <v>109</v>
      </c>
      <c r="D606" s="34">
        <v>75</v>
      </c>
      <c r="E606" s="34" t="s">
        <v>298</v>
      </c>
      <c r="F606" s="34">
        <v>94</v>
      </c>
      <c r="G606" s="34" t="s">
        <v>0</v>
      </c>
      <c r="H606" s="34">
        <v>14.3</v>
      </c>
      <c r="I606" s="34">
        <v>143</v>
      </c>
      <c r="J606" s="34">
        <v>1.3680000000000001</v>
      </c>
      <c r="K606" s="34">
        <v>34.74</v>
      </c>
      <c r="L606" s="34">
        <v>2.2850000000000001</v>
      </c>
      <c r="M606" s="34">
        <v>58.04</v>
      </c>
      <c r="N606" s="34">
        <v>0.58499999999999996</v>
      </c>
      <c r="O606" s="34">
        <v>14.9</v>
      </c>
      <c r="P606" s="34">
        <v>1.44</v>
      </c>
      <c r="Q606" s="34">
        <v>144</v>
      </c>
      <c r="R606" s="34">
        <v>20.7</v>
      </c>
      <c r="S606" s="34">
        <v>20700</v>
      </c>
      <c r="T606" s="34">
        <v>9.48</v>
      </c>
      <c r="U606" s="34">
        <f t="shared" si="10"/>
        <v>109</v>
      </c>
      <c r="V606" s="34">
        <f>VLOOKUP(U606,'Powder Core Toroid OD'!$A$2:$B$36,2,FALSE)</f>
        <v>57.2</v>
      </c>
    </row>
    <row r="607" spans="1:22" hidden="1">
      <c r="A607" s="42">
        <v>77224</v>
      </c>
      <c r="B607" s="34" t="s">
        <v>457</v>
      </c>
      <c r="C607" s="158">
        <v>120</v>
      </c>
      <c r="D607" s="34">
        <v>90</v>
      </c>
      <c r="E607" s="34" t="s">
        <v>298</v>
      </c>
      <c r="F607" s="34">
        <v>52</v>
      </c>
      <c r="G607" s="34" t="s">
        <v>0</v>
      </c>
      <c r="H607" s="34">
        <v>4.12</v>
      </c>
      <c r="I607" s="34">
        <v>41.2</v>
      </c>
      <c r="J607" s="34">
        <v>0.375</v>
      </c>
      <c r="K607" s="34">
        <v>9.52</v>
      </c>
      <c r="L607" s="41">
        <v>0.68</v>
      </c>
      <c r="M607" s="34">
        <v>17.3</v>
      </c>
      <c r="N607" s="41">
        <v>0.28000000000000003</v>
      </c>
      <c r="O607" s="34">
        <v>7.12</v>
      </c>
      <c r="P607" s="34">
        <v>0.192</v>
      </c>
      <c r="Q607" s="34">
        <v>19.2</v>
      </c>
      <c r="R607" s="34">
        <v>0.79100000000000004</v>
      </c>
      <c r="S607" s="34">
        <v>791</v>
      </c>
      <c r="T607" s="34">
        <v>0.71199999999999997</v>
      </c>
      <c r="U607" s="34">
        <f t="shared" si="10"/>
        <v>120</v>
      </c>
      <c r="V607" s="34">
        <f>VLOOKUP(U607,'Powder Core Toroid OD'!$A$2:$B$36,2,FALSE)</f>
        <v>16.600000000000001</v>
      </c>
    </row>
    <row r="608" spans="1:22" hidden="1">
      <c r="A608" s="42">
        <v>77225</v>
      </c>
      <c r="B608" s="34" t="s">
        <v>456</v>
      </c>
      <c r="C608" s="158">
        <v>120</v>
      </c>
      <c r="D608" s="34">
        <v>75</v>
      </c>
      <c r="E608" s="34" t="s">
        <v>298</v>
      </c>
      <c r="F608" s="34">
        <v>43</v>
      </c>
      <c r="G608" s="34" t="s">
        <v>0</v>
      </c>
      <c r="H608" s="34">
        <v>4.12</v>
      </c>
      <c r="I608" s="34">
        <v>41.2</v>
      </c>
      <c r="J608" s="34">
        <v>0.375</v>
      </c>
      <c r="K608" s="34">
        <v>9.52</v>
      </c>
      <c r="L608" s="41">
        <v>0.68</v>
      </c>
      <c r="M608" s="34">
        <v>17.3</v>
      </c>
      <c r="N608" s="41">
        <v>0.28000000000000003</v>
      </c>
      <c r="O608" s="34">
        <v>7.12</v>
      </c>
      <c r="P608" s="34">
        <v>0.192</v>
      </c>
      <c r="Q608" s="34">
        <v>19.2</v>
      </c>
      <c r="R608" s="34">
        <v>0.79100000000000004</v>
      </c>
      <c r="S608" s="34">
        <v>791</v>
      </c>
      <c r="T608" s="34">
        <v>0.71199999999999997</v>
      </c>
      <c r="U608" s="34">
        <f t="shared" si="10"/>
        <v>120</v>
      </c>
      <c r="V608" s="34">
        <f>VLOOKUP(U608,'Powder Core Toroid OD'!$A$2:$B$36,2,FALSE)</f>
        <v>16.600000000000001</v>
      </c>
    </row>
    <row r="609" spans="1:22" hidden="1">
      <c r="A609" s="42">
        <v>77240</v>
      </c>
      <c r="B609" s="34" t="s">
        <v>455</v>
      </c>
      <c r="C609" s="158">
        <v>240</v>
      </c>
      <c r="D609" s="34">
        <v>125</v>
      </c>
      <c r="E609" s="34" t="s">
        <v>298</v>
      </c>
      <c r="F609" s="34">
        <v>54</v>
      </c>
      <c r="G609" s="34" t="s">
        <v>0</v>
      </c>
      <c r="H609" s="34">
        <v>1.36</v>
      </c>
      <c r="I609" s="34">
        <v>13.6</v>
      </c>
      <c r="J609" s="34">
        <v>8.5000000000000006E-2</v>
      </c>
      <c r="K609" s="34">
        <v>2.15</v>
      </c>
      <c r="L609" s="34">
        <v>0.28499999999999998</v>
      </c>
      <c r="M609" s="34">
        <v>7.24</v>
      </c>
      <c r="N609" s="34">
        <v>0.125</v>
      </c>
      <c r="O609" s="34">
        <v>3.18</v>
      </c>
      <c r="P609" s="34">
        <v>4.7600000000000003E-2</v>
      </c>
      <c r="Q609" s="34">
        <v>4.7600000000000007</v>
      </c>
      <c r="R609" s="34">
        <v>6.4899999999999999E-2</v>
      </c>
      <c r="S609" s="34">
        <v>64.900000000000006</v>
      </c>
      <c r="T609" s="34">
        <v>3.6299999999999999E-2</v>
      </c>
      <c r="U609" s="34">
        <f t="shared" si="10"/>
        <v>240</v>
      </c>
      <c r="V609" s="34">
        <f>VLOOKUP(U609,'Powder Core Toroid OD'!$A$2:$B$36,2,FALSE)</f>
        <v>6.6</v>
      </c>
    </row>
    <row r="610" spans="1:22" hidden="1">
      <c r="A610" s="42">
        <v>77244</v>
      </c>
      <c r="B610" s="34" t="s">
        <v>454</v>
      </c>
      <c r="C610" s="158">
        <v>240</v>
      </c>
      <c r="D610" s="34">
        <v>90</v>
      </c>
      <c r="E610" s="34" t="s">
        <v>298</v>
      </c>
      <c r="F610" s="34">
        <v>39</v>
      </c>
      <c r="G610" s="34" t="s">
        <v>0</v>
      </c>
      <c r="H610" s="34">
        <v>1.36</v>
      </c>
      <c r="I610" s="34">
        <v>13.6</v>
      </c>
      <c r="J610" s="34">
        <v>8.5000000000000006E-2</v>
      </c>
      <c r="K610" s="34">
        <v>2.15</v>
      </c>
      <c r="L610" s="34">
        <v>0.28499999999999998</v>
      </c>
      <c r="M610" s="34">
        <v>7.24</v>
      </c>
      <c r="N610" s="34">
        <v>0.125</v>
      </c>
      <c r="O610" s="34">
        <v>3.18</v>
      </c>
      <c r="P610" s="34">
        <v>4.7600000000000003E-2</v>
      </c>
      <c r="Q610" s="34">
        <v>4.7600000000000007</v>
      </c>
      <c r="R610" s="34">
        <v>6.4899999999999999E-2</v>
      </c>
      <c r="S610" s="34">
        <v>64.900000000000006</v>
      </c>
      <c r="T610" s="34">
        <v>3.6299999999999999E-2</v>
      </c>
      <c r="U610" s="34">
        <f t="shared" si="10"/>
        <v>240</v>
      </c>
      <c r="V610" s="34">
        <f>VLOOKUP(U610,'Powder Core Toroid OD'!$A$2:$B$36,2,FALSE)</f>
        <v>6.6</v>
      </c>
    </row>
    <row r="611" spans="1:22" hidden="1">
      <c r="A611" s="42">
        <v>77254</v>
      </c>
      <c r="B611" s="34" t="s">
        <v>453</v>
      </c>
      <c r="C611" s="158">
        <v>254</v>
      </c>
      <c r="D611" s="34">
        <v>125</v>
      </c>
      <c r="E611" s="34" t="s">
        <v>298</v>
      </c>
      <c r="F611" s="34">
        <v>168</v>
      </c>
      <c r="G611" s="34" t="s">
        <v>0</v>
      </c>
      <c r="H611" s="34">
        <v>9.84</v>
      </c>
      <c r="I611" s="34">
        <v>98.4</v>
      </c>
      <c r="J611" s="34">
        <v>0.91800000000000004</v>
      </c>
      <c r="K611" s="34">
        <v>23.3</v>
      </c>
      <c r="L611" s="34">
        <v>1.605</v>
      </c>
      <c r="M611" s="34">
        <v>40.770000000000003</v>
      </c>
      <c r="N611" s="34">
        <v>0.60499999999999998</v>
      </c>
      <c r="O611" s="34">
        <v>15.4</v>
      </c>
      <c r="P611" s="34">
        <v>1.07</v>
      </c>
      <c r="Q611" s="34">
        <v>107</v>
      </c>
      <c r="R611" s="35">
        <v>10.6</v>
      </c>
      <c r="S611" s="34">
        <v>10600</v>
      </c>
      <c r="T611" s="34">
        <v>4.2699999999999996</v>
      </c>
      <c r="U611" s="34">
        <f t="shared" si="10"/>
        <v>254</v>
      </c>
      <c r="V611" s="34">
        <f>VLOOKUP(U611,'Powder Core Toroid OD'!$A$2:$B$36,2,FALSE)</f>
        <v>39.9</v>
      </c>
    </row>
    <row r="612" spans="1:22" hidden="1">
      <c r="A612" s="42">
        <v>77256</v>
      </c>
      <c r="B612" s="34" t="s">
        <v>452</v>
      </c>
      <c r="C612" s="158">
        <v>254</v>
      </c>
      <c r="D612" s="34">
        <v>26</v>
      </c>
      <c r="E612" s="34" t="s">
        <v>298</v>
      </c>
      <c r="F612" s="34">
        <v>35</v>
      </c>
      <c r="G612" s="34" t="s">
        <v>0</v>
      </c>
      <c r="H612" s="34">
        <v>9.84</v>
      </c>
      <c r="I612" s="34">
        <v>98.4</v>
      </c>
      <c r="J612" s="34">
        <v>0.91800000000000004</v>
      </c>
      <c r="K612" s="34">
        <v>23.3</v>
      </c>
      <c r="L612" s="34">
        <v>1.605</v>
      </c>
      <c r="M612" s="34">
        <v>40.770000000000003</v>
      </c>
      <c r="N612" s="34">
        <v>0.60499999999999998</v>
      </c>
      <c r="O612" s="34">
        <v>15.4</v>
      </c>
      <c r="P612" s="34">
        <v>1.07</v>
      </c>
      <c r="Q612" s="34">
        <v>107</v>
      </c>
      <c r="R612" s="35">
        <v>10.6</v>
      </c>
      <c r="S612" s="34">
        <v>10600</v>
      </c>
      <c r="T612" s="34">
        <v>4.2699999999999996</v>
      </c>
      <c r="U612" s="34">
        <f t="shared" si="10"/>
        <v>254</v>
      </c>
      <c r="V612" s="34">
        <f>VLOOKUP(U612,'Powder Core Toroid OD'!$A$2:$B$36,2,FALSE)</f>
        <v>39.9</v>
      </c>
    </row>
    <row r="613" spans="1:22" hidden="1">
      <c r="A613" s="42">
        <v>77258</v>
      </c>
      <c r="B613" s="34" t="s">
        <v>451</v>
      </c>
      <c r="C613" s="158">
        <v>254</v>
      </c>
      <c r="D613" s="34">
        <v>90</v>
      </c>
      <c r="E613" s="34" t="s">
        <v>298</v>
      </c>
      <c r="F613" s="34">
        <v>121</v>
      </c>
      <c r="G613" s="34" t="s">
        <v>0</v>
      </c>
      <c r="H613" s="34">
        <v>9.84</v>
      </c>
      <c r="I613" s="34">
        <v>98.4</v>
      </c>
      <c r="J613" s="34">
        <v>0.91800000000000004</v>
      </c>
      <c r="K613" s="34">
        <v>23.3</v>
      </c>
      <c r="L613" s="34">
        <v>1.605</v>
      </c>
      <c r="M613" s="34">
        <v>40.770000000000003</v>
      </c>
      <c r="N613" s="34">
        <v>0.60499999999999998</v>
      </c>
      <c r="O613" s="34">
        <v>15.4</v>
      </c>
      <c r="P613" s="34">
        <v>1.07</v>
      </c>
      <c r="Q613" s="34">
        <v>107</v>
      </c>
      <c r="R613" s="35">
        <v>10.6</v>
      </c>
      <c r="S613" s="34">
        <v>10600</v>
      </c>
      <c r="T613" s="34">
        <v>4.2699999999999996</v>
      </c>
      <c r="U613" s="34">
        <f t="shared" si="10"/>
        <v>254</v>
      </c>
      <c r="V613" s="34">
        <f>VLOOKUP(U613,'Powder Core Toroid OD'!$A$2:$B$36,2,FALSE)</f>
        <v>39.9</v>
      </c>
    </row>
    <row r="614" spans="1:22" hidden="1">
      <c r="A614" s="42">
        <v>77259</v>
      </c>
      <c r="B614" s="34" t="s">
        <v>450</v>
      </c>
      <c r="C614" s="158">
        <v>254</v>
      </c>
      <c r="D614" s="34">
        <v>75</v>
      </c>
      <c r="E614" s="34" t="s">
        <v>298</v>
      </c>
      <c r="F614" s="34">
        <v>101</v>
      </c>
      <c r="G614" s="34" t="s">
        <v>0</v>
      </c>
      <c r="H614" s="34">
        <v>9.84</v>
      </c>
      <c r="I614" s="34">
        <v>98.4</v>
      </c>
      <c r="J614" s="34">
        <v>0.91800000000000004</v>
      </c>
      <c r="K614" s="34">
        <v>23.3</v>
      </c>
      <c r="L614" s="34">
        <v>1.605</v>
      </c>
      <c r="M614" s="34">
        <v>40.770000000000003</v>
      </c>
      <c r="N614" s="34">
        <v>0.60499999999999998</v>
      </c>
      <c r="O614" s="34">
        <v>15.4</v>
      </c>
      <c r="P614" s="34">
        <v>1.07</v>
      </c>
      <c r="Q614" s="34">
        <v>107</v>
      </c>
      <c r="R614" s="35">
        <v>10.6</v>
      </c>
      <c r="S614" s="34">
        <v>10600</v>
      </c>
      <c r="T614" s="34">
        <v>4.2699999999999996</v>
      </c>
      <c r="U614" s="34">
        <f t="shared" si="10"/>
        <v>254</v>
      </c>
      <c r="V614" s="34">
        <f>VLOOKUP(U614,'Powder Core Toroid OD'!$A$2:$B$36,2,FALSE)</f>
        <v>39.9</v>
      </c>
    </row>
    <row r="615" spans="1:22" hidden="1">
      <c r="A615" s="42">
        <v>77260</v>
      </c>
      <c r="B615" s="34" t="s">
        <v>449</v>
      </c>
      <c r="C615" s="158">
        <v>254</v>
      </c>
      <c r="D615" s="34">
        <v>40</v>
      </c>
      <c r="E615" s="34" t="s">
        <v>298</v>
      </c>
      <c r="F615" s="34">
        <v>54</v>
      </c>
      <c r="G615" s="34" t="s">
        <v>0</v>
      </c>
      <c r="H615" s="34">
        <v>9.84</v>
      </c>
      <c r="I615" s="34">
        <v>98.4</v>
      </c>
      <c r="J615" s="34">
        <v>0.91800000000000004</v>
      </c>
      <c r="K615" s="34">
        <v>23.3</v>
      </c>
      <c r="L615" s="34">
        <v>1.605</v>
      </c>
      <c r="M615" s="34">
        <v>40.770000000000003</v>
      </c>
      <c r="N615" s="34">
        <v>0.60499999999999998</v>
      </c>
      <c r="O615" s="34">
        <v>15.4</v>
      </c>
      <c r="P615" s="34">
        <v>1.07</v>
      </c>
      <c r="Q615" s="34">
        <v>107</v>
      </c>
      <c r="R615" s="35">
        <v>10.6</v>
      </c>
      <c r="S615" s="34">
        <v>10600</v>
      </c>
      <c r="T615" s="34">
        <v>4.2699999999999996</v>
      </c>
      <c r="U615" s="34">
        <f t="shared" si="10"/>
        <v>254</v>
      </c>
      <c r="V615" s="34">
        <f>VLOOKUP(U615,'Powder Core Toroid OD'!$A$2:$B$36,2,FALSE)</f>
        <v>39.9</v>
      </c>
    </row>
    <row r="616" spans="1:22" hidden="1">
      <c r="A616" s="42">
        <v>77270</v>
      </c>
      <c r="B616" s="34" t="s">
        <v>448</v>
      </c>
      <c r="C616" s="158">
        <v>270</v>
      </c>
      <c r="D616" s="34">
        <v>125</v>
      </c>
      <c r="E616" s="34" t="s">
        <v>298</v>
      </c>
      <c r="F616" s="34">
        <v>103</v>
      </c>
      <c r="G616" s="34" t="s">
        <v>0</v>
      </c>
      <c r="H616" s="34">
        <v>1.36</v>
      </c>
      <c r="I616" s="34">
        <v>13.6</v>
      </c>
      <c r="J616" s="34">
        <v>8.5000000000000006E-2</v>
      </c>
      <c r="K616" s="34">
        <v>2.15</v>
      </c>
      <c r="L616" s="34">
        <v>0.28500000000000003</v>
      </c>
      <c r="M616" s="34">
        <v>7.24</v>
      </c>
      <c r="N616" s="34">
        <v>0.21299999999999999</v>
      </c>
      <c r="O616" s="34">
        <v>5.42</v>
      </c>
      <c r="P616" s="34">
        <v>9.1999999999999998E-2</v>
      </c>
      <c r="Q616" s="34">
        <v>9.1999999999999993</v>
      </c>
      <c r="R616" s="34">
        <v>0.125</v>
      </c>
      <c r="S616" s="34">
        <v>125</v>
      </c>
      <c r="T616" s="34">
        <v>3.6299999999999999E-2</v>
      </c>
      <c r="U616" s="34">
        <f t="shared" si="10"/>
        <v>270</v>
      </c>
      <c r="V616" s="34">
        <f>VLOOKUP(U616,'Powder Core Toroid OD'!$A$2:$B$36,2,FALSE)</f>
        <v>6.6</v>
      </c>
    </row>
    <row r="617" spans="1:22" hidden="1">
      <c r="A617" s="42">
        <v>77271</v>
      </c>
      <c r="B617" s="34" t="s">
        <v>447</v>
      </c>
      <c r="C617" s="158">
        <v>270</v>
      </c>
      <c r="D617" s="34">
        <v>60</v>
      </c>
      <c r="E617" s="34" t="s">
        <v>298</v>
      </c>
      <c r="F617" s="34">
        <v>50</v>
      </c>
      <c r="G617" s="34" t="s">
        <v>0</v>
      </c>
      <c r="H617" s="34">
        <v>1.36</v>
      </c>
      <c r="I617" s="34">
        <v>13.6</v>
      </c>
      <c r="J617" s="34">
        <v>8.5000000000000006E-2</v>
      </c>
      <c r="K617" s="34">
        <v>2.15</v>
      </c>
      <c r="L617" s="34">
        <v>0.28500000000000003</v>
      </c>
      <c r="M617" s="34">
        <v>7.24</v>
      </c>
      <c r="N617" s="34">
        <v>0.21299999999999999</v>
      </c>
      <c r="O617" s="34">
        <v>5.42</v>
      </c>
      <c r="P617" s="34">
        <v>9.1999999999999998E-2</v>
      </c>
      <c r="Q617" s="34">
        <v>9.1999999999999993</v>
      </c>
      <c r="R617" s="34">
        <v>0.125</v>
      </c>
      <c r="S617" s="34">
        <v>125</v>
      </c>
      <c r="T617" s="34">
        <v>3.6299999999999999E-2</v>
      </c>
      <c r="U617" s="34">
        <f t="shared" si="10"/>
        <v>270</v>
      </c>
      <c r="V617" s="34">
        <f>VLOOKUP(U617,'Powder Core Toroid OD'!$A$2:$B$36,2,FALSE)</f>
        <v>6.6</v>
      </c>
    </row>
    <row r="618" spans="1:22" hidden="1">
      <c r="A618" s="42">
        <v>77280</v>
      </c>
      <c r="B618" s="34" t="s">
        <v>446</v>
      </c>
      <c r="C618" s="158">
        <v>280</v>
      </c>
      <c r="D618" s="34">
        <v>125</v>
      </c>
      <c r="E618" s="34" t="s">
        <v>298</v>
      </c>
      <c r="F618" s="34">
        <v>53</v>
      </c>
      <c r="G618" s="34" t="s">
        <v>0</v>
      </c>
      <c r="H618" s="34">
        <v>2.1800000000000002</v>
      </c>
      <c r="I618" s="34">
        <v>21.8</v>
      </c>
      <c r="J618" s="34">
        <v>0.16800000000000001</v>
      </c>
      <c r="K618" s="34">
        <v>4.26</v>
      </c>
      <c r="L618" s="34">
        <v>0.40500000000000003</v>
      </c>
      <c r="M618" s="34">
        <v>10.3</v>
      </c>
      <c r="N618" s="41">
        <v>0.15</v>
      </c>
      <c r="O618" s="34">
        <v>3.8099999999999996</v>
      </c>
      <c r="P618" s="34">
        <v>7.5200000000000003E-2</v>
      </c>
      <c r="Q618" s="34">
        <v>7.52</v>
      </c>
      <c r="R618" s="34">
        <v>0.16400000000000001</v>
      </c>
      <c r="S618" s="34">
        <v>164</v>
      </c>
      <c r="T618" s="34">
        <v>0.14299999999999999</v>
      </c>
      <c r="U618" s="34">
        <f t="shared" si="10"/>
        <v>280</v>
      </c>
      <c r="V618" s="34">
        <f>VLOOKUP(U618,'Powder Core Toroid OD'!$A$2:$B$36,2,FALSE)</f>
        <v>9.65</v>
      </c>
    </row>
    <row r="619" spans="1:22" hidden="1">
      <c r="A619" s="42">
        <v>77281</v>
      </c>
      <c r="B619" s="34" t="s">
        <v>445</v>
      </c>
      <c r="C619" s="158">
        <v>280</v>
      </c>
      <c r="D619" s="34">
        <v>60</v>
      </c>
      <c r="E619" s="34" t="s">
        <v>298</v>
      </c>
      <c r="F619" s="34">
        <v>25</v>
      </c>
      <c r="G619" s="34" t="s">
        <v>0</v>
      </c>
      <c r="H619" s="34">
        <v>2.1800000000000002</v>
      </c>
      <c r="I619" s="34">
        <v>21.8</v>
      </c>
      <c r="J619" s="34">
        <v>0.16800000000000001</v>
      </c>
      <c r="K619" s="34">
        <v>4.26</v>
      </c>
      <c r="L619" s="34">
        <v>0.40500000000000003</v>
      </c>
      <c r="M619" s="34">
        <v>10.3</v>
      </c>
      <c r="N619" s="41">
        <v>0.15</v>
      </c>
      <c r="O619" s="34">
        <v>3.8099999999999996</v>
      </c>
      <c r="P619" s="34">
        <v>7.5200000000000003E-2</v>
      </c>
      <c r="Q619" s="34">
        <v>7.52</v>
      </c>
      <c r="R619" s="34">
        <v>0.16400000000000001</v>
      </c>
      <c r="S619" s="34">
        <v>164</v>
      </c>
      <c r="T619" s="34">
        <v>0.14299999999999999</v>
      </c>
      <c r="U619" s="34">
        <f t="shared" si="10"/>
        <v>280</v>
      </c>
      <c r="V619" s="34">
        <f>VLOOKUP(U619,'Powder Core Toroid OD'!$A$2:$B$36,2,FALSE)</f>
        <v>9.65</v>
      </c>
    </row>
    <row r="620" spans="1:22" hidden="1">
      <c r="A620" s="42">
        <v>77290</v>
      </c>
      <c r="B620" s="34" t="s">
        <v>444</v>
      </c>
      <c r="C620" s="158">
        <v>290</v>
      </c>
      <c r="D620" s="34">
        <v>125</v>
      </c>
      <c r="E620" s="34" t="s">
        <v>298</v>
      </c>
      <c r="F620" s="34">
        <v>66</v>
      </c>
      <c r="G620" s="34" t="s">
        <v>0</v>
      </c>
      <c r="H620" s="34">
        <v>2.1800000000000002</v>
      </c>
      <c r="I620" s="34">
        <v>21.8</v>
      </c>
      <c r="J620" s="34">
        <v>0.16800000000000001</v>
      </c>
      <c r="K620" s="34">
        <v>4.26</v>
      </c>
      <c r="L620" s="34">
        <v>0.40500000000000003</v>
      </c>
      <c r="M620" s="34">
        <v>10.3</v>
      </c>
      <c r="N620" s="34">
        <v>0.18099999999999999</v>
      </c>
      <c r="O620" s="40">
        <v>4.5999999999999996</v>
      </c>
      <c r="P620" s="34">
        <v>9.4500000000000001E-2</v>
      </c>
      <c r="Q620" s="34">
        <v>9.4499999999999993</v>
      </c>
      <c r="R620" s="34">
        <v>0.20599999999999999</v>
      </c>
      <c r="S620" s="34">
        <v>206</v>
      </c>
      <c r="T620" s="34">
        <v>0.14299999999999999</v>
      </c>
      <c r="U620" s="34">
        <f t="shared" si="10"/>
        <v>290</v>
      </c>
      <c r="V620" s="34">
        <f>VLOOKUP(U620,'Powder Core Toroid OD'!$A$2:$B$36,2,FALSE)</f>
        <v>9.65</v>
      </c>
    </row>
    <row r="621" spans="1:22" hidden="1">
      <c r="A621" s="42">
        <v>77291</v>
      </c>
      <c r="B621" s="34" t="s">
        <v>443</v>
      </c>
      <c r="C621" s="158">
        <v>290</v>
      </c>
      <c r="D621" s="34">
        <v>60</v>
      </c>
      <c r="E621" s="34" t="s">
        <v>298</v>
      </c>
      <c r="F621" s="34">
        <v>32</v>
      </c>
      <c r="G621" s="34" t="s">
        <v>0</v>
      </c>
      <c r="H621" s="34">
        <v>2.1800000000000002</v>
      </c>
      <c r="I621" s="34">
        <v>21.8</v>
      </c>
      <c r="J621" s="34">
        <v>0.16800000000000001</v>
      </c>
      <c r="K621" s="34">
        <v>4.26</v>
      </c>
      <c r="L621" s="34">
        <v>0.40500000000000003</v>
      </c>
      <c r="M621" s="34">
        <v>10.3</v>
      </c>
      <c r="N621" s="34">
        <v>0.18099999999999999</v>
      </c>
      <c r="O621" s="40">
        <v>4.5999999999999996</v>
      </c>
      <c r="P621" s="34">
        <v>9.4500000000000001E-2</v>
      </c>
      <c r="Q621" s="34">
        <v>9.4499999999999993</v>
      </c>
      <c r="R621" s="34">
        <v>0.20599999999999999</v>
      </c>
      <c r="S621" s="34">
        <v>206</v>
      </c>
      <c r="T621" s="34">
        <v>0.14299999999999999</v>
      </c>
      <c r="U621" s="34">
        <f t="shared" si="10"/>
        <v>290</v>
      </c>
      <c r="V621" s="34">
        <f>VLOOKUP(U621,'Powder Core Toroid OD'!$A$2:$B$36,2,FALSE)</f>
        <v>9.65</v>
      </c>
    </row>
    <row r="622" spans="1:22" hidden="1">
      <c r="A622" s="42">
        <v>77294</v>
      </c>
      <c r="B622" s="34" t="s">
        <v>442</v>
      </c>
      <c r="C622" s="158">
        <v>290</v>
      </c>
      <c r="D622" s="34">
        <v>90</v>
      </c>
      <c r="E622" s="34" t="s">
        <v>298</v>
      </c>
      <c r="F622" s="34">
        <v>48</v>
      </c>
      <c r="G622" s="34" t="s">
        <v>0</v>
      </c>
      <c r="H622" s="34">
        <v>2.1800000000000002</v>
      </c>
      <c r="I622" s="34">
        <v>21.8</v>
      </c>
      <c r="J622" s="34">
        <v>0.16800000000000001</v>
      </c>
      <c r="K622" s="34">
        <v>4.26</v>
      </c>
      <c r="L622" s="34">
        <v>0.40500000000000003</v>
      </c>
      <c r="M622" s="34">
        <v>10.3</v>
      </c>
      <c r="N622" s="34">
        <v>0.18099999999999999</v>
      </c>
      <c r="O622" s="40">
        <v>4.5999999999999996</v>
      </c>
      <c r="P622" s="34">
        <v>9.4500000000000001E-2</v>
      </c>
      <c r="Q622" s="34">
        <v>9.4499999999999993</v>
      </c>
      <c r="R622" s="34">
        <v>0.20599999999999999</v>
      </c>
      <c r="S622" s="34">
        <v>206</v>
      </c>
      <c r="T622" s="34">
        <v>0.14299999999999999</v>
      </c>
      <c r="U622" s="34">
        <f t="shared" si="10"/>
        <v>290</v>
      </c>
      <c r="V622" s="34">
        <f>VLOOKUP(U622,'Powder Core Toroid OD'!$A$2:$B$36,2,FALSE)</f>
        <v>9.65</v>
      </c>
    </row>
    <row r="623" spans="1:22" hidden="1">
      <c r="A623" s="42">
        <v>77310</v>
      </c>
      <c r="B623" s="34" t="s">
        <v>441</v>
      </c>
      <c r="C623" s="158">
        <v>310</v>
      </c>
      <c r="D623" s="34">
        <v>125</v>
      </c>
      <c r="E623" s="34" t="s">
        <v>298</v>
      </c>
      <c r="F623" s="34">
        <v>90</v>
      </c>
      <c r="G623" s="34" t="s">
        <v>0</v>
      </c>
      <c r="H623" s="34">
        <v>5.67</v>
      </c>
      <c r="I623" s="34">
        <v>56.7</v>
      </c>
      <c r="J623" s="34">
        <v>0.52500000000000002</v>
      </c>
      <c r="K623" s="34">
        <v>13.3</v>
      </c>
      <c r="L623" s="41">
        <v>0.93</v>
      </c>
      <c r="M623" s="34">
        <v>23.7</v>
      </c>
      <c r="N623" s="41">
        <v>0.33</v>
      </c>
      <c r="O623" s="34">
        <v>8.39</v>
      </c>
      <c r="P623" s="34">
        <v>0.317</v>
      </c>
      <c r="Q623" s="34">
        <v>31.7</v>
      </c>
      <c r="R623" s="40">
        <v>1.8</v>
      </c>
      <c r="S623" s="34">
        <v>1800</v>
      </c>
      <c r="T623" s="34">
        <v>1.39</v>
      </c>
      <c r="U623" s="34">
        <f t="shared" ref="U623:U686" si="11">C623*1</f>
        <v>310</v>
      </c>
      <c r="V623" s="34">
        <f>VLOOKUP(U623,'Powder Core Toroid OD'!$A$2:$B$36,2,FALSE)</f>
        <v>22.9</v>
      </c>
    </row>
    <row r="624" spans="1:22" hidden="1">
      <c r="A624" s="42">
        <v>77312</v>
      </c>
      <c r="B624" s="34" t="s">
        <v>440</v>
      </c>
      <c r="C624" s="158">
        <v>310</v>
      </c>
      <c r="D624" s="34">
        <v>26</v>
      </c>
      <c r="E624" s="34" t="s">
        <v>298</v>
      </c>
      <c r="F624" s="34">
        <v>19</v>
      </c>
      <c r="G624" s="34" t="s">
        <v>0</v>
      </c>
      <c r="H624" s="34">
        <v>5.67</v>
      </c>
      <c r="I624" s="34">
        <v>56.7</v>
      </c>
      <c r="J624" s="34">
        <v>0.52500000000000002</v>
      </c>
      <c r="K624" s="34">
        <v>13.3</v>
      </c>
      <c r="L624" s="41">
        <v>0.93</v>
      </c>
      <c r="M624" s="34">
        <v>23.7</v>
      </c>
      <c r="N624" s="41">
        <v>0.33</v>
      </c>
      <c r="O624" s="34">
        <v>8.39</v>
      </c>
      <c r="P624" s="34">
        <v>0.317</v>
      </c>
      <c r="Q624" s="34">
        <v>31.7</v>
      </c>
      <c r="R624" s="40">
        <v>1.8</v>
      </c>
      <c r="S624" s="34">
        <v>1800</v>
      </c>
      <c r="T624" s="34">
        <v>1.39</v>
      </c>
      <c r="U624" s="34">
        <f t="shared" si="11"/>
        <v>310</v>
      </c>
      <c r="V624" s="34">
        <f>VLOOKUP(U624,'Powder Core Toroid OD'!$A$2:$B$36,2,FALSE)</f>
        <v>22.9</v>
      </c>
    </row>
    <row r="625" spans="1:22" hidden="1">
      <c r="A625" s="42">
        <v>77314</v>
      </c>
      <c r="B625" s="34" t="s">
        <v>439</v>
      </c>
      <c r="C625" s="158">
        <v>310</v>
      </c>
      <c r="D625" s="34">
        <v>90</v>
      </c>
      <c r="E625" s="34" t="s">
        <v>298</v>
      </c>
      <c r="F625" s="34">
        <v>65</v>
      </c>
      <c r="G625" s="34" t="s">
        <v>0</v>
      </c>
      <c r="H625" s="34">
        <v>5.67</v>
      </c>
      <c r="I625" s="34">
        <v>56.7</v>
      </c>
      <c r="J625" s="34">
        <v>0.52500000000000002</v>
      </c>
      <c r="K625" s="34">
        <v>13.3</v>
      </c>
      <c r="L625" s="41">
        <v>0.93</v>
      </c>
      <c r="M625" s="34">
        <v>23.7</v>
      </c>
      <c r="N625" s="41">
        <v>0.33</v>
      </c>
      <c r="O625" s="34">
        <v>8.39</v>
      </c>
      <c r="P625" s="34">
        <v>0.317</v>
      </c>
      <c r="Q625" s="34">
        <v>31.7</v>
      </c>
      <c r="R625" s="40">
        <v>1.8</v>
      </c>
      <c r="S625" s="34">
        <v>1800</v>
      </c>
      <c r="T625" s="34">
        <v>1.39</v>
      </c>
      <c r="U625" s="34">
        <f t="shared" si="11"/>
        <v>310</v>
      </c>
      <c r="V625" s="34">
        <f>VLOOKUP(U625,'Powder Core Toroid OD'!$A$2:$B$36,2,FALSE)</f>
        <v>22.9</v>
      </c>
    </row>
    <row r="626" spans="1:22" hidden="1">
      <c r="A626" s="42">
        <v>77315</v>
      </c>
      <c r="B626" s="34" t="s">
        <v>438</v>
      </c>
      <c r="C626" s="158">
        <v>310</v>
      </c>
      <c r="D626" s="34">
        <v>75</v>
      </c>
      <c r="E626" s="34" t="s">
        <v>298</v>
      </c>
      <c r="F626" s="34">
        <v>54</v>
      </c>
      <c r="G626" s="34" t="s">
        <v>0</v>
      </c>
      <c r="H626" s="34">
        <v>5.67</v>
      </c>
      <c r="I626" s="34">
        <v>56.7</v>
      </c>
      <c r="J626" s="34">
        <v>0.52500000000000002</v>
      </c>
      <c r="K626" s="34">
        <v>13.3</v>
      </c>
      <c r="L626" s="41">
        <v>0.93</v>
      </c>
      <c r="M626" s="34">
        <v>23.7</v>
      </c>
      <c r="N626" s="41">
        <v>0.33</v>
      </c>
      <c r="O626" s="34">
        <v>8.39</v>
      </c>
      <c r="P626" s="34">
        <v>0.317</v>
      </c>
      <c r="Q626" s="34">
        <v>31.7</v>
      </c>
      <c r="R626" s="40">
        <v>1.8</v>
      </c>
      <c r="S626" s="34">
        <v>1800</v>
      </c>
      <c r="T626" s="34">
        <v>1.39</v>
      </c>
      <c r="U626" s="34">
        <f t="shared" si="11"/>
        <v>310</v>
      </c>
      <c r="V626" s="34">
        <f>VLOOKUP(U626,'Powder Core Toroid OD'!$A$2:$B$36,2,FALSE)</f>
        <v>22.9</v>
      </c>
    </row>
    <row r="627" spans="1:22" hidden="1">
      <c r="A627" s="42">
        <v>77316</v>
      </c>
      <c r="B627" s="34" t="s">
        <v>437</v>
      </c>
      <c r="C627" s="158">
        <v>310</v>
      </c>
      <c r="D627" s="34">
        <v>40</v>
      </c>
      <c r="E627" s="34" t="s">
        <v>298</v>
      </c>
      <c r="F627" s="34">
        <v>29</v>
      </c>
      <c r="G627" s="34" t="s">
        <v>0</v>
      </c>
      <c r="H627" s="34">
        <v>5.67</v>
      </c>
      <c r="I627" s="34">
        <v>56.7</v>
      </c>
      <c r="J627" s="34">
        <v>0.52500000000000002</v>
      </c>
      <c r="K627" s="34">
        <v>13.3</v>
      </c>
      <c r="L627" s="41">
        <v>0.93</v>
      </c>
      <c r="M627" s="34">
        <v>23.7</v>
      </c>
      <c r="N627" s="41">
        <v>0.33</v>
      </c>
      <c r="O627" s="34">
        <v>8.39</v>
      </c>
      <c r="P627" s="34">
        <v>0.317</v>
      </c>
      <c r="Q627" s="34">
        <v>31.7</v>
      </c>
      <c r="R627" s="40">
        <v>1.8</v>
      </c>
      <c r="S627" s="34">
        <v>1800</v>
      </c>
      <c r="T627" s="34">
        <v>1.39</v>
      </c>
      <c r="U627" s="34">
        <f t="shared" si="11"/>
        <v>310</v>
      </c>
      <c r="V627" s="34">
        <f>VLOOKUP(U627,'Powder Core Toroid OD'!$A$2:$B$36,2,FALSE)</f>
        <v>22.9</v>
      </c>
    </row>
    <row r="628" spans="1:22" hidden="1">
      <c r="A628" s="42">
        <v>77324</v>
      </c>
      <c r="B628" s="34" t="s">
        <v>436</v>
      </c>
      <c r="C628" s="158">
        <v>324</v>
      </c>
      <c r="D628" s="34">
        <v>125</v>
      </c>
      <c r="E628" s="34" t="s">
        <v>298</v>
      </c>
      <c r="F628" s="34">
        <v>117</v>
      </c>
      <c r="G628" s="34" t="s">
        <v>0</v>
      </c>
      <c r="H628" s="34">
        <v>8.98</v>
      </c>
      <c r="I628" s="34">
        <v>89.800000000000011</v>
      </c>
      <c r="J628" s="34">
        <v>0.84799999999999998</v>
      </c>
      <c r="K628" s="34">
        <v>21.5</v>
      </c>
      <c r="L628" s="34">
        <v>1.4450000000000001</v>
      </c>
      <c r="M628" s="34">
        <v>36.71</v>
      </c>
      <c r="N628" s="34">
        <v>0.44700000000000001</v>
      </c>
      <c r="O628" s="34">
        <v>11.4</v>
      </c>
      <c r="P628" s="34">
        <v>0.67800000000000005</v>
      </c>
      <c r="Q628" s="34">
        <v>67.800000000000011</v>
      </c>
      <c r="R628" s="40">
        <v>6.09</v>
      </c>
      <c r="S628" s="34">
        <v>6090</v>
      </c>
      <c r="T628" s="34">
        <v>3.64</v>
      </c>
      <c r="U628" s="34">
        <f t="shared" si="11"/>
        <v>324</v>
      </c>
      <c r="V628" s="34">
        <f>VLOOKUP(U628,'Powder Core Toroid OD'!$A$2:$B$36,2,FALSE)</f>
        <v>35.799999999999997</v>
      </c>
    </row>
    <row r="629" spans="1:22" hidden="1">
      <c r="A629" s="42">
        <v>77326</v>
      </c>
      <c r="B629" s="34" t="s">
        <v>435</v>
      </c>
      <c r="C629" s="158">
        <v>324</v>
      </c>
      <c r="D629" s="34">
        <v>26</v>
      </c>
      <c r="E629" s="34" t="s">
        <v>298</v>
      </c>
      <c r="F629" s="34">
        <v>24</v>
      </c>
      <c r="G629" s="34" t="s">
        <v>0</v>
      </c>
      <c r="H629" s="34">
        <v>8.98</v>
      </c>
      <c r="I629" s="34">
        <v>89.800000000000011</v>
      </c>
      <c r="J629" s="34">
        <v>0.84799999999999998</v>
      </c>
      <c r="K629" s="34">
        <v>21.5</v>
      </c>
      <c r="L629" s="34">
        <v>1.4450000000000001</v>
      </c>
      <c r="M629" s="34">
        <v>36.71</v>
      </c>
      <c r="N629" s="34">
        <v>0.44700000000000001</v>
      </c>
      <c r="O629" s="34">
        <v>11.4</v>
      </c>
      <c r="P629" s="34">
        <v>0.67800000000000005</v>
      </c>
      <c r="Q629" s="34">
        <v>67.800000000000011</v>
      </c>
      <c r="R629" s="40">
        <v>6.09</v>
      </c>
      <c r="S629" s="34">
        <v>6090</v>
      </c>
      <c r="T629" s="34">
        <v>3.64</v>
      </c>
      <c r="U629" s="34">
        <f t="shared" si="11"/>
        <v>324</v>
      </c>
      <c r="V629" s="34">
        <f>VLOOKUP(U629,'Powder Core Toroid OD'!$A$2:$B$36,2,FALSE)</f>
        <v>35.799999999999997</v>
      </c>
    </row>
    <row r="630" spans="1:22" hidden="1">
      <c r="A630" s="42">
        <v>77328</v>
      </c>
      <c r="B630" s="34" t="s">
        <v>434</v>
      </c>
      <c r="C630" s="158">
        <v>324</v>
      </c>
      <c r="D630" s="34">
        <v>90</v>
      </c>
      <c r="E630" s="34" t="s">
        <v>298</v>
      </c>
      <c r="F630" s="34">
        <v>84</v>
      </c>
      <c r="G630" s="34" t="s">
        <v>0</v>
      </c>
      <c r="H630" s="34">
        <v>8.98</v>
      </c>
      <c r="I630" s="34">
        <v>89.800000000000011</v>
      </c>
      <c r="J630" s="34">
        <v>0.84799999999999998</v>
      </c>
      <c r="K630" s="34">
        <v>21.5</v>
      </c>
      <c r="L630" s="34">
        <v>1.4450000000000001</v>
      </c>
      <c r="M630" s="34">
        <v>36.71</v>
      </c>
      <c r="N630" s="34">
        <v>0.44700000000000001</v>
      </c>
      <c r="O630" s="34">
        <v>11.4</v>
      </c>
      <c r="P630" s="34">
        <v>0.67800000000000005</v>
      </c>
      <c r="Q630" s="34">
        <v>67.800000000000011</v>
      </c>
      <c r="R630" s="40">
        <v>6.09</v>
      </c>
      <c r="S630" s="34">
        <v>6090</v>
      </c>
      <c r="T630" s="34">
        <v>3.64</v>
      </c>
      <c r="U630" s="34">
        <f t="shared" si="11"/>
        <v>324</v>
      </c>
      <c r="V630" s="34">
        <f>VLOOKUP(U630,'Powder Core Toroid OD'!$A$2:$B$36,2,FALSE)</f>
        <v>35.799999999999997</v>
      </c>
    </row>
    <row r="631" spans="1:22" hidden="1">
      <c r="A631" s="42">
        <v>77329</v>
      </c>
      <c r="B631" s="34" t="s">
        <v>433</v>
      </c>
      <c r="C631" s="158">
        <v>324</v>
      </c>
      <c r="D631" s="34">
        <v>75</v>
      </c>
      <c r="E631" s="34" t="s">
        <v>298</v>
      </c>
      <c r="F631" s="34">
        <v>70</v>
      </c>
      <c r="G631" s="34" t="s">
        <v>0</v>
      </c>
      <c r="H631" s="34">
        <v>8.98</v>
      </c>
      <c r="I631" s="34">
        <v>89.800000000000011</v>
      </c>
      <c r="J631" s="34">
        <v>0.84799999999999998</v>
      </c>
      <c r="K631" s="34">
        <v>21.5</v>
      </c>
      <c r="L631" s="34">
        <v>1.4450000000000001</v>
      </c>
      <c r="M631" s="34">
        <v>36.71</v>
      </c>
      <c r="N631" s="34">
        <v>0.44700000000000001</v>
      </c>
      <c r="O631" s="34">
        <v>11.4</v>
      </c>
      <c r="P631" s="34">
        <v>0.67800000000000005</v>
      </c>
      <c r="Q631" s="34">
        <v>67.800000000000011</v>
      </c>
      <c r="R631" s="40">
        <v>6.09</v>
      </c>
      <c r="S631" s="34">
        <v>6090</v>
      </c>
      <c r="T631" s="34">
        <v>3.64</v>
      </c>
      <c r="U631" s="34">
        <f t="shared" si="11"/>
        <v>324</v>
      </c>
      <c r="V631" s="34">
        <f>VLOOKUP(U631,'Powder Core Toroid OD'!$A$2:$B$36,2,FALSE)</f>
        <v>35.799999999999997</v>
      </c>
    </row>
    <row r="632" spans="1:22" hidden="1">
      <c r="A632" s="42">
        <v>77330</v>
      </c>
      <c r="B632" s="34" t="s">
        <v>432</v>
      </c>
      <c r="C632" s="158">
        <v>324</v>
      </c>
      <c r="D632" s="34">
        <v>40</v>
      </c>
      <c r="E632" s="34" t="s">
        <v>298</v>
      </c>
      <c r="F632" s="34">
        <v>37</v>
      </c>
      <c r="G632" s="34" t="s">
        <v>0</v>
      </c>
      <c r="H632" s="34">
        <v>8.98</v>
      </c>
      <c r="I632" s="34">
        <v>89.800000000000011</v>
      </c>
      <c r="J632" s="34">
        <v>0.84799999999999998</v>
      </c>
      <c r="K632" s="34">
        <v>21.5</v>
      </c>
      <c r="L632" s="34">
        <v>1.4450000000000001</v>
      </c>
      <c r="M632" s="34">
        <v>36.71</v>
      </c>
      <c r="N632" s="34">
        <v>0.44700000000000001</v>
      </c>
      <c r="O632" s="34">
        <v>11.4</v>
      </c>
      <c r="P632" s="34">
        <v>0.67800000000000005</v>
      </c>
      <c r="Q632" s="34">
        <v>67.800000000000011</v>
      </c>
      <c r="R632" s="40">
        <v>6.09</v>
      </c>
      <c r="S632" s="34">
        <v>6090</v>
      </c>
      <c r="T632" s="34">
        <v>3.64</v>
      </c>
      <c r="U632" s="34">
        <f t="shared" si="11"/>
        <v>324</v>
      </c>
      <c r="V632" s="34">
        <f>VLOOKUP(U632,'Powder Core Toroid OD'!$A$2:$B$36,2,FALSE)</f>
        <v>35.799999999999997</v>
      </c>
    </row>
    <row r="633" spans="1:22" hidden="1">
      <c r="A633" s="42">
        <v>77334</v>
      </c>
      <c r="B633" s="34" t="s">
        <v>431</v>
      </c>
      <c r="C633" s="158">
        <v>130</v>
      </c>
      <c r="D633" s="34">
        <v>90</v>
      </c>
      <c r="E633" s="34" t="s">
        <v>298</v>
      </c>
      <c r="F633" s="34">
        <v>38</v>
      </c>
      <c r="G633" s="34" t="s">
        <v>0</v>
      </c>
      <c r="H633" s="34">
        <v>2.69</v>
      </c>
      <c r="I633" s="34">
        <v>26.9</v>
      </c>
      <c r="J633" s="41">
        <v>0.23</v>
      </c>
      <c r="K633" s="34">
        <v>5.84</v>
      </c>
      <c r="L633" s="34">
        <v>0.46500000000000002</v>
      </c>
      <c r="M633" s="34">
        <v>11.9</v>
      </c>
      <c r="N633" s="34">
        <v>0.18099999999999999</v>
      </c>
      <c r="O633" s="41">
        <v>4.5999999999999996</v>
      </c>
      <c r="P633" s="34">
        <v>9.06E-2</v>
      </c>
      <c r="Q633" s="34">
        <v>9.06</v>
      </c>
      <c r="R633" s="34">
        <v>0.24399999999999999</v>
      </c>
      <c r="S633" s="34">
        <v>244</v>
      </c>
      <c r="T633" s="34">
        <v>0.26800000000000002</v>
      </c>
      <c r="U633" s="34">
        <f t="shared" si="11"/>
        <v>130</v>
      </c>
      <c r="V633" s="34">
        <f>VLOOKUP(U633,'Powder Core Toroid OD'!$A$2:$B$36,2,FALSE)</f>
        <v>11.2</v>
      </c>
    </row>
    <row r="634" spans="1:22" hidden="1">
      <c r="A634" s="42">
        <v>77335</v>
      </c>
      <c r="B634" s="34" t="s">
        <v>430</v>
      </c>
      <c r="C634" s="158">
        <v>130</v>
      </c>
      <c r="D634" s="34">
        <v>75</v>
      </c>
      <c r="E634" s="34" t="s">
        <v>298</v>
      </c>
      <c r="F634" s="34">
        <v>32</v>
      </c>
      <c r="G634" s="34" t="s">
        <v>0</v>
      </c>
      <c r="H634" s="34">
        <v>2.69</v>
      </c>
      <c r="I634" s="34">
        <v>26.9</v>
      </c>
      <c r="J634" s="41">
        <v>0.23</v>
      </c>
      <c r="K634" s="34">
        <v>5.84</v>
      </c>
      <c r="L634" s="34">
        <v>0.46500000000000002</v>
      </c>
      <c r="M634" s="34">
        <v>11.9</v>
      </c>
      <c r="N634" s="34">
        <v>0.18099999999999999</v>
      </c>
      <c r="O634" s="41">
        <v>4.5999999999999996</v>
      </c>
      <c r="P634" s="34">
        <v>9.06E-2</v>
      </c>
      <c r="Q634" s="34">
        <v>9.06</v>
      </c>
      <c r="R634" s="34">
        <v>0.24399999999999999</v>
      </c>
      <c r="S634" s="34">
        <v>244</v>
      </c>
      <c r="T634" s="34">
        <v>0.26800000000000002</v>
      </c>
      <c r="U634" s="34">
        <f t="shared" si="11"/>
        <v>130</v>
      </c>
      <c r="V634" s="34">
        <f>VLOOKUP(U634,'Powder Core Toroid OD'!$A$2:$B$36,2,FALSE)</f>
        <v>11.2</v>
      </c>
    </row>
    <row r="635" spans="1:22" hidden="1">
      <c r="A635" s="42">
        <v>77350</v>
      </c>
      <c r="B635" s="34" t="s">
        <v>429</v>
      </c>
      <c r="C635" s="158">
        <v>350</v>
      </c>
      <c r="D635" s="34">
        <v>125</v>
      </c>
      <c r="E635" s="34" t="s">
        <v>298</v>
      </c>
      <c r="F635" s="34">
        <v>105</v>
      </c>
      <c r="G635" s="34" t="s">
        <v>0</v>
      </c>
      <c r="H635" s="34">
        <v>5.88</v>
      </c>
      <c r="I635" s="34">
        <v>58.8</v>
      </c>
      <c r="J635" s="34">
        <v>0.54200000000000004</v>
      </c>
      <c r="K635" s="34">
        <v>13.7</v>
      </c>
      <c r="L635" s="34">
        <v>0.95799999999999996</v>
      </c>
      <c r="M635" s="34">
        <v>24.4</v>
      </c>
      <c r="N635" s="41">
        <v>0.38</v>
      </c>
      <c r="O635" s="34">
        <v>9.66</v>
      </c>
      <c r="P635" s="34">
        <v>0.38800000000000001</v>
      </c>
      <c r="Q635" s="34">
        <v>38.800000000000004</v>
      </c>
      <c r="R635" s="40">
        <v>2.2814399999999999</v>
      </c>
      <c r="S635" s="34">
        <v>2280</v>
      </c>
      <c r="T635" s="34">
        <v>1.49</v>
      </c>
      <c r="U635" s="34">
        <f t="shared" si="11"/>
        <v>350</v>
      </c>
      <c r="V635" s="34">
        <f>VLOOKUP(U635,'Powder Core Toroid OD'!$A$2:$B$36,2,FALSE)</f>
        <v>23.6</v>
      </c>
    </row>
    <row r="636" spans="1:22" hidden="1">
      <c r="A636" s="42">
        <v>77351</v>
      </c>
      <c r="B636" s="34" t="s">
        <v>428</v>
      </c>
      <c r="C636" s="158">
        <v>350</v>
      </c>
      <c r="D636" s="34">
        <v>60</v>
      </c>
      <c r="E636" s="34" t="s">
        <v>298</v>
      </c>
      <c r="F636" s="34">
        <v>51</v>
      </c>
      <c r="G636" s="34" t="s">
        <v>0</v>
      </c>
      <c r="H636" s="34">
        <v>5.88</v>
      </c>
      <c r="I636" s="34">
        <v>58.8</v>
      </c>
      <c r="J636" s="34">
        <v>0.54200000000000004</v>
      </c>
      <c r="K636" s="34">
        <v>13.7</v>
      </c>
      <c r="L636" s="34">
        <v>0.95799999999999996</v>
      </c>
      <c r="M636" s="34">
        <v>24.4</v>
      </c>
      <c r="N636" s="41">
        <v>0.38</v>
      </c>
      <c r="O636" s="34">
        <v>9.66</v>
      </c>
      <c r="P636" s="34">
        <v>0.38800000000000001</v>
      </c>
      <c r="Q636" s="34">
        <v>38.800000000000004</v>
      </c>
      <c r="R636" s="40">
        <v>2.2814399999999999</v>
      </c>
      <c r="S636" s="34">
        <v>2280</v>
      </c>
      <c r="T636" s="34">
        <v>1.49</v>
      </c>
      <c r="U636" s="34">
        <f t="shared" si="11"/>
        <v>350</v>
      </c>
      <c r="V636" s="34">
        <f>VLOOKUP(U636,'Powder Core Toroid OD'!$A$2:$B$36,2,FALSE)</f>
        <v>23.6</v>
      </c>
    </row>
    <row r="637" spans="1:22" hidden="1">
      <c r="A637" s="42">
        <v>77352</v>
      </c>
      <c r="B637" s="34" t="s">
        <v>427</v>
      </c>
      <c r="C637" s="158">
        <v>350</v>
      </c>
      <c r="D637" s="34">
        <v>26</v>
      </c>
      <c r="E637" s="34" t="s">
        <v>298</v>
      </c>
      <c r="F637" s="34">
        <v>22</v>
      </c>
      <c r="G637" s="34" t="s">
        <v>0</v>
      </c>
      <c r="H637" s="34">
        <v>5.88</v>
      </c>
      <c r="I637" s="34">
        <v>58.8</v>
      </c>
      <c r="J637" s="34">
        <v>0.54200000000000004</v>
      </c>
      <c r="K637" s="34">
        <v>13.7</v>
      </c>
      <c r="L637" s="34">
        <v>0.95799999999999996</v>
      </c>
      <c r="M637" s="34">
        <v>24.4</v>
      </c>
      <c r="N637" s="41">
        <v>0.38</v>
      </c>
      <c r="O637" s="34">
        <v>9.66</v>
      </c>
      <c r="P637" s="34">
        <v>0.38800000000000001</v>
      </c>
      <c r="Q637" s="34">
        <v>38.800000000000004</v>
      </c>
      <c r="R637" s="40">
        <v>2.2814399999999999</v>
      </c>
      <c r="S637" s="34">
        <v>2280</v>
      </c>
      <c r="T637" s="34">
        <v>1.49</v>
      </c>
      <c r="U637" s="34">
        <f t="shared" si="11"/>
        <v>350</v>
      </c>
      <c r="V637" s="34">
        <f>VLOOKUP(U637,'Powder Core Toroid OD'!$A$2:$B$36,2,FALSE)</f>
        <v>23.6</v>
      </c>
    </row>
    <row r="638" spans="1:22" hidden="1">
      <c r="A638" s="42">
        <v>77354</v>
      </c>
      <c r="B638" s="34" t="s">
        <v>426</v>
      </c>
      <c r="C638" s="158">
        <v>350</v>
      </c>
      <c r="D638" s="34">
        <v>90</v>
      </c>
      <c r="E638" s="34" t="s">
        <v>298</v>
      </c>
      <c r="F638" s="34">
        <v>76</v>
      </c>
      <c r="G638" s="34" t="s">
        <v>0</v>
      </c>
      <c r="H638" s="34">
        <v>5.88</v>
      </c>
      <c r="I638" s="34">
        <v>58.8</v>
      </c>
      <c r="J638" s="34">
        <v>0.54200000000000004</v>
      </c>
      <c r="K638" s="34">
        <v>13.7</v>
      </c>
      <c r="L638" s="34">
        <v>0.95799999999999996</v>
      </c>
      <c r="M638" s="34">
        <v>24.4</v>
      </c>
      <c r="N638" s="41">
        <v>0.38</v>
      </c>
      <c r="O638" s="34">
        <v>9.66</v>
      </c>
      <c r="P638" s="34">
        <v>0.38800000000000001</v>
      </c>
      <c r="Q638" s="34">
        <v>38.800000000000004</v>
      </c>
      <c r="R638" s="40">
        <v>2.2814399999999999</v>
      </c>
      <c r="S638" s="34">
        <v>2280</v>
      </c>
      <c r="T638" s="34">
        <v>1.49</v>
      </c>
      <c r="U638" s="34">
        <f t="shared" si="11"/>
        <v>350</v>
      </c>
      <c r="V638" s="34">
        <f>VLOOKUP(U638,'Powder Core Toroid OD'!$A$2:$B$36,2,FALSE)</f>
        <v>23.6</v>
      </c>
    </row>
    <row r="639" spans="1:22" hidden="1">
      <c r="A639" s="42">
        <v>77355</v>
      </c>
      <c r="B639" s="34" t="s">
        <v>425</v>
      </c>
      <c r="C639" s="158">
        <v>350</v>
      </c>
      <c r="D639" s="34">
        <v>75</v>
      </c>
      <c r="E639" s="34" t="s">
        <v>298</v>
      </c>
      <c r="F639" s="34">
        <v>63</v>
      </c>
      <c r="G639" s="34" t="s">
        <v>0</v>
      </c>
      <c r="H639" s="34">
        <v>5.88</v>
      </c>
      <c r="I639" s="34">
        <v>58.8</v>
      </c>
      <c r="J639" s="34">
        <v>0.54200000000000004</v>
      </c>
      <c r="K639" s="34">
        <v>13.7</v>
      </c>
      <c r="L639" s="34">
        <v>0.95799999999999996</v>
      </c>
      <c r="M639" s="34">
        <v>24.4</v>
      </c>
      <c r="N639" s="41">
        <v>0.38</v>
      </c>
      <c r="O639" s="34">
        <v>9.66</v>
      </c>
      <c r="P639" s="34">
        <v>0.38800000000000001</v>
      </c>
      <c r="Q639" s="34">
        <v>38.800000000000004</v>
      </c>
      <c r="R639" s="40">
        <v>2.2814399999999999</v>
      </c>
      <c r="S639" s="34">
        <v>2280</v>
      </c>
      <c r="T639" s="34">
        <v>1.49</v>
      </c>
      <c r="U639" s="34">
        <f t="shared" si="11"/>
        <v>350</v>
      </c>
      <c r="V639" s="34">
        <f>VLOOKUP(U639,'Powder Core Toroid OD'!$A$2:$B$36,2,FALSE)</f>
        <v>23.6</v>
      </c>
    </row>
    <row r="640" spans="1:22" hidden="1">
      <c r="A640" s="42">
        <v>77356</v>
      </c>
      <c r="B640" s="34" t="s">
        <v>424</v>
      </c>
      <c r="C640" s="158">
        <v>350</v>
      </c>
      <c r="D640" s="34">
        <v>40</v>
      </c>
      <c r="E640" s="34" t="s">
        <v>298</v>
      </c>
      <c r="F640" s="34">
        <v>34</v>
      </c>
      <c r="G640" s="34" t="s">
        <v>0</v>
      </c>
      <c r="H640" s="34">
        <v>5.88</v>
      </c>
      <c r="I640" s="34">
        <v>58.8</v>
      </c>
      <c r="J640" s="34">
        <v>0.54200000000000004</v>
      </c>
      <c r="K640" s="34">
        <v>13.7</v>
      </c>
      <c r="L640" s="34">
        <v>0.95799999999999996</v>
      </c>
      <c r="M640" s="34">
        <v>24.4</v>
      </c>
      <c r="N640" s="41">
        <v>0.38</v>
      </c>
      <c r="O640" s="34">
        <v>9.66</v>
      </c>
      <c r="P640" s="34">
        <v>0.38800000000000001</v>
      </c>
      <c r="Q640" s="34">
        <v>38.800000000000004</v>
      </c>
      <c r="R640" s="40">
        <v>2.2814399999999999</v>
      </c>
      <c r="S640" s="34">
        <v>2280</v>
      </c>
      <c r="T640" s="34">
        <v>1.49</v>
      </c>
      <c r="U640" s="34">
        <f t="shared" si="11"/>
        <v>350</v>
      </c>
      <c r="V640" s="34">
        <f>VLOOKUP(U640,'Powder Core Toroid OD'!$A$2:$B$36,2,FALSE)</f>
        <v>23.6</v>
      </c>
    </row>
    <row r="641" spans="1:22" hidden="1">
      <c r="A641" s="42">
        <v>77380</v>
      </c>
      <c r="B641" s="34" t="s">
        <v>423</v>
      </c>
      <c r="C641" s="158">
        <v>380</v>
      </c>
      <c r="D641" s="34">
        <v>125</v>
      </c>
      <c r="E641" s="34" t="s">
        <v>298</v>
      </c>
      <c r="F641" s="34">
        <v>89</v>
      </c>
      <c r="G641" s="34" t="s">
        <v>0</v>
      </c>
      <c r="H641" s="34">
        <v>4.1399999999999997</v>
      </c>
      <c r="I641" s="34">
        <v>41.4</v>
      </c>
      <c r="J641" s="34">
        <v>0.35499999999999998</v>
      </c>
      <c r="K641" s="34">
        <v>9.01</v>
      </c>
      <c r="L641" s="41">
        <v>0.71</v>
      </c>
      <c r="M641" s="34">
        <v>18.100000000000001</v>
      </c>
      <c r="N641" s="41">
        <v>0.28000000000000003</v>
      </c>
      <c r="O641" s="34">
        <v>7.12</v>
      </c>
      <c r="P641" s="34">
        <v>0.23200000000000001</v>
      </c>
      <c r="Q641" s="34">
        <v>23.200000000000003</v>
      </c>
      <c r="R641" s="41">
        <v>0.96</v>
      </c>
      <c r="S641" s="34">
        <v>960</v>
      </c>
      <c r="T641" s="34">
        <v>0.63800000000000001</v>
      </c>
      <c r="U641" s="34">
        <f t="shared" si="11"/>
        <v>380</v>
      </c>
      <c r="V641" s="34">
        <f>VLOOKUP(U641,'Powder Core Toroid OD'!$A$2:$B$36,2,FALSE)</f>
        <v>17.3</v>
      </c>
    </row>
    <row r="642" spans="1:22" hidden="1">
      <c r="A642" s="42">
        <v>77381</v>
      </c>
      <c r="B642" s="34" t="s">
        <v>422</v>
      </c>
      <c r="C642" s="158">
        <v>380</v>
      </c>
      <c r="D642" s="34">
        <v>60</v>
      </c>
      <c r="E642" s="34" t="s">
        <v>298</v>
      </c>
      <c r="F642" s="34">
        <v>43</v>
      </c>
      <c r="G642" s="34" t="s">
        <v>0</v>
      </c>
      <c r="H642" s="34">
        <v>4.1399999999999997</v>
      </c>
      <c r="I642" s="34">
        <v>41.4</v>
      </c>
      <c r="J642" s="34">
        <v>0.35499999999999998</v>
      </c>
      <c r="K642" s="34">
        <v>9.01</v>
      </c>
      <c r="L642" s="41">
        <v>0.71</v>
      </c>
      <c r="M642" s="34">
        <v>18.100000000000001</v>
      </c>
      <c r="N642" s="41">
        <v>0.28000000000000003</v>
      </c>
      <c r="O642" s="34">
        <v>7.12</v>
      </c>
      <c r="P642" s="34">
        <v>0.23200000000000001</v>
      </c>
      <c r="Q642" s="34">
        <v>23.200000000000003</v>
      </c>
      <c r="R642" s="41">
        <v>0.96</v>
      </c>
      <c r="S642" s="34">
        <v>960</v>
      </c>
      <c r="T642" s="34">
        <v>0.63800000000000001</v>
      </c>
      <c r="U642" s="34">
        <f t="shared" si="11"/>
        <v>380</v>
      </c>
      <c r="V642" s="34">
        <f>VLOOKUP(U642,'Powder Core Toroid OD'!$A$2:$B$36,2,FALSE)</f>
        <v>17.3</v>
      </c>
    </row>
    <row r="643" spans="1:22" hidden="1">
      <c r="A643" s="42">
        <v>77384</v>
      </c>
      <c r="B643" s="34" t="s">
        <v>421</v>
      </c>
      <c r="C643" s="158">
        <v>380</v>
      </c>
      <c r="D643" s="34">
        <v>90</v>
      </c>
      <c r="E643" s="34" t="s">
        <v>298</v>
      </c>
      <c r="F643" s="34">
        <v>64</v>
      </c>
      <c r="G643" s="34" t="s">
        <v>0</v>
      </c>
      <c r="H643" s="34">
        <v>4.1399999999999997</v>
      </c>
      <c r="I643" s="34">
        <v>41.4</v>
      </c>
      <c r="J643" s="34">
        <v>0.35499999999999998</v>
      </c>
      <c r="K643" s="34">
        <v>9.01</v>
      </c>
      <c r="L643" s="41">
        <v>0.71</v>
      </c>
      <c r="M643" s="34">
        <v>18.100000000000001</v>
      </c>
      <c r="N643" s="41">
        <v>0.28000000000000003</v>
      </c>
      <c r="O643" s="34">
        <v>7.12</v>
      </c>
      <c r="P643" s="34">
        <v>0.23200000000000001</v>
      </c>
      <c r="Q643" s="34">
        <v>23.200000000000003</v>
      </c>
      <c r="R643" s="41">
        <v>0.96</v>
      </c>
      <c r="S643" s="34">
        <v>960</v>
      </c>
      <c r="T643" s="34">
        <v>0.63800000000000001</v>
      </c>
      <c r="U643" s="34">
        <f t="shared" si="11"/>
        <v>380</v>
      </c>
      <c r="V643" s="34">
        <f>VLOOKUP(U643,'Powder Core Toroid OD'!$A$2:$B$36,2,FALSE)</f>
        <v>17.3</v>
      </c>
    </row>
    <row r="644" spans="1:22" hidden="1">
      <c r="A644" s="42">
        <v>77385</v>
      </c>
      <c r="B644" s="34" t="s">
        <v>369</v>
      </c>
      <c r="C644" s="158">
        <v>380</v>
      </c>
      <c r="D644" s="34">
        <v>75</v>
      </c>
      <c r="E644" s="34" t="s">
        <v>298</v>
      </c>
      <c r="F644" s="34">
        <v>53</v>
      </c>
      <c r="G644" s="34" t="s">
        <v>0</v>
      </c>
      <c r="H644" s="34">
        <v>4.1399999999999997</v>
      </c>
      <c r="I644" s="34">
        <v>41.4</v>
      </c>
      <c r="J644" s="34">
        <v>0.35499999999999998</v>
      </c>
      <c r="K644" s="34">
        <v>9.01</v>
      </c>
      <c r="L644" s="41">
        <v>0.71</v>
      </c>
      <c r="M644" s="34">
        <v>18.100000000000001</v>
      </c>
      <c r="N644" s="41">
        <v>0.28000000000000003</v>
      </c>
      <c r="O644" s="34">
        <v>7.12</v>
      </c>
      <c r="P644" s="34">
        <v>0.23200000000000001</v>
      </c>
      <c r="Q644" s="34">
        <v>23.200000000000003</v>
      </c>
      <c r="R644" s="41">
        <v>0.96</v>
      </c>
      <c r="S644" s="34">
        <v>960</v>
      </c>
      <c r="T644" s="34">
        <v>0.63800000000000001</v>
      </c>
      <c r="U644" s="34">
        <f t="shared" si="11"/>
        <v>380</v>
      </c>
      <c r="V644" s="34">
        <f>VLOOKUP(U644,'Powder Core Toroid OD'!$A$2:$B$36,2,FALSE)</f>
        <v>17.3</v>
      </c>
    </row>
    <row r="645" spans="1:22" hidden="1">
      <c r="A645" s="42">
        <v>77410</v>
      </c>
      <c r="B645" s="34" t="s">
        <v>420</v>
      </c>
      <c r="C645" s="158">
        <v>410</v>
      </c>
      <c r="D645" s="34">
        <v>125</v>
      </c>
      <c r="E645" s="34" t="s">
        <v>298</v>
      </c>
      <c r="F645" s="34">
        <v>70</v>
      </c>
      <c r="G645" s="34" t="s">
        <v>0</v>
      </c>
      <c r="H645" s="34">
        <v>1.65</v>
      </c>
      <c r="I645" s="34">
        <v>16.5</v>
      </c>
      <c r="J645" s="34">
        <v>0.13600000000000001</v>
      </c>
      <c r="K645" s="34">
        <v>3.45</v>
      </c>
      <c r="L645" s="34">
        <v>0.29499999999999998</v>
      </c>
      <c r="M645" s="40">
        <v>7.5</v>
      </c>
      <c r="N645" s="34">
        <v>0.22500000000000001</v>
      </c>
      <c r="O645" s="34">
        <v>5.72</v>
      </c>
      <c r="P645" s="34">
        <v>7.2499999999999995E-2</v>
      </c>
      <c r="Q645" s="34">
        <v>7.2499999999999991</v>
      </c>
      <c r="R645" s="34">
        <v>0.12</v>
      </c>
      <c r="S645" s="34">
        <v>120</v>
      </c>
      <c r="T645" s="34">
        <v>9.35E-2</v>
      </c>
      <c r="U645" s="34">
        <f t="shared" si="11"/>
        <v>410</v>
      </c>
      <c r="V645" s="34">
        <f>VLOOKUP(U645,'Powder Core Toroid OD'!$A$2:$B$36,2,FALSE)</f>
        <v>6.86</v>
      </c>
    </row>
    <row r="646" spans="1:22" hidden="1">
      <c r="A646" s="42">
        <v>77414</v>
      </c>
      <c r="B646" s="34" t="s">
        <v>419</v>
      </c>
      <c r="C646" s="158">
        <v>410</v>
      </c>
      <c r="D646" s="34">
        <v>90</v>
      </c>
      <c r="E646" s="34" t="s">
        <v>298</v>
      </c>
      <c r="F646" s="34">
        <v>50</v>
      </c>
      <c r="G646" s="34" t="s">
        <v>0</v>
      </c>
      <c r="H646" s="34">
        <v>1.65</v>
      </c>
      <c r="I646" s="34">
        <v>16.5</v>
      </c>
      <c r="J646" s="34">
        <v>0.13600000000000001</v>
      </c>
      <c r="K646" s="34">
        <v>3.45</v>
      </c>
      <c r="L646" s="34">
        <v>0.29499999999999998</v>
      </c>
      <c r="M646" s="40">
        <v>7.5</v>
      </c>
      <c r="N646" s="34">
        <v>0.22500000000000001</v>
      </c>
      <c r="O646" s="34">
        <v>5.72</v>
      </c>
      <c r="P646" s="34">
        <v>7.2499999999999995E-2</v>
      </c>
      <c r="Q646" s="34">
        <v>7.2499999999999991</v>
      </c>
      <c r="R646" s="34">
        <v>0.12</v>
      </c>
      <c r="S646" s="34">
        <v>120</v>
      </c>
      <c r="T646" s="34">
        <v>9.35E-2</v>
      </c>
      <c r="U646" s="34">
        <f t="shared" si="11"/>
        <v>410</v>
      </c>
      <c r="V646" s="34">
        <f>VLOOKUP(U646,'Powder Core Toroid OD'!$A$2:$B$36,2,FALSE)</f>
        <v>6.86</v>
      </c>
    </row>
    <row r="647" spans="1:22" hidden="1">
      <c r="A647" s="42">
        <v>77431</v>
      </c>
      <c r="B647" s="34" t="s">
        <v>418</v>
      </c>
      <c r="C647" s="158">
        <v>438</v>
      </c>
      <c r="D647" s="34">
        <v>40</v>
      </c>
      <c r="E647" s="34" t="s">
        <v>298</v>
      </c>
      <c r="F647" s="34">
        <v>90</v>
      </c>
      <c r="G647" s="34" t="s">
        <v>0</v>
      </c>
      <c r="H647" s="34">
        <v>10.7</v>
      </c>
      <c r="I647" s="34">
        <v>107</v>
      </c>
      <c r="J647" s="34">
        <v>0.91800000000000004</v>
      </c>
      <c r="K647" s="34">
        <v>23.3</v>
      </c>
      <c r="L647" s="34">
        <v>1.875</v>
      </c>
      <c r="M647" s="34">
        <v>47.63</v>
      </c>
      <c r="N647" s="34">
        <v>0.745</v>
      </c>
      <c r="O647" s="35">
        <v>19</v>
      </c>
      <c r="P647" s="34">
        <v>1.99</v>
      </c>
      <c r="Q647" s="34">
        <v>199</v>
      </c>
      <c r="R647" s="34">
        <v>21.3</v>
      </c>
      <c r="S647" s="34">
        <v>21300</v>
      </c>
      <c r="T647" s="34">
        <v>4.2699999999999996</v>
      </c>
      <c r="U647" s="34">
        <f t="shared" si="11"/>
        <v>438</v>
      </c>
      <c r="V647" s="34">
        <f>VLOOKUP(U647,'Powder Core Toroid OD'!$A$2:$B$36,2,FALSE)</f>
        <v>46.7</v>
      </c>
    </row>
    <row r="648" spans="1:22" hidden="1">
      <c r="A648" s="42">
        <v>77438</v>
      </c>
      <c r="B648" s="34" t="s">
        <v>417</v>
      </c>
      <c r="C648" s="158">
        <v>438</v>
      </c>
      <c r="D648" s="34">
        <v>125</v>
      </c>
      <c r="E648" s="34" t="s">
        <v>298</v>
      </c>
      <c r="F648" s="34">
        <v>281</v>
      </c>
      <c r="G648" s="34" t="s">
        <v>0</v>
      </c>
      <c r="H648" s="34">
        <v>10.7</v>
      </c>
      <c r="I648" s="34">
        <v>107</v>
      </c>
      <c r="J648" s="34">
        <v>0.91800000000000004</v>
      </c>
      <c r="K648" s="34">
        <v>23.3</v>
      </c>
      <c r="L648" s="34">
        <v>1.875</v>
      </c>
      <c r="M648" s="34">
        <v>47.63</v>
      </c>
      <c r="N648" s="34">
        <v>0.745</v>
      </c>
      <c r="O648" s="35">
        <v>19</v>
      </c>
      <c r="P648" s="34">
        <v>1.99</v>
      </c>
      <c r="Q648" s="34">
        <v>199</v>
      </c>
      <c r="R648" s="34">
        <v>21.3</v>
      </c>
      <c r="S648" s="34">
        <v>21300</v>
      </c>
      <c r="T648" s="34">
        <v>4.2699999999999996</v>
      </c>
      <c r="U648" s="34">
        <f t="shared" si="11"/>
        <v>438</v>
      </c>
      <c r="V648" s="34">
        <f>VLOOKUP(U648,'Powder Core Toroid OD'!$A$2:$B$36,2,FALSE)</f>
        <v>46.7</v>
      </c>
    </row>
    <row r="649" spans="1:22" hidden="1">
      <c r="A649" s="42">
        <v>77439</v>
      </c>
      <c r="B649" s="34" t="s">
        <v>416</v>
      </c>
      <c r="C649" s="158">
        <v>438</v>
      </c>
      <c r="D649" s="34">
        <v>60</v>
      </c>
      <c r="E649" s="34" t="s">
        <v>298</v>
      </c>
      <c r="F649" s="34">
        <v>135</v>
      </c>
      <c r="G649" s="34" t="s">
        <v>0</v>
      </c>
      <c r="H649" s="34">
        <v>10.7</v>
      </c>
      <c r="I649" s="34">
        <v>107</v>
      </c>
      <c r="J649" s="34">
        <v>0.91800000000000004</v>
      </c>
      <c r="K649" s="34">
        <v>23.3</v>
      </c>
      <c r="L649" s="34">
        <v>1.875</v>
      </c>
      <c r="M649" s="34">
        <v>47.63</v>
      </c>
      <c r="N649" s="34">
        <v>0.745</v>
      </c>
      <c r="O649" s="35">
        <v>19</v>
      </c>
      <c r="P649" s="34">
        <v>1.99</v>
      </c>
      <c r="Q649" s="34">
        <v>199</v>
      </c>
      <c r="R649" s="34">
        <v>21.3</v>
      </c>
      <c r="S649" s="34">
        <v>21300</v>
      </c>
      <c r="T649" s="34">
        <v>4.2699999999999996</v>
      </c>
      <c r="U649" s="34">
        <f t="shared" si="11"/>
        <v>438</v>
      </c>
      <c r="V649" s="34">
        <f>VLOOKUP(U649,'Powder Core Toroid OD'!$A$2:$B$36,2,FALSE)</f>
        <v>46.7</v>
      </c>
    </row>
    <row r="650" spans="1:22" hidden="1">
      <c r="A650" s="42">
        <v>77440</v>
      </c>
      <c r="B650" s="34" t="s">
        <v>415</v>
      </c>
      <c r="C650" s="158">
        <v>438</v>
      </c>
      <c r="D650" s="34">
        <v>26</v>
      </c>
      <c r="E650" s="34" t="s">
        <v>298</v>
      </c>
      <c r="F650" s="34">
        <v>59</v>
      </c>
      <c r="G650" s="34" t="s">
        <v>0</v>
      </c>
      <c r="H650" s="34">
        <v>10.7</v>
      </c>
      <c r="I650" s="34">
        <v>107</v>
      </c>
      <c r="J650" s="34">
        <v>0.91800000000000004</v>
      </c>
      <c r="K650" s="34">
        <v>23.3</v>
      </c>
      <c r="L650" s="34">
        <v>1.875</v>
      </c>
      <c r="M650" s="34">
        <v>47.63</v>
      </c>
      <c r="N650" s="34">
        <v>0.745</v>
      </c>
      <c r="O650" s="35">
        <v>19</v>
      </c>
      <c r="P650" s="34">
        <v>1.99</v>
      </c>
      <c r="Q650" s="34">
        <v>199</v>
      </c>
      <c r="R650" s="34">
        <v>21.3</v>
      </c>
      <c r="S650" s="34">
        <v>21300</v>
      </c>
      <c r="T650" s="34">
        <v>4.2699999999999996</v>
      </c>
      <c r="U650" s="34">
        <f t="shared" si="11"/>
        <v>438</v>
      </c>
      <c r="V650" s="34">
        <f>VLOOKUP(U650,'Powder Core Toroid OD'!$A$2:$B$36,2,FALSE)</f>
        <v>46.7</v>
      </c>
    </row>
    <row r="651" spans="1:22" hidden="1">
      <c r="A651" s="42">
        <v>77442</v>
      </c>
      <c r="B651" s="34" t="s">
        <v>414</v>
      </c>
      <c r="C651" s="158">
        <v>438</v>
      </c>
      <c r="D651" s="34">
        <v>90</v>
      </c>
      <c r="E651" s="34" t="s">
        <v>298</v>
      </c>
      <c r="F651" s="34">
        <v>202</v>
      </c>
      <c r="G651" s="34" t="s">
        <v>0</v>
      </c>
      <c r="H651" s="34">
        <v>10.7</v>
      </c>
      <c r="I651" s="34">
        <v>107</v>
      </c>
      <c r="J651" s="34">
        <v>0.91800000000000004</v>
      </c>
      <c r="K651" s="34">
        <v>23.3</v>
      </c>
      <c r="L651" s="34">
        <v>1.875</v>
      </c>
      <c r="M651" s="34">
        <v>47.63</v>
      </c>
      <c r="N651" s="34">
        <v>0.745</v>
      </c>
      <c r="O651" s="35">
        <v>19</v>
      </c>
      <c r="P651" s="34">
        <v>1.99</v>
      </c>
      <c r="Q651" s="34">
        <v>199</v>
      </c>
      <c r="R651" s="34">
        <v>21.3</v>
      </c>
      <c r="S651" s="34">
        <v>21300</v>
      </c>
      <c r="T651" s="34">
        <v>4.2699999999999996</v>
      </c>
      <c r="U651" s="34">
        <f t="shared" si="11"/>
        <v>438</v>
      </c>
      <c r="V651" s="34">
        <f>VLOOKUP(U651,'Powder Core Toroid OD'!$A$2:$B$36,2,FALSE)</f>
        <v>46.7</v>
      </c>
    </row>
    <row r="652" spans="1:22" hidden="1">
      <c r="A652" s="42">
        <v>77443</v>
      </c>
      <c r="B652" s="34" t="s">
        <v>413</v>
      </c>
      <c r="C652" s="158">
        <v>438</v>
      </c>
      <c r="D652" s="34">
        <v>75</v>
      </c>
      <c r="E652" s="34" t="s">
        <v>298</v>
      </c>
      <c r="F652" s="34">
        <v>169</v>
      </c>
      <c r="G652" s="34" t="s">
        <v>0</v>
      </c>
      <c r="H652" s="34">
        <v>10.7</v>
      </c>
      <c r="I652" s="34">
        <v>107</v>
      </c>
      <c r="J652" s="34">
        <v>0.91800000000000004</v>
      </c>
      <c r="K652" s="34">
        <v>23.3</v>
      </c>
      <c r="L652" s="34">
        <v>1.875</v>
      </c>
      <c r="M652" s="34">
        <v>47.63</v>
      </c>
      <c r="N652" s="34">
        <v>0.745</v>
      </c>
      <c r="O652" s="35">
        <v>19</v>
      </c>
      <c r="P652" s="34">
        <v>1.99</v>
      </c>
      <c r="Q652" s="34">
        <v>199</v>
      </c>
      <c r="R652" s="34">
        <v>21.3</v>
      </c>
      <c r="S652" s="34">
        <v>21300</v>
      </c>
      <c r="T652" s="34">
        <v>4.2699999999999996</v>
      </c>
      <c r="U652" s="34">
        <f t="shared" si="11"/>
        <v>438</v>
      </c>
      <c r="V652" s="34">
        <f>VLOOKUP(U652,'Powder Core Toroid OD'!$A$2:$B$36,2,FALSE)</f>
        <v>46.7</v>
      </c>
    </row>
    <row r="653" spans="1:22" hidden="1">
      <c r="A653" s="42">
        <v>77444</v>
      </c>
      <c r="B653" s="34" t="s">
        <v>412</v>
      </c>
      <c r="C653" s="158">
        <v>140</v>
      </c>
      <c r="D653" s="34">
        <v>90</v>
      </c>
      <c r="E653" s="34" t="s">
        <v>298</v>
      </c>
      <c r="F653" s="34">
        <v>19</v>
      </c>
      <c r="G653" s="34" t="s">
        <v>0</v>
      </c>
      <c r="H653" s="34">
        <v>0.80600000000000005</v>
      </c>
      <c r="I653" s="34">
        <v>8.06</v>
      </c>
      <c r="J653" s="41">
        <v>0.05</v>
      </c>
      <c r="K653" s="34">
        <v>1.27</v>
      </c>
      <c r="L653" s="34">
        <v>0.16500000000000001</v>
      </c>
      <c r="M653" s="40">
        <v>4.2</v>
      </c>
      <c r="N653" s="34">
        <v>8.5000000000000006E-2</v>
      </c>
      <c r="O653" s="34">
        <v>2.16</v>
      </c>
      <c r="P653" s="34">
        <v>1.2999999999999999E-2</v>
      </c>
      <c r="Q653" s="34">
        <v>1.3</v>
      </c>
      <c r="R653" s="34">
        <v>1.0500000000000001E-2</v>
      </c>
      <c r="S653" s="34">
        <v>10.5</v>
      </c>
      <c r="T653" s="34">
        <v>1.2699999999999999E-2</v>
      </c>
      <c r="U653" s="34">
        <f t="shared" si="11"/>
        <v>140</v>
      </c>
      <c r="V653" s="34">
        <f>VLOOKUP(U653,'Powder Core Toroid OD'!$A$2:$B$36,2,FALSE)</f>
        <v>3.56</v>
      </c>
    </row>
    <row r="654" spans="1:22" hidden="1">
      <c r="A654" s="42">
        <v>77445</v>
      </c>
      <c r="B654" s="34" t="s">
        <v>411</v>
      </c>
      <c r="C654" s="158">
        <v>140</v>
      </c>
      <c r="D654" s="34">
        <v>75</v>
      </c>
      <c r="E654" s="34" t="s">
        <v>298</v>
      </c>
      <c r="F654" s="34">
        <v>16</v>
      </c>
      <c r="G654" s="34" t="s">
        <v>0</v>
      </c>
      <c r="H654" s="34">
        <v>0.80600000000000005</v>
      </c>
      <c r="I654" s="34">
        <v>8.06</v>
      </c>
      <c r="J654" s="41">
        <v>0.05</v>
      </c>
      <c r="K654" s="34">
        <v>1.27</v>
      </c>
      <c r="L654" s="34">
        <v>0.16500000000000001</v>
      </c>
      <c r="M654" s="40">
        <v>4.2</v>
      </c>
      <c r="N654" s="34">
        <v>8.5000000000000006E-2</v>
      </c>
      <c r="O654" s="34">
        <v>2.16</v>
      </c>
      <c r="P654" s="34">
        <v>1.2999999999999999E-2</v>
      </c>
      <c r="Q654" s="34">
        <v>1.3</v>
      </c>
      <c r="R654" s="34">
        <v>1.0500000000000001E-2</v>
      </c>
      <c r="S654" s="34">
        <v>10.5</v>
      </c>
      <c r="T654" s="34">
        <v>1.2699999999999999E-2</v>
      </c>
      <c r="U654" s="34">
        <f t="shared" si="11"/>
        <v>140</v>
      </c>
      <c r="V654" s="34">
        <f>VLOOKUP(U654,'Powder Core Toroid OD'!$A$2:$B$36,2,FALSE)</f>
        <v>3.56</v>
      </c>
    </row>
    <row r="655" spans="1:22" hidden="1">
      <c r="A655" s="42">
        <v>77548</v>
      </c>
      <c r="B655" s="34" t="s">
        <v>410</v>
      </c>
      <c r="C655" s="158">
        <v>548</v>
      </c>
      <c r="D655" s="34">
        <v>125</v>
      </c>
      <c r="E655" s="34" t="s">
        <v>298</v>
      </c>
      <c r="F655" s="34">
        <v>127</v>
      </c>
      <c r="G655" s="34" t="s">
        <v>0</v>
      </c>
      <c r="H655" s="34">
        <v>8.14</v>
      </c>
      <c r="I655" s="34">
        <v>81.400000000000006</v>
      </c>
      <c r="J655" s="34">
        <v>0.76600000000000001</v>
      </c>
      <c r="K655" s="34">
        <v>19.399999999999999</v>
      </c>
      <c r="L655" s="34">
        <v>1.325</v>
      </c>
      <c r="M655" s="34">
        <v>33.659999999999997</v>
      </c>
      <c r="N655" s="41">
        <v>0.45</v>
      </c>
      <c r="O655" s="34">
        <v>11.5</v>
      </c>
      <c r="P655" s="34">
        <v>0.65600000000000003</v>
      </c>
      <c r="Q655" s="34">
        <v>65.599999999999994</v>
      </c>
      <c r="R655" s="40">
        <v>5.34</v>
      </c>
      <c r="S655" s="34">
        <v>5340</v>
      </c>
      <c r="T655" s="34">
        <v>2.97</v>
      </c>
      <c r="U655" s="34">
        <f t="shared" si="11"/>
        <v>548</v>
      </c>
      <c r="V655" s="34">
        <f>VLOOKUP(U655,'Powder Core Toroid OD'!$A$2:$B$36,2,FALSE)</f>
        <v>32.799999999999997</v>
      </c>
    </row>
    <row r="656" spans="1:22" hidden="1">
      <c r="A656" s="42">
        <v>77550</v>
      </c>
      <c r="B656" s="34" t="s">
        <v>409</v>
      </c>
      <c r="C656" s="158">
        <v>548</v>
      </c>
      <c r="D656" s="34">
        <v>26</v>
      </c>
      <c r="E656" s="34" t="s">
        <v>298</v>
      </c>
      <c r="F656" s="34">
        <v>28</v>
      </c>
      <c r="G656" s="34" t="s">
        <v>0</v>
      </c>
      <c r="H656" s="34">
        <v>8.14</v>
      </c>
      <c r="I656" s="34">
        <v>81.400000000000006</v>
      </c>
      <c r="J656" s="34">
        <v>0.76600000000000001</v>
      </c>
      <c r="K656" s="34">
        <v>19.399999999999999</v>
      </c>
      <c r="L656" s="34">
        <v>1.325</v>
      </c>
      <c r="M656" s="34">
        <v>33.659999999999997</v>
      </c>
      <c r="N656" s="41">
        <v>0.45</v>
      </c>
      <c r="O656" s="34">
        <v>11.5</v>
      </c>
      <c r="P656" s="34">
        <v>0.65600000000000003</v>
      </c>
      <c r="Q656" s="34">
        <v>65.599999999999994</v>
      </c>
      <c r="R656" s="40">
        <v>5.34</v>
      </c>
      <c r="S656" s="34">
        <v>5340</v>
      </c>
      <c r="T656" s="34">
        <v>2.97</v>
      </c>
      <c r="U656" s="34">
        <f t="shared" si="11"/>
        <v>548</v>
      </c>
      <c r="V656" s="34">
        <f>VLOOKUP(U656,'Powder Core Toroid OD'!$A$2:$B$36,2,FALSE)</f>
        <v>32.799999999999997</v>
      </c>
    </row>
    <row r="657" spans="1:22" hidden="1">
      <c r="A657" s="42">
        <v>77552</v>
      </c>
      <c r="B657" s="34" t="s">
        <v>408</v>
      </c>
      <c r="C657" s="158">
        <v>548</v>
      </c>
      <c r="D657" s="34">
        <v>90</v>
      </c>
      <c r="E657" s="34" t="s">
        <v>298</v>
      </c>
      <c r="F657" s="34">
        <v>91</v>
      </c>
      <c r="G657" s="34" t="s">
        <v>0</v>
      </c>
      <c r="H657" s="34">
        <v>8.14</v>
      </c>
      <c r="I657" s="34">
        <v>81.400000000000006</v>
      </c>
      <c r="J657" s="34">
        <v>0.76600000000000001</v>
      </c>
      <c r="K657" s="34">
        <v>19.399999999999999</v>
      </c>
      <c r="L657" s="34">
        <v>1.325</v>
      </c>
      <c r="M657" s="34">
        <v>33.659999999999997</v>
      </c>
      <c r="N657" s="41">
        <v>0.45</v>
      </c>
      <c r="O657" s="34">
        <v>11.5</v>
      </c>
      <c r="P657" s="34">
        <v>0.65600000000000003</v>
      </c>
      <c r="Q657" s="34">
        <v>65.599999999999994</v>
      </c>
      <c r="R657" s="40">
        <v>5.34</v>
      </c>
      <c r="S657" s="34">
        <v>5340</v>
      </c>
      <c r="T657" s="34">
        <v>2.97</v>
      </c>
      <c r="U657" s="34">
        <f t="shared" si="11"/>
        <v>548</v>
      </c>
      <c r="V657" s="34">
        <f>VLOOKUP(U657,'Powder Core Toroid OD'!$A$2:$B$36,2,FALSE)</f>
        <v>32.799999999999997</v>
      </c>
    </row>
    <row r="658" spans="1:22" hidden="1">
      <c r="A658" s="42">
        <v>77553</v>
      </c>
      <c r="B658" s="34" t="s">
        <v>407</v>
      </c>
      <c r="C658" s="158">
        <v>548</v>
      </c>
      <c r="D658" s="34">
        <v>75</v>
      </c>
      <c r="E658" s="34" t="s">
        <v>298</v>
      </c>
      <c r="F658" s="34">
        <v>76</v>
      </c>
      <c r="G658" s="34" t="s">
        <v>0</v>
      </c>
      <c r="H658" s="34">
        <v>8.14</v>
      </c>
      <c r="I658" s="34">
        <v>81.400000000000006</v>
      </c>
      <c r="J658" s="34">
        <v>0.76600000000000001</v>
      </c>
      <c r="K658" s="34">
        <v>19.399999999999999</v>
      </c>
      <c r="L658" s="34">
        <v>1.325</v>
      </c>
      <c r="M658" s="34">
        <v>33.659999999999997</v>
      </c>
      <c r="N658" s="41">
        <v>0.45</v>
      </c>
      <c r="O658" s="34">
        <v>11.5</v>
      </c>
      <c r="P658" s="34">
        <v>0.65600000000000003</v>
      </c>
      <c r="Q658" s="34">
        <v>65.599999999999994</v>
      </c>
      <c r="R658" s="40">
        <v>5.34</v>
      </c>
      <c r="S658" s="34">
        <v>5340</v>
      </c>
      <c r="T658" s="34">
        <v>2.97</v>
      </c>
      <c r="U658" s="34">
        <f t="shared" si="11"/>
        <v>548</v>
      </c>
      <c r="V658" s="34">
        <f>VLOOKUP(U658,'Powder Core Toroid OD'!$A$2:$B$36,2,FALSE)</f>
        <v>32.799999999999997</v>
      </c>
    </row>
    <row r="659" spans="1:22" hidden="1">
      <c r="A659" s="42">
        <v>77555</v>
      </c>
      <c r="B659" s="34" t="s">
        <v>406</v>
      </c>
      <c r="C659" s="158">
        <v>548</v>
      </c>
      <c r="D659" s="34">
        <v>40</v>
      </c>
      <c r="E659" s="34" t="s">
        <v>298</v>
      </c>
      <c r="F659" s="34">
        <v>41</v>
      </c>
      <c r="G659" s="34" t="s">
        <v>0</v>
      </c>
      <c r="H659" s="34">
        <v>8.14</v>
      </c>
      <c r="I659" s="34">
        <v>81.400000000000006</v>
      </c>
      <c r="J659" s="34">
        <v>0.76600000000000001</v>
      </c>
      <c r="K659" s="34">
        <v>19.399999999999999</v>
      </c>
      <c r="L659" s="34">
        <v>1.325</v>
      </c>
      <c r="M659" s="34">
        <v>33.659999999999997</v>
      </c>
      <c r="N659" s="41">
        <v>0.45</v>
      </c>
      <c r="O659" s="34">
        <v>11.5</v>
      </c>
      <c r="P659" s="34">
        <v>0.65600000000000003</v>
      </c>
      <c r="Q659" s="34">
        <v>65.599999999999994</v>
      </c>
      <c r="R659" s="40">
        <v>5.34</v>
      </c>
      <c r="S659" s="34">
        <v>5340</v>
      </c>
      <c r="T659" s="34">
        <v>2.97</v>
      </c>
      <c r="U659" s="34">
        <f t="shared" si="11"/>
        <v>548</v>
      </c>
      <c r="V659" s="34">
        <f>VLOOKUP(U659,'Powder Core Toroid OD'!$A$2:$B$36,2,FALSE)</f>
        <v>32.799999999999997</v>
      </c>
    </row>
    <row r="660" spans="1:22" hidden="1">
      <c r="A660" s="42">
        <v>77585</v>
      </c>
      <c r="B660" s="34" t="s">
        <v>405</v>
      </c>
      <c r="C660" s="158">
        <v>585</v>
      </c>
      <c r="D660" s="34">
        <v>125</v>
      </c>
      <c r="E660" s="34" t="s">
        <v>298</v>
      </c>
      <c r="F660" s="34">
        <v>79</v>
      </c>
      <c r="G660" s="34" t="s">
        <v>0</v>
      </c>
      <c r="H660" s="34">
        <v>8.9499999999999993</v>
      </c>
      <c r="I660" s="34">
        <v>89.5</v>
      </c>
      <c r="J660" s="34">
        <v>0.88800000000000001</v>
      </c>
      <c r="K660" s="34">
        <v>22.5</v>
      </c>
      <c r="L660" s="34">
        <v>1.385</v>
      </c>
      <c r="M660" s="34">
        <v>35.18</v>
      </c>
      <c r="N660" s="34">
        <v>0.38500000000000001</v>
      </c>
      <c r="O660" s="34">
        <v>9.7799999999999994</v>
      </c>
      <c r="P660" s="34">
        <v>0.46400000000000002</v>
      </c>
      <c r="Q660" s="34">
        <v>46.4</v>
      </c>
      <c r="R660" s="40">
        <v>4.1500000000000004</v>
      </c>
      <c r="S660" s="34">
        <v>4150</v>
      </c>
      <c r="T660" s="34">
        <v>3.99</v>
      </c>
      <c r="U660" s="34">
        <f t="shared" si="11"/>
        <v>585</v>
      </c>
      <c r="V660" s="34">
        <f>VLOOKUP(U660,'Powder Core Toroid OD'!$A$2:$B$36,2,FALSE)</f>
        <v>34.299999999999997</v>
      </c>
    </row>
    <row r="661" spans="1:22" hidden="1">
      <c r="A661" s="42">
        <v>77586</v>
      </c>
      <c r="B661" s="34" t="s">
        <v>404</v>
      </c>
      <c r="C661" s="158">
        <v>585</v>
      </c>
      <c r="D661" s="34">
        <v>60</v>
      </c>
      <c r="E661" s="34" t="s">
        <v>298</v>
      </c>
      <c r="F661" s="34">
        <v>38</v>
      </c>
      <c r="G661" s="34" t="s">
        <v>0</v>
      </c>
      <c r="H661" s="34">
        <v>8.9499999999999993</v>
      </c>
      <c r="I661" s="34">
        <v>89.5</v>
      </c>
      <c r="J661" s="34">
        <v>0.88800000000000001</v>
      </c>
      <c r="K661" s="34">
        <v>22.5</v>
      </c>
      <c r="L661" s="34">
        <v>1.385</v>
      </c>
      <c r="M661" s="34">
        <v>35.18</v>
      </c>
      <c r="N661" s="34">
        <v>0.38500000000000001</v>
      </c>
      <c r="O661" s="34">
        <v>9.7799999999999994</v>
      </c>
      <c r="P661" s="34">
        <v>0.46400000000000002</v>
      </c>
      <c r="Q661" s="34">
        <v>46.4</v>
      </c>
      <c r="R661" s="40">
        <v>4.1500000000000004</v>
      </c>
      <c r="S661" s="34">
        <v>4150</v>
      </c>
      <c r="T661" s="34">
        <v>3.99</v>
      </c>
      <c r="U661" s="34">
        <f t="shared" si="11"/>
        <v>585</v>
      </c>
      <c r="V661" s="34">
        <f>VLOOKUP(U661,'Powder Core Toroid OD'!$A$2:$B$36,2,FALSE)</f>
        <v>34.299999999999997</v>
      </c>
    </row>
    <row r="662" spans="1:22" hidden="1">
      <c r="A662" s="42">
        <v>77587</v>
      </c>
      <c r="B662" s="34" t="s">
        <v>403</v>
      </c>
      <c r="C662" s="158">
        <v>585</v>
      </c>
      <c r="D662" s="34">
        <v>26</v>
      </c>
      <c r="E662" s="34" t="s">
        <v>298</v>
      </c>
      <c r="F662" s="34">
        <v>16</v>
      </c>
      <c r="G662" s="34" t="s">
        <v>0</v>
      </c>
      <c r="H662" s="34">
        <v>8.9499999999999993</v>
      </c>
      <c r="I662" s="34">
        <v>89.5</v>
      </c>
      <c r="J662" s="34">
        <v>0.88800000000000001</v>
      </c>
      <c r="K662" s="34">
        <v>22.5</v>
      </c>
      <c r="L662" s="34">
        <v>1.385</v>
      </c>
      <c r="M662" s="34">
        <v>35.18</v>
      </c>
      <c r="N662" s="34">
        <v>0.38500000000000001</v>
      </c>
      <c r="O662" s="34">
        <v>9.7799999999999994</v>
      </c>
      <c r="P662" s="34">
        <v>0.46400000000000002</v>
      </c>
      <c r="Q662" s="34">
        <v>46.4</v>
      </c>
      <c r="R662" s="40">
        <v>4.1500000000000004</v>
      </c>
      <c r="S662" s="34">
        <v>4150</v>
      </c>
      <c r="T662" s="34">
        <v>3.99</v>
      </c>
      <c r="U662" s="34">
        <f t="shared" si="11"/>
        <v>585</v>
      </c>
      <c r="V662" s="34">
        <f>VLOOKUP(U662,'Powder Core Toroid OD'!$A$2:$B$36,2,FALSE)</f>
        <v>34.299999999999997</v>
      </c>
    </row>
    <row r="663" spans="1:22" hidden="1">
      <c r="A663" s="42">
        <v>77589</v>
      </c>
      <c r="B663" s="34" t="s">
        <v>402</v>
      </c>
      <c r="C663" s="158">
        <v>585</v>
      </c>
      <c r="D663" s="34">
        <v>90</v>
      </c>
      <c r="E663" s="34" t="s">
        <v>298</v>
      </c>
      <c r="F663" s="34">
        <v>57</v>
      </c>
      <c r="G663" s="34" t="s">
        <v>0</v>
      </c>
      <c r="H663" s="34">
        <v>8.9499999999999993</v>
      </c>
      <c r="I663" s="34">
        <v>89.5</v>
      </c>
      <c r="J663" s="34">
        <v>0.88800000000000001</v>
      </c>
      <c r="K663" s="34">
        <v>22.5</v>
      </c>
      <c r="L663" s="34">
        <v>1.385</v>
      </c>
      <c r="M663" s="34">
        <v>35.18</v>
      </c>
      <c r="N663" s="34">
        <v>0.38500000000000001</v>
      </c>
      <c r="O663" s="34">
        <v>9.7799999999999994</v>
      </c>
      <c r="P663" s="34">
        <v>0.46400000000000002</v>
      </c>
      <c r="Q663" s="34">
        <v>46.4</v>
      </c>
      <c r="R663" s="40">
        <v>4.1500000000000004</v>
      </c>
      <c r="S663" s="34">
        <v>4150</v>
      </c>
      <c r="T663" s="34">
        <v>3.99</v>
      </c>
      <c r="U663" s="34">
        <f t="shared" si="11"/>
        <v>585</v>
      </c>
      <c r="V663" s="34">
        <f>VLOOKUP(U663,'Powder Core Toroid OD'!$A$2:$B$36,2,FALSE)</f>
        <v>34.299999999999997</v>
      </c>
    </row>
    <row r="664" spans="1:22" hidden="1">
      <c r="A664" s="42">
        <v>77590</v>
      </c>
      <c r="B664" s="34" t="s">
        <v>401</v>
      </c>
      <c r="C664" s="158">
        <v>585</v>
      </c>
      <c r="D664" s="34">
        <v>75</v>
      </c>
      <c r="E664" s="34" t="s">
        <v>298</v>
      </c>
      <c r="F664" s="34">
        <v>47</v>
      </c>
      <c r="G664" s="34" t="s">
        <v>0</v>
      </c>
      <c r="H664" s="34">
        <v>8.9499999999999993</v>
      </c>
      <c r="I664" s="34">
        <v>89.5</v>
      </c>
      <c r="J664" s="34">
        <v>0.88800000000000001</v>
      </c>
      <c r="K664" s="34">
        <v>22.5</v>
      </c>
      <c r="L664" s="34">
        <v>1.385</v>
      </c>
      <c r="M664" s="34">
        <v>35.18</v>
      </c>
      <c r="N664" s="34">
        <v>0.38500000000000001</v>
      </c>
      <c r="O664" s="34">
        <v>9.7799999999999994</v>
      </c>
      <c r="P664" s="34">
        <v>0.46400000000000002</v>
      </c>
      <c r="Q664" s="34">
        <v>46.4</v>
      </c>
      <c r="R664" s="40">
        <v>4.1500000000000004</v>
      </c>
      <c r="S664" s="34">
        <v>4150</v>
      </c>
      <c r="T664" s="34">
        <v>3.99</v>
      </c>
      <c r="U664" s="34">
        <f t="shared" si="11"/>
        <v>585</v>
      </c>
      <c r="V664" s="34">
        <f>VLOOKUP(U664,'Powder Core Toroid OD'!$A$2:$B$36,2,FALSE)</f>
        <v>34.299999999999997</v>
      </c>
    </row>
    <row r="665" spans="1:22" hidden="1">
      <c r="A665" s="42">
        <v>77591</v>
      </c>
      <c r="B665" s="34" t="s">
        <v>400</v>
      </c>
      <c r="C665" s="158">
        <v>585</v>
      </c>
      <c r="D665" s="34">
        <v>40</v>
      </c>
      <c r="E665" s="34" t="s">
        <v>298</v>
      </c>
      <c r="F665" s="34">
        <v>25</v>
      </c>
      <c r="G665" s="34" t="s">
        <v>0</v>
      </c>
      <c r="H665" s="34">
        <v>8.9499999999999993</v>
      </c>
      <c r="I665" s="34">
        <v>89.5</v>
      </c>
      <c r="J665" s="34">
        <v>0.88800000000000001</v>
      </c>
      <c r="K665" s="34">
        <v>22.5</v>
      </c>
      <c r="L665" s="34">
        <v>1.385</v>
      </c>
      <c r="M665" s="34">
        <v>35.18</v>
      </c>
      <c r="N665" s="34">
        <v>0.38500000000000001</v>
      </c>
      <c r="O665" s="34">
        <v>9.7799999999999994</v>
      </c>
      <c r="P665" s="34">
        <v>0.46400000000000002</v>
      </c>
      <c r="Q665" s="34">
        <v>46.4</v>
      </c>
      <c r="R665" s="40">
        <v>4.1500000000000004</v>
      </c>
      <c r="S665" s="34">
        <v>4150</v>
      </c>
      <c r="T665" s="34">
        <v>3.99</v>
      </c>
      <c r="U665" s="34">
        <f t="shared" si="11"/>
        <v>585</v>
      </c>
      <c r="V665" s="34">
        <f>VLOOKUP(U665,'Powder Core Toroid OD'!$A$2:$B$36,2,FALSE)</f>
        <v>34.299999999999997</v>
      </c>
    </row>
    <row r="666" spans="1:22" hidden="1">
      <c r="A666" s="42">
        <v>77715</v>
      </c>
      <c r="B666" s="34" t="s">
        <v>399</v>
      </c>
      <c r="C666" s="158">
        <v>715</v>
      </c>
      <c r="D666" s="34">
        <v>125</v>
      </c>
      <c r="E666" s="34" t="s">
        <v>298</v>
      </c>
      <c r="F666" s="34">
        <v>152</v>
      </c>
      <c r="G666" s="34" t="s">
        <v>0</v>
      </c>
      <c r="H666" s="34">
        <v>12.7</v>
      </c>
      <c r="I666" s="34">
        <v>127</v>
      </c>
      <c r="J666" s="34">
        <v>1.218</v>
      </c>
      <c r="K666" s="34">
        <v>30.93</v>
      </c>
      <c r="L666" s="34">
        <v>2.0350000000000001</v>
      </c>
      <c r="M666" s="34">
        <v>51.69</v>
      </c>
      <c r="N666" s="34">
        <v>0.56500000000000006</v>
      </c>
      <c r="O666" s="34">
        <v>14.4</v>
      </c>
      <c r="P666" s="34">
        <v>1.25</v>
      </c>
      <c r="Q666" s="34">
        <v>125</v>
      </c>
      <c r="R666" s="34">
        <v>15.9</v>
      </c>
      <c r="S666" s="34">
        <v>15900</v>
      </c>
      <c r="T666" s="34">
        <v>7.51</v>
      </c>
      <c r="U666" s="34">
        <f t="shared" si="11"/>
        <v>715</v>
      </c>
      <c r="V666" s="34">
        <f>VLOOKUP(U666,'Powder Core Toroid OD'!$A$2:$B$36,2,FALSE)</f>
        <v>50.8</v>
      </c>
    </row>
    <row r="667" spans="1:22" hidden="1">
      <c r="A667" s="42">
        <v>77716</v>
      </c>
      <c r="B667" s="34" t="s">
        <v>398</v>
      </c>
      <c r="C667" s="158">
        <v>715</v>
      </c>
      <c r="D667" s="34">
        <v>60</v>
      </c>
      <c r="E667" s="34" t="s">
        <v>298</v>
      </c>
      <c r="F667" s="34">
        <v>73</v>
      </c>
      <c r="G667" s="34" t="s">
        <v>0</v>
      </c>
      <c r="H667" s="34">
        <v>12.7</v>
      </c>
      <c r="I667" s="34">
        <v>127</v>
      </c>
      <c r="J667" s="34">
        <v>1.218</v>
      </c>
      <c r="K667" s="34">
        <v>30.93</v>
      </c>
      <c r="L667" s="34">
        <v>2.0350000000000001</v>
      </c>
      <c r="M667" s="34">
        <v>51.69</v>
      </c>
      <c r="N667" s="34">
        <v>0.56500000000000006</v>
      </c>
      <c r="O667" s="34">
        <v>14.4</v>
      </c>
      <c r="P667" s="34">
        <v>1.25</v>
      </c>
      <c r="Q667" s="34">
        <v>125</v>
      </c>
      <c r="R667" s="34">
        <v>15.9</v>
      </c>
      <c r="S667" s="34">
        <v>15900</v>
      </c>
      <c r="T667" s="34">
        <v>7.51</v>
      </c>
      <c r="U667" s="34">
        <f t="shared" si="11"/>
        <v>715</v>
      </c>
      <c r="V667" s="34">
        <f>VLOOKUP(U667,'Powder Core Toroid OD'!$A$2:$B$36,2,FALSE)</f>
        <v>50.8</v>
      </c>
    </row>
    <row r="668" spans="1:22" hidden="1">
      <c r="A668" s="42">
        <v>77717</v>
      </c>
      <c r="B668" s="34" t="s">
        <v>397</v>
      </c>
      <c r="C668" s="158">
        <v>715</v>
      </c>
      <c r="D668" s="34">
        <v>26</v>
      </c>
      <c r="E668" s="34" t="s">
        <v>298</v>
      </c>
      <c r="F668" s="34">
        <v>32</v>
      </c>
      <c r="G668" s="34" t="s">
        <v>0</v>
      </c>
      <c r="H668" s="34">
        <v>12.7</v>
      </c>
      <c r="I668" s="34">
        <v>127</v>
      </c>
      <c r="J668" s="34">
        <v>1.218</v>
      </c>
      <c r="K668" s="34">
        <v>30.93</v>
      </c>
      <c r="L668" s="34">
        <v>2.0350000000000001</v>
      </c>
      <c r="M668" s="34">
        <v>51.69</v>
      </c>
      <c r="N668" s="34">
        <v>0.56500000000000006</v>
      </c>
      <c r="O668" s="34">
        <v>14.4</v>
      </c>
      <c r="P668" s="34">
        <v>1.25</v>
      </c>
      <c r="Q668" s="34">
        <v>125</v>
      </c>
      <c r="R668" s="34">
        <v>15.9</v>
      </c>
      <c r="S668" s="34">
        <v>15900</v>
      </c>
      <c r="T668" s="34">
        <v>7.51</v>
      </c>
      <c r="U668" s="34">
        <f t="shared" si="11"/>
        <v>715</v>
      </c>
      <c r="V668" s="34">
        <f>VLOOKUP(U668,'Powder Core Toroid OD'!$A$2:$B$36,2,FALSE)</f>
        <v>50.8</v>
      </c>
    </row>
    <row r="669" spans="1:22" hidden="1">
      <c r="A669" s="42">
        <v>77719</v>
      </c>
      <c r="B669" s="34" t="s">
        <v>396</v>
      </c>
      <c r="C669" s="158">
        <v>715</v>
      </c>
      <c r="D669" s="34">
        <v>90</v>
      </c>
      <c r="E669" s="34" t="s">
        <v>298</v>
      </c>
      <c r="F669" s="34">
        <v>109</v>
      </c>
      <c r="G669" s="34" t="s">
        <v>0</v>
      </c>
      <c r="H669" s="34">
        <v>12.7</v>
      </c>
      <c r="I669" s="34">
        <v>127</v>
      </c>
      <c r="J669" s="34">
        <v>1.218</v>
      </c>
      <c r="K669" s="34">
        <v>30.93</v>
      </c>
      <c r="L669" s="34">
        <v>2.0350000000000001</v>
      </c>
      <c r="M669" s="34">
        <v>51.69</v>
      </c>
      <c r="N669" s="34">
        <v>0.56500000000000006</v>
      </c>
      <c r="O669" s="34">
        <v>14.4</v>
      </c>
      <c r="P669" s="34">
        <v>1.25</v>
      </c>
      <c r="Q669" s="34">
        <v>125</v>
      </c>
      <c r="R669" s="34">
        <v>15.9</v>
      </c>
      <c r="S669" s="34">
        <v>15900</v>
      </c>
      <c r="T669" s="34">
        <v>7.51</v>
      </c>
      <c r="U669" s="34">
        <f t="shared" si="11"/>
        <v>715</v>
      </c>
      <c r="V669" s="34">
        <f>VLOOKUP(U669,'Powder Core Toroid OD'!$A$2:$B$36,2,FALSE)</f>
        <v>50.8</v>
      </c>
    </row>
    <row r="670" spans="1:22" hidden="1">
      <c r="A670" s="42">
        <v>77720</v>
      </c>
      <c r="B670" s="34" t="s">
        <v>395</v>
      </c>
      <c r="C670" s="158">
        <v>715</v>
      </c>
      <c r="D670" s="34">
        <v>75</v>
      </c>
      <c r="E670" s="34" t="s">
        <v>298</v>
      </c>
      <c r="F670" s="34">
        <v>91</v>
      </c>
      <c r="G670" s="34" t="s">
        <v>0</v>
      </c>
      <c r="H670" s="34">
        <v>12.7</v>
      </c>
      <c r="I670" s="34">
        <v>127</v>
      </c>
      <c r="J670" s="34">
        <v>1.218</v>
      </c>
      <c r="K670" s="34">
        <v>30.93</v>
      </c>
      <c r="L670" s="34">
        <v>2.0350000000000001</v>
      </c>
      <c r="M670" s="34">
        <v>51.69</v>
      </c>
      <c r="N670" s="34">
        <v>0.56500000000000006</v>
      </c>
      <c r="O670" s="34">
        <v>14.4</v>
      </c>
      <c r="P670" s="34">
        <v>1.25</v>
      </c>
      <c r="Q670" s="34">
        <v>125</v>
      </c>
      <c r="R670" s="34">
        <v>15.9</v>
      </c>
      <c r="S670" s="34">
        <v>15900</v>
      </c>
      <c r="T670" s="34">
        <v>7.51</v>
      </c>
      <c r="U670" s="34">
        <f t="shared" si="11"/>
        <v>715</v>
      </c>
      <c r="V670" s="34">
        <f>VLOOKUP(U670,'Powder Core Toroid OD'!$A$2:$B$36,2,FALSE)</f>
        <v>50.8</v>
      </c>
    </row>
    <row r="671" spans="1:22" hidden="1">
      <c r="A671" s="42">
        <v>77721</v>
      </c>
      <c r="B671" s="34" t="s">
        <v>394</v>
      </c>
      <c r="C671" s="158">
        <v>715</v>
      </c>
      <c r="D671" s="34">
        <v>40</v>
      </c>
      <c r="E671" s="34" t="s">
        <v>298</v>
      </c>
      <c r="F671" s="34">
        <v>49</v>
      </c>
      <c r="G671" s="34" t="s">
        <v>0</v>
      </c>
      <c r="H671" s="34">
        <v>12.7</v>
      </c>
      <c r="I671" s="34">
        <v>127</v>
      </c>
      <c r="J671" s="34">
        <v>1.218</v>
      </c>
      <c r="K671" s="34">
        <v>30.93</v>
      </c>
      <c r="L671" s="34">
        <v>2.0350000000000001</v>
      </c>
      <c r="M671" s="34">
        <v>51.69</v>
      </c>
      <c r="N671" s="34">
        <v>0.56500000000000006</v>
      </c>
      <c r="O671" s="34">
        <v>14.4</v>
      </c>
      <c r="P671" s="34">
        <v>1.25</v>
      </c>
      <c r="Q671" s="34">
        <v>125</v>
      </c>
      <c r="R671" s="34">
        <v>15.9</v>
      </c>
      <c r="S671" s="34">
        <v>15900</v>
      </c>
      <c r="T671" s="34">
        <v>7.51</v>
      </c>
      <c r="U671" s="34">
        <f t="shared" si="11"/>
        <v>715</v>
      </c>
      <c r="V671" s="34">
        <f>VLOOKUP(U671,'Powder Core Toroid OD'!$A$2:$B$36,2,FALSE)</f>
        <v>50.8</v>
      </c>
    </row>
    <row r="672" spans="1:22" hidden="1">
      <c r="A672" s="42">
        <v>77824</v>
      </c>
      <c r="B672" s="34" t="s">
        <v>393</v>
      </c>
      <c r="C672" s="158" t="s">
        <v>692</v>
      </c>
      <c r="D672" s="34">
        <v>90</v>
      </c>
      <c r="E672" s="34" t="s">
        <v>298</v>
      </c>
      <c r="F672" s="34">
        <v>36</v>
      </c>
      <c r="G672" s="34" t="s">
        <v>0</v>
      </c>
      <c r="H672" s="34">
        <v>1.36</v>
      </c>
      <c r="I672" s="34">
        <v>13.6</v>
      </c>
      <c r="J672" s="41">
        <v>0.09</v>
      </c>
      <c r="K672" s="34">
        <v>2.2799999999999998</v>
      </c>
      <c r="L672" s="34">
        <v>0.27500000000000002</v>
      </c>
      <c r="M672" s="34">
        <v>6.99</v>
      </c>
      <c r="N672" s="34">
        <v>0.13500000000000001</v>
      </c>
      <c r="O672" s="34">
        <v>3.43</v>
      </c>
      <c r="P672" s="34">
        <v>4.7E-2</v>
      </c>
      <c r="Q672" s="34">
        <v>4.7</v>
      </c>
      <c r="R672" s="41">
        <v>6.4000000000000001E-2</v>
      </c>
      <c r="S672" s="35">
        <v>64</v>
      </c>
      <c r="T672" s="34">
        <v>4.0800000000000003E-2</v>
      </c>
      <c r="U672" s="34">
        <f t="shared" si="11"/>
        <v>20</v>
      </c>
      <c r="V672" s="34">
        <f>VLOOKUP(U672,'Powder Core Toroid OD'!$A$2:$B$36,2,FALSE)</f>
        <v>6.35</v>
      </c>
    </row>
    <row r="673" spans="1:22" hidden="1">
      <c r="A673" s="42">
        <v>77825</v>
      </c>
      <c r="B673" s="34" t="s">
        <v>392</v>
      </c>
      <c r="C673" s="158" t="s">
        <v>692</v>
      </c>
      <c r="D673" s="34">
        <v>75</v>
      </c>
      <c r="E673" s="34" t="s">
        <v>298</v>
      </c>
      <c r="F673" s="34">
        <v>30</v>
      </c>
      <c r="G673" s="34" t="s">
        <v>0</v>
      </c>
      <c r="H673" s="34">
        <v>1.36</v>
      </c>
      <c r="I673" s="34">
        <v>13.6</v>
      </c>
      <c r="J673" s="41">
        <v>0.09</v>
      </c>
      <c r="K673" s="34">
        <v>2.2799999999999998</v>
      </c>
      <c r="L673" s="34">
        <v>0.27500000000000002</v>
      </c>
      <c r="M673" s="34">
        <v>6.99</v>
      </c>
      <c r="N673" s="34">
        <v>0.13500000000000001</v>
      </c>
      <c r="O673" s="34">
        <v>3.43</v>
      </c>
      <c r="P673" s="34">
        <v>4.7E-2</v>
      </c>
      <c r="Q673" s="34">
        <v>4.7</v>
      </c>
      <c r="R673" s="41">
        <v>6.4000000000000001E-2</v>
      </c>
      <c r="S673" s="35">
        <v>64</v>
      </c>
      <c r="T673" s="34">
        <v>4.0800000000000003E-2</v>
      </c>
      <c r="U673" s="34">
        <f t="shared" si="11"/>
        <v>20</v>
      </c>
      <c r="V673" s="34">
        <f>VLOOKUP(U673,'Powder Core Toroid OD'!$A$2:$B$36,2,FALSE)</f>
        <v>6.35</v>
      </c>
    </row>
    <row r="674" spans="1:22" hidden="1">
      <c r="A674" s="42">
        <v>77834</v>
      </c>
      <c r="B674" s="34" t="s">
        <v>391</v>
      </c>
      <c r="C674" s="158" t="s">
        <v>693</v>
      </c>
      <c r="D674" s="34">
        <v>90</v>
      </c>
      <c r="E674" s="34" t="s">
        <v>298</v>
      </c>
      <c r="F674" s="34">
        <v>37</v>
      </c>
      <c r="G674" s="34" t="s">
        <v>0</v>
      </c>
      <c r="H674" s="34">
        <v>1.79</v>
      </c>
      <c r="I674" s="34">
        <v>17.899999999999999</v>
      </c>
      <c r="J674" s="34">
        <v>0.13600000000000001</v>
      </c>
      <c r="K674" s="34">
        <v>3.45</v>
      </c>
      <c r="L674" s="34">
        <v>0.33500000000000002</v>
      </c>
      <c r="M674" s="34">
        <v>8.51</v>
      </c>
      <c r="N674" s="41">
        <v>0.15</v>
      </c>
      <c r="O674" s="34">
        <v>3.8099999999999996</v>
      </c>
      <c r="P674" s="34">
        <v>5.9900000000000002E-2</v>
      </c>
      <c r="Q674" s="34">
        <v>5.99</v>
      </c>
      <c r="R674" s="34">
        <v>0.107</v>
      </c>
      <c r="S674" s="34">
        <v>107</v>
      </c>
      <c r="T674" s="34">
        <v>9.35E-2</v>
      </c>
      <c r="U674" s="34">
        <f t="shared" si="11"/>
        <v>30</v>
      </c>
      <c r="V674" s="34">
        <f>VLOOKUP(U674,'Powder Core Toroid OD'!$A$2:$B$36,2,FALSE)</f>
        <v>7.87</v>
      </c>
    </row>
    <row r="675" spans="1:22" hidden="1">
      <c r="A675" s="42">
        <v>77835</v>
      </c>
      <c r="B675" s="34" t="s">
        <v>390</v>
      </c>
      <c r="C675" s="158" t="s">
        <v>693</v>
      </c>
      <c r="D675" s="34">
        <v>75</v>
      </c>
      <c r="E675" s="34" t="s">
        <v>298</v>
      </c>
      <c r="F675" s="34">
        <v>31</v>
      </c>
      <c r="G675" s="34" t="s">
        <v>0</v>
      </c>
      <c r="H675" s="34">
        <v>1.79</v>
      </c>
      <c r="I675" s="34">
        <v>17.899999999999999</v>
      </c>
      <c r="J675" s="34">
        <v>0.13600000000000001</v>
      </c>
      <c r="K675" s="34">
        <v>3.45</v>
      </c>
      <c r="L675" s="34">
        <v>0.33500000000000002</v>
      </c>
      <c r="M675" s="34">
        <v>8.51</v>
      </c>
      <c r="N675" s="41">
        <v>0.15</v>
      </c>
      <c r="O675" s="34">
        <v>3.8099999999999996</v>
      </c>
      <c r="P675" s="34">
        <v>5.9900000000000002E-2</v>
      </c>
      <c r="Q675" s="34">
        <v>5.99</v>
      </c>
      <c r="R675" s="34">
        <v>0.107</v>
      </c>
      <c r="S675" s="34">
        <v>107</v>
      </c>
      <c r="T675" s="34">
        <v>9.35E-2</v>
      </c>
      <c r="U675" s="34">
        <f t="shared" si="11"/>
        <v>30</v>
      </c>
      <c r="V675" s="34">
        <f>VLOOKUP(U675,'Powder Core Toroid OD'!$A$2:$B$36,2,FALSE)</f>
        <v>7.87</v>
      </c>
    </row>
    <row r="676" spans="1:22" hidden="1">
      <c r="A676" s="42">
        <v>77844</v>
      </c>
      <c r="B676" s="34" t="s">
        <v>389</v>
      </c>
      <c r="C676" s="158" t="s">
        <v>694</v>
      </c>
      <c r="D676" s="34">
        <v>90</v>
      </c>
      <c r="E676" s="34" t="s">
        <v>298</v>
      </c>
      <c r="F676" s="34">
        <v>48</v>
      </c>
      <c r="G676" s="34" t="s">
        <v>0</v>
      </c>
      <c r="H676" s="40">
        <v>2.2999999999999998</v>
      </c>
      <c r="I676" s="35">
        <v>23</v>
      </c>
      <c r="J676" s="41">
        <v>0.18</v>
      </c>
      <c r="K676" s="34">
        <v>4.57</v>
      </c>
      <c r="L676" s="34">
        <v>0.42499999999999999</v>
      </c>
      <c r="M676" s="34">
        <v>10.8</v>
      </c>
      <c r="N676" s="34">
        <v>0.18099999999999999</v>
      </c>
      <c r="O676" s="34">
        <v>4.5999999999999996</v>
      </c>
      <c r="P676" s="34">
        <v>9.5699999999999993E-2</v>
      </c>
      <c r="Q676" s="34">
        <v>9.5699999999999985</v>
      </c>
      <c r="R676" s="34">
        <v>0.22</v>
      </c>
      <c r="S676" s="34">
        <v>220</v>
      </c>
      <c r="T676" s="34">
        <v>0.16400000000000001</v>
      </c>
      <c r="U676" s="34">
        <f t="shared" si="11"/>
        <v>40</v>
      </c>
      <c r="V676" s="34">
        <f>VLOOKUP(U676,'Powder Core Toroid OD'!$A$2:$B$36,2,FALSE)</f>
        <v>10.199999999999999</v>
      </c>
    </row>
    <row r="677" spans="1:22" hidden="1">
      <c r="A677" s="42">
        <v>77847</v>
      </c>
      <c r="B677" s="34" t="s">
        <v>388</v>
      </c>
      <c r="C677" s="158">
        <v>206</v>
      </c>
      <c r="D677" s="34">
        <v>40</v>
      </c>
      <c r="E677" s="34" t="s">
        <v>298</v>
      </c>
      <c r="F677" s="34">
        <v>21</v>
      </c>
      <c r="G677" s="34" t="s">
        <v>0</v>
      </c>
      <c r="H677" s="34">
        <v>5.09</v>
      </c>
      <c r="I677" s="34">
        <v>50.9</v>
      </c>
      <c r="J677" s="34">
        <v>0.47500000000000003</v>
      </c>
      <c r="K677" s="35">
        <v>12</v>
      </c>
      <c r="L677" s="41">
        <v>0.83</v>
      </c>
      <c r="M677" s="34">
        <v>21.1</v>
      </c>
      <c r="N677" s="41">
        <v>0.28000000000000003</v>
      </c>
      <c r="O677" s="34">
        <v>7.12</v>
      </c>
      <c r="P677" s="34">
        <v>0.221</v>
      </c>
      <c r="Q677" s="34">
        <v>22.1</v>
      </c>
      <c r="R677" s="40">
        <v>1.1200000000000001</v>
      </c>
      <c r="S677" s="34">
        <v>1120</v>
      </c>
      <c r="T677" s="34">
        <v>1.1399999999999999</v>
      </c>
      <c r="U677" s="34">
        <f t="shared" si="11"/>
        <v>206</v>
      </c>
      <c r="V677" s="34">
        <f>VLOOKUP(U677,'Powder Core Toroid OD'!$A$2:$B$36,2,FALSE)</f>
        <v>20.3</v>
      </c>
    </row>
    <row r="678" spans="1:22" hidden="1">
      <c r="A678" s="42">
        <v>77848</v>
      </c>
      <c r="B678" s="34" t="s">
        <v>387</v>
      </c>
      <c r="C678" s="158">
        <v>206</v>
      </c>
      <c r="D678" s="34">
        <v>60</v>
      </c>
      <c r="E678" s="34" t="s">
        <v>298</v>
      </c>
      <c r="F678" s="34">
        <v>32</v>
      </c>
      <c r="G678" s="34" t="s">
        <v>0</v>
      </c>
      <c r="H678" s="34">
        <v>5.09</v>
      </c>
      <c r="I678" s="34">
        <v>50.9</v>
      </c>
      <c r="J678" s="34">
        <v>0.47500000000000003</v>
      </c>
      <c r="K678" s="35">
        <v>12</v>
      </c>
      <c r="L678" s="41">
        <v>0.83</v>
      </c>
      <c r="M678" s="34">
        <v>21.1</v>
      </c>
      <c r="N678" s="41">
        <v>0.28000000000000003</v>
      </c>
      <c r="O678" s="34">
        <v>7.12</v>
      </c>
      <c r="P678" s="34">
        <v>0.221</v>
      </c>
      <c r="Q678" s="34">
        <v>22.1</v>
      </c>
      <c r="R678" s="40">
        <v>1.1200000000000001</v>
      </c>
      <c r="S678" s="34">
        <v>1120</v>
      </c>
      <c r="T678" s="34">
        <v>1.1399999999999999</v>
      </c>
      <c r="U678" s="34">
        <f t="shared" si="11"/>
        <v>206</v>
      </c>
      <c r="V678" s="34">
        <f>VLOOKUP(U678,'Powder Core Toroid OD'!$A$2:$B$36,2,FALSE)</f>
        <v>20.3</v>
      </c>
    </row>
    <row r="679" spans="1:22" hidden="1">
      <c r="A679" s="42">
        <v>77867</v>
      </c>
      <c r="B679" s="34" t="s">
        <v>386</v>
      </c>
      <c r="C679" s="158">
        <v>866</v>
      </c>
      <c r="D679" s="34">
        <v>60</v>
      </c>
      <c r="E679" s="34" t="s">
        <v>298</v>
      </c>
      <c r="F679" s="34">
        <v>68</v>
      </c>
      <c r="G679" s="34" t="s">
        <v>0</v>
      </c>
      <c r="H679" s="34">
        <v>19.600000000000001</v>
      </c>
      <c r="I679" s="34">
        <v>196</v>
      </c>
      <c r="J679" s="34">
        <v>1.8979999999999999</v>
      </c>
      <c r="K679" s="40">
        <v>48.2</v>
      </c>
      <c r="L679" s="34">
        <v>3.1080000000000001</v>
      </c>
      <c r="M679" s="34">
        <v>78.95</v>
      </c>
      <c r="N679" s="34">
        <v>0.54500000000000004</v>
      </c>
      <c r="O679" s="34">
        <v>13.9</v>
      </c>
      <c r="P679" s="34">
        <v>1.76</v>
      </c>
      <c r="Q679" s="34">
        <v>176</v>
      </c>
      <c r="R679" s="34">
        <v>34.5</v>
      </c>
      <c r="S679" s="34">
        <v>34500</v>
      </c>
      <c r="T679" s="34">
        <v>18.2</v>
      </c>
      <c r="U679" s="34">
        <f t="shared" si="11"/>
        <v>866</v>
      </c>
      <c r="V679" s="34">
        <f>VLOOKUP(U679,'Powder Core Toroid OD'!$A$2:$B$36,2,FALSE)</f>
        <v>77.8</v>
      </c>
    </row>
    <row r="680" spans="1:22" hidden="1">
      <c r="A680" s="42">
        <v>77868</v>
      </c>
      <c r="B680" s="34" t="s">
        <v>385</v>
      </c>
      <c r="C680" s="158">
        <v>866</v>
      </c>
      <c r="D680" s="34">
        <v>26</v>
      </c>
      <c r="E680" s="34" t="s">
        <v>298</v>
      </c>
      <c r="F680" s="34">
        <v>30</v>
      </c>
      <c r="G680" s="34" t="s">
        <v>0</v>
      </c>
      <c r="H680" s="34">
        <v>19.600000000000001</v>
      </c>
      <c r="I680" s="34">
        <v>196</v>
      </c>
      <c r="J680" s="34">
        <v>1.8979999999999999</v>
      </c>
      <c r="K680" s="40">
        <v>48.2</v>
      </c>
      <c r="L680" s="34">
        <v>3.1080000000000001</v>
      </c>
      <c r="M680" s="34">
        <v>78.95</v>
      </c>
      <c r="N680" s="34">
        <v>0.54500000000000004</v>
      </c>
      <c r="O680" s="34">
        <v>13.9</v>
      </c>
      <c r="P680" s="34">
        <v>1.76</v>
      </c>
      <c r="Q680" s="34">
        <v>176</v>
      </c>
      <c r="R680" s="34">
        <v>34.5</v>
      </c>
      <c r="S680" s="34">
        <v>34500</v>
      </c>
      <c r="T680" s="34">
        <v>18.2</v>
      </c>
      <c r="U680" s="34">
        <f t="shared" si="11"/>
        <v>866</v>
      </c>
      <c r="V680" s="34">
        <f>VLOOKUP(U680,'Powder Core Toroid OD'!$A$2:$B$36,2,FALSE)</f>
        <v>77.8</v>
      </c>
    </row>
    <row r="681" spans="1:22" hidden="1">
      <c r="A681" s="42">
        <v>77872</v>
      </c>
      <c r="B681" s="34" t="s">
        <v>384</v>
      </c>
      <c r="C681" s="158">
        <v>866</v>
      </c>
      <c r="D681" s="34">
        <v>40</v>
      </c>
      <c r="E681" s="34" t="s">
        <v>298</v>
      </c>
      <c r="F681" s="34">
        <v>45</v>
      </c>
      <c r="G681" s="34" t="s">
        <v>0</v>
      </c>
      <c r="H681" s="34">
        <v>19.600000000000001</v>
      </c>
      <c r="I681" s="34">
        <v>196</v>
      </c>
      <c r="J681" s="34">
        <v>1.8979999999999999</v>
      </c>
      <c r="K681" s="40">
        <v>48.2</v>
      </c>
      <c r="L681" s="34">
        <v>3.1080000000000001</v>
      </c>
      <c r="M681" s="34">
        <v>78.95</v>
      </c>
      <c r="N681" s="34">
        <v>0.54500000000000004</v>
      </c>
      <c r="O681" s="34">
        <v>13.9</v>
      </c>
      <c r="P681" s="34">
        <v>1.76</v>
      </c>
      <c r="Q681" s="34">
        <v>176</v>
      </c>
      <c r="R681" s="34">
        <v>34.5</v>
      </c>
      <c r="S681" s="34">
        <v>34500</v>
      </c>
      <c r="T681" s="34">
        <v>18.2</v>
      </c>
      <c r="U681" s="34">
        <f t="shared" si="11"/>
        <v>866</v>
      </c>
      <c r="V681" s="34">
        <f>VLOOKUP(U681,'Powder Core Toroid OD'!$A$2:$B$36,2,FALSE)</f>
        <v>77.8</v>
      </c>
    </row>
    <row r="682" spans="1:22" hidden="1">
      <c r="A682" s="42">
        <v>77874</v>
      </c>
      <c r="B682" s="34" t="s">
        <v>383</v>
      </c>
      <c r="C682" s="158">
        <v>270</v>
      </c>
      <c r="D682" s="34">
        <v>90</v>
      </c>
      <c r="E682" s="34" t="s">
        <v>298</v>
      </c>
      <c r="F682" s="34">
        <v>74</v>
      </c>
      <c r="G682" s="34" t="s">
        <v>0</v>
      </c>
      <c r="H682" s="34">
        <v>1.36</v>
      </c>
      <c r="I682" s="34">
        <v>13.6</v>
      </c>
      <c r="J682" s="34">
        <v>8.5000000000000006E-2</v>
      </c>
      <c r="K682" s="34">
        <v>2.15</v>
      </c>
      <c r="L682" s="34">
        <v>0.28500000000000003</v>
      </c>
      <c r="M682" s="34">
        <v>7.24</v>
      </c>
      <c r="N682" s="34">
        <v>0.21299999999999999</v>
      </c>
      <c r="O682" s="34">
        <v>5.42</v>
      </c>
      <c r="P682" s="34">
        <v>9.1999999999999998E-2</v>
      </c>
      <c r="Q682" s="34">
        <v>9.1999999999999993</v>
      </c>
      <c r="R682" s="34">
        <v>0.125</v>
      </c>
      <c r="S682" s="34">
        <v>125</v>
      </c>
      <c r="T682" s="34">
        <v>3.6299999999999999E-2</v>
      </c>
      <c r="U682" s="34">
        <f t="shared" si="11"/>
        <v>270</v>
      </c>
      <c r="V682" s="34">
        <f>VLOOKUP(U682,'Powder Core Toroid OD'!$A$2:$B$36,2,FALSE)</f>
        <v>6.6</v>
      </c>
    </row>
    <row r="683" spans="1:22" hidden="1">
      <c r="A683" s="42">
        <v>77875</v>
      </c>
      <c r="B683" s="34" t="s">
        <v>382</v>
      </c>
      <c r="C683" s="158">
        <v>270</v>
      </c>
      <c r="D683" s="34">
        <v>75</v>
      </c>
      <c r="E683" s="34" t="s">
        <v>298</v>
      </c>
      <c r="F683" s="34">
        <v>62</v>
      </c>
      <c r="G683" s="34" t="s">
        <v>0</v>
      </c>
      <c r="H683" s="34">
        <v>1.36</v>
      </c>
      <c r="I683" s="34">
        <v>13.6</v>
      </c>
      <c r="J683" s="34">
        <v>8.5000000000000006E-2</v>
      </c>
      <c r="K683" s="34">
        <v>2.15</v>
      </c>
      <c r="L683" s="34">
        <v>0.28500000000000003</v>
      </c>
      <c r="M683" s="34">
        <v>7.24</v>
      </c>
      <c r="N683" s="34">
        <v>0.21299999999999999</v>
      </c>
      <c r="O683" s="34">
        <v>5.42</v>
      </c>
      <c r="P683" s="34">
        <v>9.1999999999999998E-2</v>
      </c>
      <c r="Q683" s="34">
        <v>9.1999999999999993</v>
      </c>
      <c r="R683" s="34">
        <v>0.125</v>
      </c>
      <c r="S683" s="34">
        <v>125</v>
      </c>
      <c r="T683" s="34">
        <v>3.6299999999999999E-2</v>
      </c>
      <c r="U683" s="34">
        <f t="shared" si="11"/>
        <v>270</v>
      </c>
      <c r="V683" s="34">
        <f>VLOOKUP(U683,'Powder Core Toroid OD'!$A$2:$B$36,2,FALSE)</f>
        <v>6.6</v>
      </c>
    </row>
    <row r="684" spans="1:22" hidden="1">
      <c r="A684" s="42">
        <v>77884</v>
      </c>
      <c r="B684" s="34" t="s">
        <v>381</v>
      </c>
      <c r="C684" s="158">
        <v>280</v>
      </c>
      <c r="D684" s="34">
        <v>90</v>
      </c>
      <c r="E684" s="34" t="s">
        <v>298</v>
      </c>
      <c r="F684" s="34">
        <v>38</v>
      </c>
      <c r="G684" s="34" t="s">
        <v>0</v>
      </c>
      <c r="H684" s="34">
        <v>2.1800000000000002</v>
      </c>
      <c r="I684" s="34">
        <v>21.8</v>
      </c>
      <c r="J684" s="34">
        <v>0.16800000000000001</v>
      </c>
      <c r="K684" s="34">
        <v>4.26</v>
      </c>
      <c r="L684" s="34">
        <v>0.40500000000000003</v>
      </c>
      <c r="M684" s="34">
        <v>10.3</v>
      </c>
      <c r="N684" s="41">
        <v>0.15</v>
      </c>
      <c r="O684" s="34">
        <v>3.8099999999999996</v>
      </c>
      <c r="P684" s="34">
        <v>7.5200000000000003E-2</v>
      </c>
      <c r="Q684" s="34">
        <v>7.52</v>
      </c>
      <c r="R684" s="34">
        <v>0.16400000000000001</v>
      </c>
      <c r="S684" s="34">
        <v>164</v>
      </c>
      <c r="T684" s="34">
        <v>0.14299999999999999</v>
      </c>
      <c r="U684" s="34">
        <f t="shared" si="11"/>
        <v>280</v>
      </c>
      <c r="V684" s="34">
        <f>VLOOKUP(U684,'Powder Core Toroid OD'!$A$2:$B$36,2,FALSE)</f>
        <v>9.65</v>
      </c>
    </row>
    <row r="685" spans="1:22" hidden="1">
      <c r="A685" s="42">
        <v>77885</v>
      </c>
      <c r="B685" s="34" t="s">
        <v>380</v>
      </c>
      <c r="C685" s="158">
        <v>280</v>
      </c>
      <c r="D685" s="34">
        <v>75</v>
      </c>
      <c r="E685" s="34" t="s">
        <v>298</v>
      </c>
      <c r="F685" s="34">
        <v>32</v>
      </c>
      <c r="G685" s="34" t="s">
        <v>0</v>
      </c>
      <c r="H685" s="34">
        <v>2.1800000000000002</v>
      </c>
      <c r="I685" s="34">
        <v>21.8</v>
      </c>
      <c r="J685" s="34">
        <v>0.16800000000000001</v>
      </c>
      <c r="K685" s="34">
        <v>4.26</v>
      </c>
      <c r="L685" s="34">
        <v>0.40500000000000003</v>
      </c>
      <c r="M685" s="34">
        <v>10.3</v>
      </c>
      <c r="N685" s="41">
        <v>0.15</v>
      </c>
      <c r="O685" s="34">
        <v>3.8099999999999996</v>
      </c>
      <c r="P685" s="34">
        <v>7.5200000000000003E-2</v>
      </c>
      <c r="Q685" s="34">
        <v>7.52</v>
      </c>
      <c r="R685" s="34">
        <v>0.16400000000000001</v>
      </c>
      <c r="S685" s="34">
        <v>164</v>
      </c>
      <c r="T685" s="34">
        <v>0.14299999999999999</v>
      </c>
      <c r="U685" s="34">
        <f t="shared" si="11"/>
        <v>280</v>
      </c>
      <c r="V685" s="34">
        <f>VLOOKUP(U685,'Powder Core Toroid OD'!$A$2:$B$36,2,FALSE)</f>
        <v>9.65</v>
      </c>
    </row>
    <row r="686" spans="1:22" hidden="1">
      <c r="A686" s="42">
        <v>77894</v>
      </c>
      <c r="B686" s="34" t="s">
        <v>379</v>
      </c>
      <c r="C686" s="158">
        <v>930</v>
      </c>
      <c r="D686" s="34">
        <v>60</v>
      </c>
      <c r="E686" s="34" t="s">
        <v>298</v>
      </c>
      <c r="F686" s="34">
        <v>75</v>
      </c>
      <c r="G686" s="34" t="s">
        <v>0</v>
      </c>
      <c r="H686" s="34">
        <v>6.35</v>
      </c>
      <c r="I686" s="34">
        <v>63.5</v>
      </c>
      <c r="J686" s="34">
        <v>0.55500000000000005</v>
      </c>
      <c r="K686" s="34">
        <v>14.1</v>
      </c>
      <c r="L686" s="41">
        <v>1.0900000000000001</v>
      </c>
      <c r="M686" s="34">
        <v>27.69</v>
      </c>
      <c r="N686" s="41">
        <v>0.47</v>
      </c>
      <c r="O686" s="35">
        <v>12</v>
      </c>
      <c r="P686" s="34">
        <v>0.65400000000000003</v>
      </c>
      <c r="Q686" s="34">
        <v>65.400000000000006</v>
      </c>
      <c r="R686" s="34">
        <v>4.1500000000000004</v>
      </c>
      <c r="S686" s="34">
        <v>4150</v>
      </c>
      <c r="T686" s="34">
        <v>1.56</v>
      </c>
      <c r="U686" s="34">
        <f t="shared" si="11"/>
        <v>930</v>
      </c>
      <c r="V686" s="34">
        <f>VLOOKUP(U686,'Powder Core Toroid OD'!$A$2:$B$36,2,FALSE)</f>
        <v>26.9</v>
      </c>
    </row>
    <row r="687" spans="1:22" hidden="1">
      <c r="A687" s="42">
        <v>77906</v>
      </c>
      <c r="B687" s="34" t="s">
        <v>378</v>
      </c>
      <c r="C687" s="158">
        <v>906</v>
      </c>
      <c r="D687" s="34">
        <v>125</v>
      </c>
      <c r="E687" s="34" t="s">
        <v>298</v>
      </c>
      <c r="F687" s="34">
        <v>177</v>
      </c>
      <c r="G687" s="34" t="s">
        <v>0</v>
      </c>
      <c r="H687" s="34">
        <v>19.600000000000001</v>
      </c>
      <c r="I687" s="34">
        <v>196</v>
      </c>
      <c r="J687" s="34">
        <v>1.8979999999999999</v>
      </c>
      <c r="K687" s="40">
        <v>48.2</v>
      </c>
      <c r="L687" s="34">
        <v>3.1080000000000001</v>
      </c>
      <c r="M687" s="34">
        <v>78.95</v>
      </c>
      <c r="N687" s="41">
        <v>0.67</v>
      </c>
      <c r="O687" s="34">
        <v>17.100000000000001</v>
      </c>
      <c r="P687" s="34">
        <v>2.21</v>
      </c>
      <c r="Q687" s="34">
        <v>221</v>
      </c>
      <c r="R687" s="34">
        <v>43.4</v>
      </c>
      <c r="S687" s="34">
        <v>43400</v>
      </c>
      <c r="T687" s="34">
        <v>18.2</v>
      </c>
      <c r="U687" s="34">
        <f t="shared" ref="U687:U713" si="12">C687*1</f>
        <v>906</v>
      </c>
      <c r="V687" s="34">
        <f>VLOOKUP(U687,'Powder Core Toroid OD'!$A$2:$B$36,2,FALSE)</f>
        <v>77.8</v>
      </c>
    </row>
    <row r="688" spans="1:22" hidden="1">
      <c r="A688" s="42">
        <v>77907</v>
      </c>
      <c r="B688" s="34" t="s">
        <v>377</v>
      </c>
      <c r="C688" s="158">
        <v>906</v>
      </c>
      <c r="D688" s="34">
        <v>60</v>
      </c>
      <c r="E688" s="34" t="s">
        <v>298</v>
      </c>
      <c r="F688" s="34">
        <v>85</v>
      </c>
      <c r="G688" s="34" t="s">
        <v>0</v>
      </c>
      <c r="H688" s="34">
        <v>19.600000000000001</v>
      </c>
      <c r="I688" s="34">
        <v>196</v>
      </c>
      <c r="J688" s="34">
        <v>1.8979999999999999</v>
      </c>
      <c r="K688" s="40">
        <v>48.2</v>
      </c>
      <c r="L688" s="34">
        <v>3.1080000000000001</v>
      </c>
      <c r="M688" s="34">
        <v>78.95</v>
      </c>
      <c r="N688" s="41">
        <v>0.67</v>
      </c>
      <c r="O688" s="34">
        <v>17.100000000000001</v>
      </c>
      <c r="P688" s="34">
        <v>2.21</v>
      </c>
      <c r="Q688" s="34">
        <v>221</v>
      </c>
      <c r="R688" s="34">
        <v>43.4</v>
      </c>
      <c r="S688" s="34">
        <v>43400</v>
      </c>
      <c r="T688" s="34">
        <v>18.2</v>
      </c>
      <c r="U688" s="34">
        <f t="shared" si="12"/>
        <v>906</v>
      </c>
      <c r="V688" s="34">
        <f>VLOOKUP(U688,'Powder Core Toroid OD'!$A$2:$B$36,2,FALSE)</f>
        <v>77.8</v>
      </c>
    </row>
    <row r="689" spans="1:22" hidden="1">
      <c r="A689" s="42">
        <v>77908</v>
      </c>
      <c r="B689" s="34" t="s">
        <v>376</v>
      </c>
      <c r="C689" s="158">
        <v>906</v>
      </c>
      <c r="D689" s="34">
        <v>26</v>
      </c>
      <c r="E689" s="34" t="s">
        <v>298</v>
      </c>
      <c r="F689" s="34">
        <v>37</v>
      </c>
      <c r="G689" s="34" t="s">
        <v>0</v>
      </c>
      <c r="H689" s="34">
        <v>19.600000000000001</v>
      </c>
      <c r="I689" s="34">
        <v>196</v>
      </c>
      <c r="J689" s="34">
        <v>1.8979999999999999</v>
      </c>
      <c r="K689" s="40">
        <v>48.2</v>
      </c>
      <c r="L689" s="34">
        <v>3.1080000000000001</v>
      </c>
      <c r="M689" s="34">
        <v>78.95</v>
      </c>
      <c r="N689" s="41">
        <v>0.67</v>
      </c>
      <c r="O689" s="34">
        <v>17.100000000000001</v>
      </c>
      <c r="P689" s="34">
        <v>2.21</v>
      </c>
      <c r="Q689" s="34">
        <v>221</v>
      </c>
      <c r="R689" s="34">
        <v>43.4</v>
      </c>
      <c r="S689" s="34">
        <v>43400</v>
      </c>
      <c r="T689" s="34">
        <v>18.2</v>
      </c>
      <c r="U689" s="34">
        <f t="shared" si="12"/>
        <v>906</v>
      </c>
      <c r="V689" s="34">
        <f>VLOOKUP(U689,'Powder Core Toroid OD'!$A$2:$B$36,2,FALSE)</f>
        <v>77.8</v>
      </c>
    </row>
    <row r="690" spans="1:22" hidden="1">
      <c r="A690" s="42">
        <v>77912</v>
      </c>
      <c r="B690" s="34" t="s">
        <v>375</v>
      </c>
      <c r="C690" s="158">
        <v>906</v>
      </c>
      <c r="D690" s="34">
        <v>40</v>
      </c>
      <c r="E690" s="34" t="s">
        <v>298</v>
      </c>
      <c r="F690" s="34">
        <v>57</v>
      </c>
      <c r="G690" s="34" t="s">
        <v>0</v>
      </c>
      <c r="H690" s="34">
        <v>19.600000000000001</v>
      </c>
      <c r="I690" s="34">
        <v>196</v>
      </c>
      <c r="J690" s="34">
        <v>1.8979999999999999</v>
      </c>
      <c r="K690" s="40">
        <v>48.2</v>
      </c>
      <c r="L690" s="34">
        <v>3.1080000000000001</v>
      </c>
      <c r="M690" s="34">
        <v>78.95</v>
      </c>
      <c r="N690" s="41">
        <v>0.67</v>
      </c>
      <c r="O690" s="34">
        <v>17.100000000000001</v>
      </c>
      <c r="P690" s="34">
        <v>2.21</v>
      </c>
      <c r="Q690" s="34">
        <v>221</v>
      </c>
      <c r="R690" s="34">
        <v>43.4</v>
      </c>
      <c r="S690" s="34">
        <v>43400</v>
      </c>
      <c r="T690" s="34">
        <v>18.2</v>
      </c>
      <c r="U690" s="34">
        <f t="shared" si="12"/>
        <v>906</v>
      </c>
      <c r="V690" s="34">
        <f>VLOOKUP(U690,'Powder Core Toroid OD'!$A$2:$B$36,2,FALSE)</f>
        <v>77.8</v>
      </c>
    </row>
    <row r="691" spans="1:22" hidden="1">
      <c r="A691" s="33">
        <v>77930</v>
      </c>
      <c r="B691" s="34" t="s">
        <v>374</v>
      </c>
      <c r="C691" s="158">
        <v>930</v>
      </c>
      <c r="D691" s="34">
        <v>125</v>
      </c>
      <c r="E691" s="34" t="s">
        <v>298</v>
      </c>
      <c r="F691" s="34">
        <v>157</v>
      </c>
      <c r="G691" s="34" t="s">
        <v>0</v>
      </c>
      <c r="H691" s="34">
        <v>6.35</v>
      </c>
      <c r="I691" s="34">
        <v>63.5</v>
      </c>
      <c r="J691" s="34">
        <v>0.55500000000000005</v>
      </c>
      <c r="K691" s="34">
        <v>14.1</v>
      </c>
      <c r="L691" s="41">
        <v>1.0900000000000001</v>
      </c>
      <c r="M691" s="34">
        <v>27.69</v>
      </c>
      <c r="N691" s="41">
        <v>0.47</v>
      </c>
      <c r="O691" s="35">
        <v>12</v>
      </c>
      <c r="P691" s="34">
        <v>0.65400000000000003</v>
      </c>
      <c r="Q691" s="34">
        <v>65.400000000000006</v>
      </c>
      <c r="R691" s="34">
        <v>4.1500000000000004</v>
      </c>
      <c r="S691" s="34">
        <v>4150</v>
      </c>
      <c r="T691" s="34">
        <v>1.56</v>
      </c>
      <c r="U691" s="34">
        <f t="shared" si="12"/>
        <v>930</v>
      </c>
      <c r="V691" s="34">
        <f>VLOOKUP(U691,'Powder Core Toroid OD'!$A$2:$B$36,2,FALSE)</f>
        <v>26.9</v>
      </c>
    </row>
    <row r="692" spans="1:22" hidden="1">
      <c r="A692" s="42">
        <v>77932</v>
      </c>
      <c r="B692" s="34" t="s">
        <v>373</v>
      </c>
      <c r="C692" s="158">
        <v>930</v>
      </c>
      <c r="D692" s="34">
        <v>26</v>
      </c>
      <c r="E692" s="34" t="s">
        <v>298</v>
      </c>
      <c r="F692" s="34">
        <v>32</v>
      </c>
      <c r="G692" s="34" t="s">
        <v>0</v>
      </c>
      <c r="H692" s="34">
        <v>6.35</v>
      </c>
      <c r="I692" s="34">
        <v>63.5</v>
      </c>
      <c r="J692" s="34">
        <v>0.55500000000000005</v>
      </c>
      <c r="K692" s="34">
        <v>14.1</v>
      </c>
      <c r="L692" s="41">
        <v>1.0900000000000001</v>
      </c>
      <c r="M692" s="34">
        <v>27.69</v>
      </c>
      <c r="N692" s="41">
        <v>0.47</v>
      </c>
      <c r="O692" s="35">
        <v>12</v>
      </c>
      <c r="P692" s="34">
        <v>0.65400000000000003</v>
      </c>
      <c r="Q692" s="34">
        <v>65.400000000000006</v>
      </c>
      <c r="R692" s="34">
        <v>4.1500000000000004</v>
      </c>
      <c r="S692" s="34">
        <v>4150</v>
      </c>
      <c r="T692" s="34">
        <v>1.56</v>
      </c>
      <c r="U692" s="34">
        <f t="shared" si="12"/>
        <v>930</v>
      </c>
      <c r="V692" s="34">
        <f>VLOOKUP(U692,'Powder Core Toroid OD'!$A$2:$B$36,2,FALSE)</f>
        <v>26.9</v>
      </c>
    </row>
    <row r="693" spans="1:22" hidden="1">
      <c r="A693" s="42">
        <v>77934</v>
      </c>
      <c r="B693" s="34" t="s">
        <v>372</v>
      </c>
      <c r="C693" s="158">
        <v>930</v>
      </c>
      <c r="D693" s="34">
        <v>90</v>
      </c>
      <c r="E693" s="34" t="s">
        <v>298</v>
      </c>
      <c r="F693" s="34">
        <v>113</v>
      </c>
      <c r="G693" s="34" t="s">
        <v>0</v>
      </c>
      <c r="H693" s="34">
        <v>6.35</v>
      </c>
      <c r="I693" s="34">
        <v>63.5</v>
      </c>
      <c r="J693" s="34">
        <v>0.55500000000000005</v>
      </c>
      <c r="K693" s="34">
        <v>14.1</v>
      </c>
      <c r="L693" s="41">
        <v>1.0900000000000001</v>
      </c>
      <c r="M693" s="34">
        <v>27.69</v>
      </c>
      <c r="N693" s="41">
        <v>0.47</v>
      </c>
      <c r="O693" s="35">
        <v>12</v>
      </c>
      <c r="P693" s="34">
        <v>0.65400000000000003</v>
      </c>
      <c r="Q693" s="34">
        <v>65.400000000000006</v>
      </c>
      <c r="R693" s="34">
        <v>4.1500000000000004</v>
      </c>
      <c r="S693" s="34">
        <v>4150</v>
      </c>
      <c r="T693" s="34">
        <v>1.56</v>
      </c>
      <c r="U693" s="34">
        <f t="shared" si="12"/>
        <v>930</v>
      </c>
      <c r="V693" s="34">
        <f>VLOOKUP(U693,'Powder Core Toroid OD'!$A$2:$B$36,2,FALSE)</f>
        <v>26.9</v>
      </c>
    </row>
    <row r="694" spans="1:22" hidden="1">
      <c r="A694" s="42">
        <v>77935</v>
      </c>
      <c r="B694" s="34" t="s">
        <v>371</v>
      </c>
      <c r="C694" s="158">
        <v>930</v>
      </c>
      <c r="D694" s="34">
        <v>75</v>
      </c>
      <c r="E694" s="34" t="s">
        <v>298</v>
      </c>
      <c r="F694" s="34">
        <v>94</v>
      </c>
      <c r="G694" s="34" t="s">
        <v>0</v>
      </c>
      <c r="H694" s="34">
        <v>6.35</v>
      </c>
      <c r="I694" s="34">
        <v>63.5</v>
      </c>
      <c r="J694" s="34">
        <v>0.55500000000000005</v>
      </c>
      <c r="K694" s="34">
        <v>14.1</v>
      </c>
      <c r="L694" s="41">
        <v>1.0900000000000001</v>
      </c>
      <c r="M694" s="34">
        <v>27.69</v>
      </c>
      <c r="N694" s="41">
        <v>0.47</v>
      </c>
      <c r="O694" s="35">
        <v>12</v>
      </c>
      <c r="P694" s="34">
        <v>0.65400000000000003</v>
      </c>
      <c r="Q694" s="34">
        <v>65.400000000000006</v>
      </c>
      <c r="R694" s="34">
        <v>4.1500000000000004</v>
      </c>
      <c r="S694" s="34">
        <v>4150</v>
      </c>
      <c r="T694" s="34">
        <v>1.56</v>
      </c>
      <c r="U694" s="34">
        <f t="shared" si="12"/>
        <v>930</v>
      </c>
      <c r="V694" s="34">
        <f>VLOOKUP(U694,'Powder Core Toroid OD'!$A$2:$B$36,2,FALSE)</f>
        <v>26.9</v>
      </c>
    </row>
    <row r="695" spans="1:22" hidden="1">
      <c r="A695" s="42">
        <v>77936</v>
      </c>
      <c r="B695" s="34" t="s">
        <v>370</v>
      </c>
      <c r="C695" s="158">
        <v>930</v>
      </c>
      <c r="D695" s="34">
        <v>40</v>
      </c>
      <c r="E695" s="34" t="s">
        <v>298</v>
      </c>
      <c r="F695" s="34">
        <v>50</v>
      </c>
      <c r="G695" s="34" t="s">
        <v>0</v>
      </c>
      <c r="H695" s="34">
        <v>6.35</v>
      </c>
      <c r="I695" s="34">
        <v>63.5</v>
      </c>
      <c r="J695" s="34">
        <v>0.55500000000000005</v>
      </c>
      <c r="K695" s="34">
        <v>14.1</v>
      </c>
      <c r="L695" s="41">
        <v>1.0900000000000001</v>
      </c>
      <c r="M695" s="34">
        <v>27.69</v>
      </c>
      <c r="N695" s="41">
        <v>0.47</v>
      </c>
      <c r="O695" s="35">
        <v>12</v>
      </c>
      <c r="P695" s="34">
        <v>0.65400000000000003</v>
      </c>
      <c r="Q695" s="34">
        <v>65.400000000000006</v>
      </c>
      <c r="R695" s="34">
        <v>4.1500000000000004</v>
      </c>
      <c r="S695" s="34">
        <v>4150</v>
      </c>
      <c r="T695" s="34">
        <v>1.56</v>
      </c>
      <c r="U695" s="34">
        <f t="shared" si="12"/>
        <v>930</v>
      </c>
      <c r="V695" s="34">
        <f>VLOOKUP(U695,'Powder Core Toroid OD'!$A$2:$B$36,2,FALSE)</f>
        <v>26.9</v>
      </c>
    </row>
    <row r="696" spans="1:22">
      <c r="A696" s="42">
        <v>78051</v>
      </c>
      <c r="B696" s="34" t="s">
        <v>19</v>
      </c>
      <c r="C696" s="158" t="s">
        <v>695</v>
      </c>
      <c r="D696" s="34">
        <v>60</v>
      </c>
      <c r="E696" s="34" t="s">
        <v>1</v>
      </c>
      <c r="F696" s="34">
        <v>27</v>
      </c>
      <c r="G696" s="34" t="s">
        <v>0</v>
      </c>
      <c r="H696" s="34">
        <v>3.12</v>
      </c>
      <c r="I696" s="34">
        <v>31.200000000000003</v>
      </c>
      <c r="J696" s="34">
        <v>0.27500000000000002</v>
      </c>
      <c r="K696" s="34">
        <v>6.98</v>
      </c>
      <c r="L696" s="41">
        <v>0.53</v>
      </c>
      <c r="M696" s="34">
        <v>13.5</v>
      </c>
      <c r="N696" s="34">
        <v>0.217</v>
      </c>
      <c r="O696" s="34">
        <v>5.52</v>
      </c>
      <c r="P696" s="34">
        <v>0.109</v>
      </c>
      <c r="Q696" s="34">
        <v>10.9</v>
      </c>
      <c r="R696" s="34">
        <v>0.34</v>
      </c>
      <c r="S696" s="34">
        <v>340</v>
      </c>
      <c r="T696" s="34">
        <v>0.38300000000000001</v>
      </c>
      <c r="U696" s="34">
        <f t="shared" si="12"/>
        <v>50</v>
      </c>
      <c r="V696" s="34">
        <f>VLOOKUP(U696,'Powder Core Toroid OD'!$A$2:$B$36,2,FALSE)</f>
        <v>12.7</v>
      </c>
    </row>
    <row r="697" spans="1:22">
      <c r="A697" s="42">
        <v>78059</v>
      </c>
      <c r="B697" s="34" t="s">
        <v>18</v>
      </c>
      <c r="C697" s="158">
        <v>310</v>
      </c>
      <c r="D697" s="34">
        <v>60</v>
      </c>
      <c r="E697" s="34" t="s">
        <v>1</v>
      </c>
      <c r="F697" s="34">
        <v>43</v>
      </c>
      <c r="G697" s="34" t="s">
        <v>0</v>
      </c>
      <c r="H697" s="34">
        <v>5.67</v>
      </c>
      <c r="I697" s="34">
        <v>56.7</v>
      </c>
      <c r="J697" s="34">
        <v>0.52500000000000002</v>
      </c>
      <c r="K697" s="34">
        <v>13.3</v>
      </c>
      <c r="L697" s="41">
        <v>0.93</v>
      </c>
      <c r="M697" s="34">
        <v>23.7</v>
      </c>
      <c r="N697" s="41">
        <v>0.33</v>
      </c>
      <c r="O697" s="34">
        <v>8.39</v>
      </c>
      <c r="P697" s="34">
        <v>0.317</v>
      </c>
      <c r="Q697" s="34">
        <v>31.7</v>
      </c>
      <c r="R697" s="40">
        <v>1.8</v>
      </c>
      <c r="S697" s="34">
        <v>1800</v>
      </c>
      <c r="T697" s="34">
        <v>1.39</v>
      </c>
      <c r="U697" s="34">
        <f t="shared" si="12"/>
        <v>310</v>
      </c>
      <c r="V697" s="34">
        <f>VLOOKUP(U697,'Powder Core Toroid OD'!$A$2:$B$36,2,FALSE)</f>
        <v>22.9</v>
      </c>
    </row>
    <row r="698" spans="1:22">
      <c r="A698" s="42">
        <v>78071</v>
      </c>
      <c r="B698" s="34" t="s">
        <v>17</v>
      </c>
      <c r="C698" s="158">
        <v>548</v>
      </c>
      <c r="D698" s="34">
        <v>60</v>
      </c>
      <c r="E698" s="34" t="s">
        <v>1</v>
      </c>
      <c r="F698" s="34">
        <v>61</v>
      </c>
      <c r="G698" s="34" t="s">
        <v>0</v>
      </c>
      <c r="H698" s="34">
        <v>8.14</v>
      </c>
      <c r="I698" s="34">
        <v>81.400000000000006</v>
      </c>
      <c r="J698" s="34">
        <v>0.76600000000000001</v>
      </c>
      <c r="K698" s="34">
        <v>19.399999999999999</v>
      </c>
      <c r="L698" s="34">
        <v>1.325</v>
      </c>
      <c r="M698" s="34">
        <v>33.659999999999997</v>
      </c>
      <c r="N698" s="41">
        <v>0.45</v>
      </c>
      <c r="O698" s="34">
        <v>11.5</v>
      </c>
      <c r="P698" s="34">
        <v>0.65600000000000003</v>
      </c>
      <c r="Q698" s="34">
        <v>65.599999999999994</v>
      </c>
      <c r="R698" s="40">
        <v>5.34</v>
      </c>
      <c r="S698" s="34">
        <v>5340</v>
      </c>
      <c r="T698" s="34">
        <v>2.97</v>
      </c>
      <c r="U698" s="34">
        <f t="shared" si="12"/>
        <v>548</v>
      </c>
      <c r="V698" s="34">
        <f>VLOOKUP(U698,'Powder Core Toroid OD'!$A$2:$B$36,2,FALSE)</f>
        <v>32.799999999999997</v>
      </c>
    </row>
    <row r="699" spans="1:22">
      <c r="A699" s="42">
        <v>78076</v>
      </c>
      <c r="B699" s="34" t="s">
        <v>16</v>
      </c>
      <c r="C699" s="158">
        <v>324</v>
      </c>
      <c r="D699" s="34">
        <v>60</v>
      </c>
      <c r="E699" s="34" t="s">
        <v>1</v>
      </c>
      <c r="F699" s="34">
        <v>56</v>
      </c>
      <c r="G699" s="34" t="s">
        <v>0</v>
      </c>
      <c r="H699" s="34">
        <v>8.98</v>
      </c>
      <c r="I699" s="34">
        <v>89.800000000000011</v>
      </c>
      <c r="J699" s="34">
        <v>0.84799999999999998</v>
      </c>
      <c r="K699" s="34">
        <v>21.5</v>
      </c>
      <c r="L699" s="34">
        <v>1.4450000000000001</v>
      </c>
      <c r="M699" s="34">
        <v>36.71</v>
      </c>
      <c r="N699" s="34">
        <v>0.44700000000000001</v>
      </c>
      <c r="O699" s="34">
        <v>11.4</v>
      </c>
      <c r="P699" s="34">
        <v>0.67800000000000005</v>
      </c>
      <c r="Q699" s="34">
        <v>67.800000000000011</v>
      </c>
      <c r="R699" s="40">
        <v>6.09</v>
      </c>
      <c r="S699" s="34">
        <v>6090</v>
      </c>
      <c r="T699" s="34">
        <v>3.64</v>
      </c>
      <c r="U699" s="34">
        <f t="shared" si="12"/>
        <v>324</v>
      </c>
      <c r="V699" s="34">
        <f>VLOOKUP(U699,'Powder Core Toroid OD'!$A$2:$B$36,2,FALSE)</f>
        <v>35.799999999999997</v>
      </c>
    </row>
    <row r="700" spans="1:22">
      <c r="A700" s="42">
        <v>78083</v>
      </c>
      <c r="B700" s="34" t="s">
        <v>15</v>
      </c>
      <c r="C700" s="158">
        <v>254</v>
      </c>
      <c r="D700" s="34">
        <v>60</v>
      </c>
      <c r="E700" s="34" t="s">
        <v>1</v>
      </c>
      <c r="F700" s="34">
        <v>81</v>
      </c>
      <c r="G700" s="34" t="s">
        <v>0</v>
      </c>
      <c r="H700" s="34">
        <v>9.84</v>
      </c>
      <c r="I700" s="34">
        <v>98.4</v>
      </c>
      <c r="J700" s="34">
        <v>0.91800000000000004</v>
      </c>
      <c r="K700" s="34">
        <v>23.3</v>
      </c>
      <c r="L700" s="34">
        <v>1.605</v>
      </c>
      <c r="M700" s="34">
        <v>40.770000000000003</v>
      </c>
      <c r="N700" s="34">
        <v>0.60499999999999998</v>
      </c>
      <c r="O700" s="34">
        <v>15.4</v>
      </c>
      <c r="P700" s="34">
        <v>1.07</v>
      </c>
      <c r="Q700" s="34">
        <v>107</v>
      </c>
      <c r="R700" s="35">
        <v>10.6</v>
      </c>
      <c r="S700" s="34">
        <v>10600</v>
      </c>
      <c r="T700" s="34">
        <v>4.2699999999999996</v>
      </c>
      <c r="U700" s="34">
        <f t="shared" si="12"/>
        <v>254</v>
      </c>
      <c r="V700" s="34">
        <f>VLOOKUP(U700,'Powder Core Toroid OD'!$A$2:$B$36,2,FALSE)</f>
        <v>39.9</v>
      </c>
    </row>
    <row r="701" spans="1:22" s="37" customFormat="1">
      <c r="A701" s="33">
        <v>78090</v>
      </c>
      <c r="B701" s="34" t="s">
        <v>14</v>
      </c>
      <c r="C701" s="158" t="s">
        <v>696</v>
      </c>
      <c r="D701" s="34">
        <v>60</v>
      </c>
      <c r="E701" s="34" t="s">
        <v>1</v>
      </c>
      <c r="F701" s="34">
        <v>86</v>
      </c>
      <c r="G701" s="34" t="s">
        <v>0</v>
      </c>
      <c r="H701" s="34">
        <v>11.6</v>
      </c>
      <c r="I701" s="34">
        <v>116</v>
      </c>
      <c r="J701" s="34">
        <v>1.0980000000000001</v>
      </c>
      <c r="K701" s="34">
        <v>27.88</v>
      </c>
      <c r="L701" s="34">
        <v>1.875</v>
      </c>
      <c r="M701" s="34">
        <v>47.63</v>
      </c>
      <c r="N701" s="34">
        <v>0.63500000000000001</v>
      </c>
      <c r="O701" s="34">
        <v>16.100000000000001</v>
      </c>
      <c r="P701" s="34">
        <v>1.34</v>
      </c>
      <c r="Q701" s="34">
        <v>134</v>
      </c>
      <c r="R701" s="34">
        <v>15.6</v>
      </c>
      <c r="S701" s="34">
        <v>15600</v>
      </c>
      <c r="T701" s="34">
        <v>6.1</v>
      </c>
      <c r="U701" s="34">
        <f t="shared" si="12"/>
        <v>89</v>
      </c>
      <c r="V701" s="34">
        <f>VLOOKUP(U701,'Powder Core Toroid OD'!$A$2:$B$36,2,FALSE)</f>
        <v>46.7</v>
      </c>
    </row>
    <row r="702" spans="1:22" s="37" customFormat="1">
      <c r="A702" s="33">
        <v>78110</v>
      </c>
      <c r="B702" s="34" t="s">
        <v>13</v>
      </c>
      <c r="C702" s="158">
        <v>109</v>
      </c>
      <c r="D702" s="34">
        <v>60</v>
      </c>
      <c r="E702" s="34" t="s">
        <v>1</v>
      </c>
      <c r="F702" s="34">
        <v>75</v>
      </c>
      <c r="G702" s="34" t="s">
        <v>0</v>
      </c>
      <c r="H702" s="34">
        <v>14.3</v>
      </c>
      <c r="I702" s="34">
        <v>143</v>
      </c>
      <c r="J702" s="34">
        <v>1.3680000000000001</v>
      </c>
      <c r="K702" s="34">
        <v>34.74</v>
      </c>
      <c r="L702" s="34">
        <v>2.2850000000000001</v>
      </c>
      <c r="M702" s="34">
        <v>58.04</v>
      </c>
      <c r="N702" s="34">
        <v>0.58499999999999996</v>
      </c>
      <c r="O702" s="34">
        <v>14.9</v>
      </c>
      <c r="P702" s="34">
        <v>1.44</v>
      </c>
      <c r="Q702" s="34">
        <v>144</v>
      </c>
      <c r="R702" s="34">
        <v>20.7</v>
      </c>
      <c r="S702" s="34">
        <v>20700</v>
      </c>
      <c r="T702" s="34">
        <v>9.48</v>
      </c>
      <c r="U702" s="34">
        <f t="shared" si="12"/>
        <v>109</v>
      </c>
      <c r="V702" s="34">
        <f>VLOOKUP(U702,'Powder Core Toroid OD'!$A$2:$B$36,2,FALSE)</f>
        <v>57.2</v>
      </c>
    </row>
    <row r="703" spans="1:22" s="37" customFormat="1">
      <c r="A703" s="33">
        <v>78121</v>
      </c>
      <c r="B703" s="34" t="s">
        <v>12</v>
      </c>
      <c r="C703" s="158">
        <v>120</v>
      </c>
      <c r="D703" s="34">
        <v>60</v>
      </c>
      <c r="E703" s="34" t="s">
        <v>1</v>
      </c>
      <c r="F703" s="34">
        <v>35</v>
      </c>
      <c r="G703" s="34" t="s">
        <v>0</v>
      </c>
      <c r="H703" s="34">
        <v>4.12</v>
      </c>
      <c r="I703" s="34">
        <v>41.2</v>
      </c>
      <c r="J703" s="34">
        <v>0.375</v>
      </c>
      <c r="K703" s="34">
        <v>9.52</v>
      </c>
      <c r="L703" s="41">
        <v>0.68</v>
      </c>
      <c r="M703" s="34">
        <v>17.3</v>
      </c>
      <c r="N703" s="41">
        <v>0.28000000000000003</v>
      </c>
      <c r="O703" s="34">
        <v>7.12</v>
      </c>
      <c r="P703" s="34">
        <v>0.192</v>
      </c>
      <c r="Q703" s="34">
        <v>19.2</v>
      </c>
      <c r="R703" s="34">
        <v>0.79100000000000004</v>
      </c>
      <c r="S703" s="34">
        <v>791</v>
      </c>
      <c r="T703" s="34">
        <v>0.71199999999999997</v>
      </c>
      <c r="U703" s="34">
        <f t="shared" si="12"/>
        <v>120</v>
      </c>
      <c r="V703" s="34">
        <f>VLOOKUP(U703,'Powder Core Toroid OD'!$A$2:$B$36,2,FALSE)</f>
        <v>16.600000000000001</v>
      </c>
    </row>
    <row r="704" spans="1:22" s="37" customFormat="1">
      <c r="A704" s="33">
        <v>78192</v>
      </c>
      <c r="B704" s="34" t="s">
        <v>11</v>
      </c>
      <c r="C704" s="158">
        <v>195</v>
      </c>
      <c r="D704" s="34">
        <v>60</v>
      </c>
      <c r="E704" s="34" t="s">
        <v>1</v>
      </c>
      <c r="F704" s="34">
        <v>138</v>
      </c>
      <c r="G704" s="34" t="s">
        <v>0</v>
      </c>
      <c r="H704" s="34">
        <v>12.5</v>
      </c>
      <c r="I704" s="34">
        <v>125</v>
      </c>
      <c r="J704" s="34">
        <v>1.0069999999999999</v>
      </c>
      <c r="K704" s="34">
        <v>25.57</v>
      </c>
      <c r="L704" s="34">
        <v>2.2850000000000001</v>
      </c>
      <c r="M704" s="34">
        <v>58.04</v>
      </c>
      <c r="N704" s="34">
        <v>0.63500000000000001</v>
      </c>
      <c r="O704" s="34">
        <v>16.2</v>
      </c>
      <c r="P704" s="34">
        <v>2.29</v>
      </c>
      <c r="Q704" s="34">
        <v>229</v>
      </c>
      <c r="R704" s="34">
        <v>28.6</v>
      </c>
      <c r="S704" s="34">
        <v>28600</v>
      </c>
      <c r="T704" s="34">
        <v>5.14</v>
      </c>
      <c r="U704" s="34">
        <f t="shared" si="12"/>
        <v>195</v>
      </c>
      <c r="V704" s="34">
        <f>VLOOKUP(U704,'Powder Core Toroid OD'!$A$2:$B$36,2,FALSE)</f>
        <v>57.2</v>
      </c>
    </row>
    <row r="705" spans="1:22" s="37" customFormat="1">
      <c r="A705" s="33">
        <v>78351</v>
      </c>
      <c r="B705" s="34" t="s">
        <v>10</v>
      </c>
      <c r="C705" s="158">
        <v>350</v>
      </c>
      <c r="D705" s="34">
        <v>60</v>
      </c>
      <c r="E705" s="34" t="s">
        <v>1</v>
      </c>
      <c r="F705" s="34">
        <v>51</v>
      </c>
      <c r="G705" s="34" t="s">
        <v>0</v>
      </c>
      <c r="H705" s="34">
        <v>5.88</v>
      </c>
      <c r="I705" s="34">
        <v>58.8</v>
      </c>
      <c r="J705" s="34">
        <v>0.54200000000000004</v>
      </c>
      <c r="K705" s="34">
        <v>13.7</v>
      </c>
      <c r="L705" s="34">
        <v>0.95799999999999996</v>
      </c>
      <c r="M705" s="34">
        <v>24.4</v>
      </c>
      <c r="N705" s="41">
        <v>0.38</v>
      </c>
      <c r="O705" s="34">
        <v>9.66</v>
      </c>
      <c r="P705" s="34">
        <v>0.38800000000000001</v>
      </c>
      <c r="Q705" s="34">
        <v>38.800000000000004</v>
      </c>
      <c r="R705" s="40">
        <v>2.2814399999999999</v>
      </c>
      <c r="S705" s="34">
        <v>2280</v>
      </c>
      <c r="T705" s="34">
        <v>1.49</v>
      </c>
      <c r="U705" s="34">
        <f t="shared" si="12"/>
        <v>350</v>
      </c>
      <c r="V705" s="34">
        <f>VLOOKUP(U705,'Powder Core Toroid OD'!$A$2:$B$36,2,FALSE)</f>
        <v>23.6</v>
      </c>
    </row>
    <row r="706" spans="1:22" s="37" customFormat="1">
      <c r="A706" s="33">
        <v>78381</v>
      </c>
      <c r="B706" s="34" t="s">
        <v>9</v>
      </c>
      <c r="C706" s="158">
        <v>380</v>
      </c>
      <c r="D706" s="34">
        <v>60</v>
      </c>
      <c r="E706" s="34" t="s">
        <v>1</v>
      </c>
      <c r="F706" s="34">
        <v>43</v>
      </c>
      <c r="G706" s="34" t="s">
        <v>0</v>
      </c>
      <c r="H706" s="34">
        <v>4.1399999999999997</v>
      </c>
      <c r="I706" s="34">
        <v>41.4</v>
      </c>
      <c r="J706" s="34">
        <v>0.35499999999999998</v>
      </c>
      <c r="K706" s="34">
        <v>9.01</v>
      </c>
      <c r="L706" s="41">
        <v>0.71</v>
      </c>
      <c r="M706" s="34">
        <v>18.100000000000001</v>
      </c>
      <c r="N706" s="41">
        <v>0.28000000000000003</v>
      </c>
      <c r="O706" s="34">
        <v>7.12</v>
      </c>
      <c r="P706" s="34">
        <v>0.23200000000000001</v>
      </c>
      <c r="Q706" s="34">
        <v>23.200000000000003</v>
      </c>
      <c r="R706" s="41">
        <v>0.96048</v>
      </c>
      <c r="S706" s="34">
        <v>960</v>
      </c>
      <c r="T706" s="34">
        <v>0.63800000000000001</v>
      </c>
      <c r="U706" s="34">
        <f t="shared" si="12"/>
        <v>380</v>
      </c>
      <c r="V706" s="34">
        <f>VLOOKUP(U706,'Powder Core Toroid OD'!$A$2:$B$36,2,FALSE)</f>
        <v>17.3</v>
      </c>
    </row>
    <row r="707" spans="1:22" s="37" customFormat="1">
      <c r="A707" s="33">
        <v>78439</v>
      </c>
      <c r="B707" s="34" t="s">
        <v>8</v>
      </c>
      <c r="C707" s="158">
        <v>438</v>
      </c>
      <c r="D707" s="34">
        <v>60</v>
      </c>
      <c r="E707" s="34" t="s">
        <v>1</v>
      </c>
      <c r="F707" s="34">
        <v>135</v>
      </c>
      <c r="G707" s="34" t="s">
        <v>0</v>
      </c>
      <c r="H707" s="34">
        <v>10.7</v>
      </c>
      <c r="I707" s="34">
        <v>107</v>
      </c>
      <c r="J707" s="34">
        <v>0.91800000000000004</v>
      </c>
      <c r="K707" s="34">
        <v>23.3</v>
      </c>
      <c r="L707" s="34">
        <v>1.875</v>
      </c>
      <c r="M707" s="34">
        <v>47.63</v>
      </c>
      <c r="N707" s="34">
        <v>0.745</v>
      </c>
      <c r="O707" s="35">
        <v>19</v>
      </c>
      <c r="P707" s="34">
        <v>1.99</v>
      </c>
      <c r="Q707" s="34">
        <v>199</v>
      </c>
      <c r="R707" s="34">
        <v>21.3</v>
      </c>
      <c r="S707" s="34">
        <v>21300</v>
      </c>
      <c r="T707" s="34">
        <v>4.2699999999999996</v>
      </c>
      <c r="U707" s="34">
        <f t="shared" si="12"/>
        <v>438</v>
      </c>
      <c r="V707" s="34">
        <f>VLOOKUP(U707,'Powder Core Toroid OD'!$A$2:$B$36,2,FALSE)</f>
        <v>46.7</v>
      </c>
    </row>
    <row r="708" spans="1:22" s="37" customFormat="1">
      <c r="A708" s="33">
        <v>78586</v>
      </c>
      <c r="B708" s="34" t="s">
        <v>7</v>
      </c>
      <c r="C708" s="158">
        <v>585</v>
      </c>
      <c r="D708" s="34">
        <v>60</v>
      </c>
      <c r="E708" s="34" t="s">
        <v>1</v>
      </c>
      <c r="F708" s="34">
        <v>38</v>
      </c>
      <c r="G708" s="34" t="s">
        <v>0</v>
      </c>
      <c r="H708" s="34">
        <v>8.9499999999999993</v>
      </c>
      <c r="I708" s="34">
        <v>89.5</v>
      </c>
      <c r="J708" s="34">
        <v>0.88800000000000001</v>
      </c>
      <c r="K708" s="34">
        <v>22.5</v>
      </c>
      <c r="L708" s="34">
        <v>1.385</v>
      </c>
      <c r="M708" s="34">
        <v>35.18</v>
      </c>
      <c r="N708" s="34">
        <v>0.38500000000000001</v>
      </c>
      <c r="O708" s="34">
        <v>9.7799999999999994</v>
      </c>
      <c r="P708" s="34">
        <v>0.46400000000000002</v>
      </c>
      <c r="Q708" s="34">
        <v>46.4</v>
      </c>
      <c r="R708" s="40">
        <v>4.1500000000000004</v>
      </c>
      <c r="S708" s="34">
        <v>4150</v>
      </c>
      <c r="T708" s="34">
        <v>3.99</v>
      </c>
      <c r="U708" s="34">
        <f t="shared" si="12"/>
        <v>585</v>
      </c>
      <c r="V708" s="34">
        <f>VLOOKUP(U708,'Powder Core Toroid OD'!$A$2:$B$36,2,FALSE)</f>
        <v>34.299999999999997</v>
      </c>
    </row>
    <row r="709" spans="1:22" s="37" customFormat="1" ht="14.25" customHeight="1">
      <c r="A709" s="33">
        <v>78716</v>
      </c>
      <c r="B709" s="34" t="s">
        <v>6</v>
      </c>
      <c r="C709" s="158">
        <v>715</v>
      </c>
      <c r="D709" s="34">
        <v>60</v>
      </c>
      <c r="E709" s="34" t="s">
        <v>1</v>
      </c>
      <c r="F709" s="34">
        <v>73</v>
      </c>
      <c r="G709" s="34" t="s">
        <v>0</v>
      </c>
      <c r="H709" s="34">
        <v>12.7</v>
      </c>
      <c r="I709" s="34">
        <v>127</v>
      </c>
      <c r="J709" s="34">
        <v>1.218</v>
      </c>
      <c r="K709" s="34">
        <v>30.93</v>
      </c>
      <c r="L709" s="34">
        <v>2.0350000000000001</v>
      </c>
      <c r="M709" s="34">
        <v>51.69</v>
      </c>
      <c r="N709" s="34">
        <v>0.56500000000000006</v>
      </c>
      <c r="O709" s="34">
        <v>14.4</v>
      </c>
      <c r="P709" s="34">
        <v>1.25</v>
      </c>
      <c r="Q709" s="34">
        <v>125</v>
      </c>
      <c r="R709" s="34">
        <v>15.9</v>
      </c>
      <c r="S709" s="34">
        <v>15900</v>
      </c>
      <c r="T709" s="34">
        <v>7.51</v>
      </c>
      <c r="U709" s="34">
        <f t="shared" si="12"/>
        <v>715</v>
      </c>
      <c r="V709" s="34">
        <f>VLOOKUP(U709,'Powder Core Toroid OD'!$A$2:$B$36,2,FALSE)</f>
        <v>50.8</v>
      </c>
    </row>
    <row r="710" spans="1:22" s="37" customFormat="1">
      <c r="A710" s="33">
        <v>78848</v>
      </c>
      <c r="B710" s="34" t="s">
        <v>5</v>
      </c>
      <c r="C710" s="158">
        <v>206</v>
      </c>
      <c r="D710" s="34">
        <v>60</v>
      </c>
      <c r="E710" s="34" t="s">
        <v>1</v>
      </c>
      <c r="F710" s="34">
        <v>32</v>
      </c>
      <c r="G710" s="34" t="s">
        <v>0</v>
      </c>
      <c r="H710" s="34">
        <v>5.09</v>
      </c>
      <c r="I710" s="34">
        <v>50.9</v>
      </c>
      <c r="J710" s="34">
        <v>0.47500000000000003</v>
      </c>
      <c r="K710" s="35">
        <v>12</v>
      </c>
      <c r="L710" s="41">
        <v>0.83</v>
      </c>
      <c r="M710" s="34">
        <v>21.1</v>
      </c>
      <c r="N710" s="41">
        <v>0.28000000000000003</v>
      </c>
      <c r="O710" s="34">
        <v>7.12</v>
      </c>
      <c r="P710" s="34">
        <v>0.221</v>
      </c>
      <c r="Q710" s="34">
        <v>22.1</v>
      </c>
      <c r="R710" s="40">
        <v>1.1200000000000001</v>
      </c>
      <c r="S710" s="34">
        <v>1120</v>
      </c>
      <c r="T710" s="34">
        <v>1.1399999999999999</v>
      </c>
      <c r="U710" s="34">
        <f t="shared" si="12"/>
        <v>206</v>
      </c>
      <c r="V710" s="34">
        <f>VLOOKUP(U710,'Powder Core Toroid OD'!$A$2:$B$36,2,FALSE)</f>
        <v>20.3</v>
      </c>
    </row>
    <row r="711" spans="1:22" s="37" customFormat="1">
      <c r="A711" s="33">
        <v>78867</v>
      </c>
      <c r="B711" s="34" t="s">
        <v>4</v>
      </c>
      <c r="C711" s="158">
        <v>866</v>
      </c>
      <c r="D711" s="34">
        <v>60</v>
      </c>
      <c r="E711" s="34" t="s">
        <v>1</v>
      </c>
      <c r="F711" s="34">
        <v>68</v>
      </c>
      <c r="G711" s="34" t="s">
        <v>0</v>
      </c>
      <c r="H711" s="34">
        <v>19.600000000000001</v>
      </c>
      <c r="I711" s="34">
        <v>196</v>
      </c>
      <c r="J711" s="34">
        <v>1.8979999999999999</v>
      </c>
      <c r="K711" s="40">
        <v>48.2</v>
      </c>
      <c r="L711" s="34">
        <v>3.1080000000000001</v>
      </c>
      <c r="M711" s="34">
        <v>78.95</v>
      </c>
      <c r="N711" s="34">
        <v>0.54500000000000004</v>
      </c>
      <c r="O711" s="34">
        <v>13.9</v>
      </c>
      <c r="P711" s="34">
        <v>1.76</v>
      </c>
      <c r="Q711" s="34">
        <v>176</v>
      </c>
      <c r="R711" s="34">
        <v>34.5</v>
      </c>
      <c r="S711" s="34">
        <v>34500</v>
      </c>
      <c r="T711" s="34">
        <v>18.2</v>
      </c>
      <c r="U711" s="34">
        <f t="shared" si="12"/>
        <v>866</v>
      </c>
      <c r="V711" s="34">
        <f>VLOOKUP(U711,'Powder Core Toroid OD'!$A$2:$B$36,2,FALSE)</f>
        <v>77.8</v>
      </c>
    </row>
    <row r="712" spans="1:22" s="37" customFormat="1">
      <c r="A712" s="33">
        <v>78894</v>
      </c>
      <c r="B712" s="34" t="s">
        <v>3</v>
      </c>
      <c r="C712" s="158">
        <v>930</v>
      </c>
      <c r="D712" s="34">
        <v>60</v>
      </c>
      <c r="E712" s="34" t="s">
        <v>1</v>
      </c>
      <c r="F712" s="34">
        <v>75</v>
      </c>
      <c r="G712" s="34" t="s">
        <v>0</v>
      </c>
      <c r="H712" s="34">
        <v>6.35</v>
      </c>
      <c r="I712" s="34">
        <v>63.5</v>
      </c>
      <c r="J712" s="34">
        <v>0.55500000000000005</v>
      </c>
      <c r="K712" s="34">
        <v>14.1</v>
      </c>
      <c r="L712" s="41">
        <v>1.0900000000000001</v>
      </c>
      <c r="M712" s="34">
        <v>27.69</v>
      </c>
      <c r="N712" s="41">
        <v>0.47</v>
      </c>
      <c r="O712" s="35">
        <v>12</v>
      </c>
      <c r="P712" s="34">
        <v>0.65400000000000003</v>
      </c>
      <c r="Q712" s="34">
        <v>65.400000000000006</v>
      </c>
      <c r="R712" s="34">
        <v>4.1500000000000004</v>
      </c>
      <c r="S712" s="34">
        <v>4150</v>
      </c>
      <c r="T712" s="34">
        <v>1.56</v>
      </c>
      <c r="U712" s="34">
        <f t="shared" si="12"/>
        <v>930</v>
      </c>
      <c r="V712" s="34">
        <f>VLOOKUP(U712,'Powder Core Toroid OD'!$A$2:$B$36,2,FALSE)</f>
        <v>26.9</v>
      </c>
    </row>
    <row r="713" spans="1:22" s="37" customFormat="1">
      <c r="A713" s="33">
        <v>78907</v>
      </c>
      <c r="B713" s="34" t="s">
        <v>2</v>
      </c>
      <c r="C713" s="158">
        <v>906</v>
      </c>
      <c r="D713" s="34">
        <v>60</v>
      </c>
      <c r="E713" s="34" t="s">
        <v>1</v>
      </c>
      <c r="F713" s="34">
        <v>85</v>
      </c>
      <c r="G713" s="34" t="s">
        <v>0</v>
      </c>
      <c r="H713" s="34">
        <v>19.600000000000001</v>
      </c>
      <c r="I713" s="34">
        <v>196</v>
      </c>
      <c r="J713" s="34">
        <v>1.8979999999999999</v>
      </c>
      <c r="K713" s="40">
        <v>48.2</v>
      </c>
      <c r="L713" s="34">
        <v>3.1080000000000001</v>
      </c>
      <c r="M713" s="34">
        <v>78.95</v>
      </c>
      <c r="N713" s="41">
        <v>0.67</v>
      </c>
      <c r="O713" s="34">
        <v>17.100000000000001</v>
      </c>
      <c r="P713" s="34">
        <v>2.21</v>
      </c>
      <c r="Q713" s="34">
        <v>221</v>
      </c>
      <c r="R713" s="34">
        <v>43.4</v>
      </c>
      <c r="S713" s="34">
        <v>43400</v>
      </c>
      <c r="T713" s="34">
        <v>18.2</v>
      </c>
      <c r="U713" s="34">
        <f t="shared" si="12"/>
        <v>906</v>
      </c>
      <c r="V713" s="34">
        <f>VLOOKUP(U713,'Powder Core Toroid OD'!$A$2:$B$36,2,FALSE)</f>
        <v>77.8</v>
      </c>
    </row>
    <row r="714" spans="1:22" s="6" customFormat="1" hidden="1">
      <c r="A714" s="7">
        <v>8020</v>
      </c>
      <c r="B714" t="s">
        <v>303</v>
      </c>
      <c r="C714" s="1" t="s">
        <v>683</v>
      </c>
      <c r="D714" s="1">
        <v>26</v>
      </c>
      <c r="E714" s="1" t="s">
        <v>298</v>
      </c>
      <c r="F714" s="1">
        <v>64</v>
      </c>
      <c r="G714" s="1" t="s">
        <v>301</v>
      </c>
      <c r="H714" s="1">
        <v>27.3</v>
      </c>
      <c r="I714" s="1">
        <v>273</v>
      </c>
      <c r="J714" s="1">
        <v>1.5249999999999999</v>
      </c>
      <c r="K714" s="1">
        <v>38.74</v>
      </c>
      <c r="L714" s="1">
        <v>3.1850000000000001</v>
      </c>
      <c r="M714" s="4">
        <v>80.900000000000006</v>
      </c>
      <c r="N714" s="1">
        <v>0.79500000000000004</v>
      </c>
      <c r="O714" s="1">
        <v>20.2</v>
      </c>
      <c r="P714" s="1">
        <v>1.9500000000000002</v>
      </c>
      <c r="Q714" s="1">
        <v>195.00000000000003</v>
      </c>
      <c r="R714" s="1">
        <v>53.2</v>
      </c>
      <c r="S714" s="1">
        <v>53200</v>
      </c>
      <c r="T714" s="1"/>
    </row>
    <row r="715" spans="1:22" s="6" customFormat="1" hidden="1">
      <c r="A715" s="7">
        <v>8020</v>
      </c>
      <c r="B715" t="s">
        <v>306</v>
      </c>
      <c r="C715" s="1" t="s">
        <v>683</v>
      </c>
      <c r="D715" s="1">
        <v>26</v>
      </c>
      <c r="E715" s="1" t="s">
        <v>298</v>
      </c>
      <c r="F715" s="1">
        <v>103</v>
      </c>
      <c r="G715" s="1" t="s">
        <v>297</v>
      </c>
      <c r="H715" s="1">
        <v>18.5</v>
      </c>
      <c r="I715" s="1">
        <v>185</v>
      </c>
      <c r="J715" s="1">
        <v>1.5249999999999999</v>
      </c>
      <c r="K715" s="1">
        <v>38.74</v>
      </c>
      <c r="L715" s="1">
        <v>3.1970000000000001</v>
      </c>
      <c r="M715" s="1">
        <v>81.209999999999994</v>
      </c>
      <c r="N715" s="1">
        <v>0.79500000000000004</v>
      </c>
      <c r="O715" s="1">
        <v>20.2</v>
      </c>
      <c r="P715" s="1">
        <v>3.89</v>
      </c>
      <c r="Q715" s="1">
        <v>389</v>
      </c>
      <c r="R715" s="5">
        <v>72</v>
      </c>
      <c r="S715" s="1">
        <v>72000</v>
      </c>
      <c r="T715" s="1"/>
    </row>
    <row r="716" spans="1:22" s="6" customFormat="1" hidden="1">
      <c r="A716" s="7">
        <v>8020</v>
      </c>
      <c r="B716" t="s">
        <v>305</v>
      </c>
      <c r="C716" s="1" t="s">
        <v>683</v>
      </c>
      <c r="D716" s="1">
        <v>40</v>
      </c>
      <c r="E716" s="1" t="s">
        <v>298</v>
      </c>
      <c r="F716" s="1">
        <v>145</v>
      </c>
      <c r="G716" s="1" t="s">
        <v>297</v>
      </c>
      <c r="H716" s="1">
        <v>18.5</v>
      </c>
      <c r="I716" s="1">
        <v>185</v>
      </c>
      <c r="J716" s="1">
        <v>1.5249999999999999</v>
      </c>
      <c r="K716" s="1">
        <v>38.74</v>
      </c>
      <c r="L716" s="1">
        <v>3.1970000000000001</v>
      </c>
      <c r="M716" s="1">
        <v>81.209999999999994</v>
      </c>
      <c r="N716" s="1">
        <v>0.79500000000000004</v>
      </c>
      <c r="O716" s="1">
        <v>20.2</v>
      </c>
      <c r="P716" s="1">
        <v>3.89</v>
      </c>
      <c r="Q716" s="1">
        <v>389</v>
      </c>
      <c r="R716" s="5">
        <v>72</v>
      </c>
      <c r="S716" s="1">
        <v>72000</v>
      </c>
      <c r="T716" s="1"/>
    </row>
    <row r="717" spans="1:22" customFormat="1" hidden="1">
      <c r="A717" s="7">
        <v>8020</v>
      </c>
      <c r="B717" t="s">
        <v>304</v>
      </c>
      <c r="C717" s="1" t="s">
        <v>683</v>
      </c>
      <c r="D717" s="1">
        <v>60</v>
      </c>
      <c r="E717" s="1" t="s">
        <v>298</v>
      </c>
      <c r="F717" s="1">
        <v>190</v>
      </c>
      <c r="G717" s="1" t="s">
        <v>297</v>
      </c>
      <c r="H717" s="1">
        <v>18.5</v>
      </c>
      <c r="I717" s="1">
        <v>185</v>
      </c>
      <c r="J717" s="1">
        <v>1.5249999999999999</v>
      </c>
      <c r="K717" s="1">
        <v>38.74</v>
      </c>
      <c r="L717" s="1">
        <v>3.1970000000000001</v>
      </c>
      <c r="M717" s="1">
        <v>81.209999999999994</v>
      </c>
      <c r="N717" s="1">
        <v>0.79500000000000004</v>
      </c>
      <c r="O717" s="1">
        <v>20.2</v>
      </c>
      <c r="P717" s="1">
        <v>3.89</v>
      </c>
      <c r="Q717" s="1">
        <v>389</v>
      </c>
      <c r="R717" s="5">
        <v>72</v>
      </c>
      <c r="S717" s="1">
        <v>72000</v>
      </c>
      <c r="T717" s="1"/>
    </row>
    <row r="718" spans="1:22" customFormat="1" hidden="1">
      <c r="A718" s="7">
        <v>8038</v>
      </c>
      <c r="B718" t="s">
        <v>302</v>
      </c>
      <c r="C718" s="1" t="s">
        <v>684</v>
      </c>
      <c r="D718" s="1">
        <v>26</v>
      </c>
      <c r="E718" s="1" t="s">
        <v>298</v>
      </c>
      <c r="F718" s="1">
        <v>97</v>
      </c>
      <c r="G718" s="1" t="s">
        <v>301</v>
      </c>
      <c r="H718" s="1">
        <v>23.7</v>
      </c>
      <c r="I718" s="1">
        <v>237</v>
      </c>
      <c r="J718" s="1">
        <v>1.5249999999999999</v>
      </c>
      <c r="K718" s="1">
        <v>38.74</v>
      </c>
      <c r="L718" s="1">
        <v>3.1850000000000001</v>
      </c>
      <c r="M718" s="4">
        <v>80.900000000000006</v>
      </c>
      <c r="N718" s="1">
        <v>0.92200000000000004</v>
      </c>
      <c r="O718" s="1">
        <v>23.4</v>
      </c>
      <c r="P718" s="1">
        <v>3.54</v>
      </c>
      <c r="Q718" s="1">
        <v>354</v>
      </c>
      <c r="R718" s="1">
        <v>83.9</v>
      </c>
      <c r="S718" s="1">
        <v>83900</v>
      </c>
      <c r="T718" s="1"/>
    </row>
    <row r="719" spans="1:22" customFormat="1" hidden="1">
      <c r="A719" s="7">
        <v>8038</v>
      </c>
      <c r="B719" t="s">
        <v>300</v>
      </c>
      <c r="C719" s="1" t="s">
        <v>684</v>
      </c>
      <c r="D719" s="1">
        <v>60</v>
      </c>
      <c r="E719" s="1" t="s">
        <v>298</v>
      </c>
      <c r="F719" s="1">
        <v>179</v>
      </c>
      <c r="G719" s="1" t="s">
        <v>301</v>
      </c>
      <c r="H719" s="1">
        <v>23.7</v>
      </c>
      <c r="I719" s="1">
        <v>237</v>
      </c>
      <c r="J719" s="1">
        <v>1.5249999999999999</v>
      </c>
      <c r="K719" s="1">
        <v>38.74</v>
      </c>
      <c r="L719" s="1">
        <v>3.1850000000000001</v>
      </c>
      <c r="M719" s="4">
        <v>80.900000000000006</v>
      </c>
      <c r="N719" s="1">
        <v>0.92200000000000004</v>
      </c>
      <c r="O719" s="1">
        <v>23.4</v>
      </c>
      <c r="P719" s="1">
        <v>3.54</v>
      </c>
      <c r="Q719" s="1">
        <v>354</v>
      </c>
      <c r="R719" s="1">
        <v>83.9</v>
      </c>
      <c r="S719" s="1">
        <v>83900</v>
      </c>
      <c r="T719" s="1"/>
    </row>
    <row r="720" spans="1:22" customFormat="1" hidden="1">
      <c r="A720" s="7">
        <v>8044</v>
      </c>
      <c r="B720" t="s">
        <v>299</v>
      </c>
      <c r="C720" s="1" t="s">
        <v>685</v>
      </c>
      <c r="D720" s="1">
        <v>26</v>
      </c>
      <c r="E720" s="1" t="s">
        <v>298</v>
      </c>
      <c r="F720" s="1">
        <v>91</v>
      </c>
      <c r="G720" s="1" t="s">
        <v>297</v>
      </c>
      <c r="H720" s="1">
        <v>20.8</v>
      </c>
      <c r="I720" s="1">
        <v>208</v>
      </c>
      <c r="J720" s="2">
        <v>1.78</v>
      </c>
      <c r="K720" s="1">
        <v>45.21</v>
      </c>
      <c r="L720" s="1">
        <v>3.1970000000000001</v>
      </c>
      <c r="M720" s="4">
        <v>81.2</v>
      </c>
      <c r="N720" s="1">
        <v>0.79500000000000004</v>
      </c>
      <c r="O720" s="1">
        <v>20.2</v>
      </c>
      <c r="P720" s="1">
        <v>3.89</v>
      </c>
      <c r="Q720" s="1">
        <v>389</v>
      </c>
      <c r="R720" s="1">
        <v>80.900000000000006</v>
      </c>
      <c r="S720" s="1">
        <v>80900</v>
      </c>
      <c r="T720" s="1"/>
    </row>
    <row r="721" spans="1:22" hidden="1">
      <c r="A721" s="36">
        <v>77166</v>
      </c>
      <c r="B721" s="37" t="s">
        <v>856</v>
      </c>
      <c r="C721" s="159">
        <v>165</v>
      </c>
      <c r="D721" s="37">
        <v>40</v>
      </c>
      <c r="E721" s="37" t="s">
        <v>298</v>
      </c>
      <c r="F721" s="37">
        <v>120</v>
      </c>
      <c r="G721" s="37" t="s">
        <v>0</v>
      </c>
      <c r="H721" s="37">
        <v>41.2</v>
      </c>
      <c r="I721" s="37">
        <v>412</v>
      </c>
      <c r="J721" s="37">
        <v>3.9769999999999999</v>
      </c>
      <c r="K721" s="38">
        <v>101</v>
      </c>
      <c r="L721" s="37">
        <v>6.5549999999999997</v>
      </c>
      <c r="M721" s="38">
        <v>166.5</v>
      </c>
      <c r="N721" s="37">
        <v>1.3049999999999999</v>
      </c>
      <c r="O721" s="39">
        <v>33.15</v>
      </c>
      <c r="P721" s="37">
        <v>9.8699999999999992</v>
      </c>
      <c r="Q721" s="37">
        <v>987</v>
      </c>
      <c r="R721" s="37">
        <v>407</v>
      </c>
      <c r="S721" s="37">
        <v>407000</v>
      </c>
      <c r="T721" s="37">
        <v>80.3</v>
      </c>
      <c r="U721" s="34">
        <f t="shared" ref="U721:U784" si="13">C721*1</f>
        <v>165</v>
      </c>
      <c r="V721" s="34">
        <f>VLOOKUP(U721,'Powder Core Toroid OD'!$A$2:$B$36,2,FALSE)</f>
        <v>165.1</v>
      </c>
    </row>
    <row r="722" spans="1:22" hidden="1">
      <c r="A722" s="34">
        <v>77155</v>
      </c>
      <c r="B722" s="34" t="s">
        <v>862</v>
      </c>
      <c r="C722" s="158">
        <v>150</v>
      </c>
      <c r="D722" s="34">
        <v>75</v>
      </c>
      <c r="E722" s="34" t="s">
        <v>298</v>
      </c>
      <c r="F722" s="34">
        <v>21</v>
      </c>
      <c r="G722" s="34" t="s">
        <v>0</v>
      </c>
      <c r="H722" s="34">
        <v>0.94199999999999995</v>
      </c>
      <c r="I722" s="34">
        <v>9.42</v>
      </c>
      <c r="J722" s="34">
        <v>6.8000000000000005E-2</v>
      </c>
      <c r="K722" s="34">
        <v>1.72</v>
      </c>
      <c r="L722" s="34">
        <v>0.18</v>
      </c>
      <c r="M722" s="34">
        <v>4.58</v>
      </c>
      <c r="N722" s="34">
        <v>0.125</v>
      </c>
      <c r="O722" s="34">
        <v>3.18</v>
      </c>
      <c r="P722" s="34">
        <v>2.1100000000000001E-2</v>
      </c>
      <c r="Q722" s="34">
        <v>2.11</v>
      </c>
      <c r="R722" s="34">
        <v>1.9900000000000001E-2</v>
      </c>
      <c r="S722" s="34">
        <v>19.899999999999999</v>
      </c>
      <c r="T722" s="34">
        <v>2.3199999999999998E-2</v>
      </c>
      <c r="U722" s="34">
        <f t="shared" si="13"/>
        <v>150</v>
      </c>
      <c r="V722" s="34">
        <f>VLOOKUP(U722,'Powder Core Toroid OD'!$A$2:$B$36,2,FALSE)</f>
        <v>3.94</v>
      </c>
    </row>
    <row r="723" spans="1:22" hidden="1">
      <c r="A723" s="34">
        <v>77185</v>
      </c>
      <c r="B723" s="34" t="s">
        <v>867</v>
      </c>
      <c r="C723" s="158">
        <v>180</v>
      </c>
      <c r="D723" s="34">
        <v>75</v>
      </c>
      <c r="E723" s="34" t="s">
        <v>298</v>
      </c>
      <c r="F723" s="34">
        <v>25</v>
      </c>
      <c r="G723" s="34" t="s">
        <v>0</v>
      </c>
      <c r="H723" s="34">
        <v>1.06</v>
      </c>
      <c r="I723" s="34">
        <v>10.6</v>
      </c>
      <c r="J723" s="34">
        <v>7.2999999999999995E-2</v>
      </c>
      <c r="K723" s="34">
        <v>1.85</v>
      </c>
      <c r="L723" s="34">
        <v>0.20799999999999999</v>
      </c>
      <c r="M723" s="34">
        <v>5.29</v>
      </c>
      <c r="N723" s="34">
        <v>0.125</v>
      </c>
      <c r="O723" s="34">
        <v>3.18</v>
      </c>
      <c r="P723" s="34">
        <v>2.8500000000000001E-2</v>
      </c>
      <c r="Q723" s="34">
        <v>2.85</v>
      </c>
      <c r="R723" s="34">
        <v>3.0300000000000001E-2</v>
      </c>
      <c r="S723" s="34">
        <v>30.3</v>
      </c>
      <c r="T723" s="34">
        <v>2.69E-2</v>
      </c>
      <c r="U723" s="34">
        <f t="shared" si="13"/>
        <v>180</v>
      </c>
      <c r="V723" s="34">
        <f>VLOOKUP(U723,'Powder Core Toroid OD'!$A$2:$B$36,2,FALSE)</f>
        <v>4.6500000000000004</v>
      </c>
    </row>
    <row r="724" spans="1:22" hidden="1">
      <c r="A724" s="34">
        <v>55016</v>
      </c>
      <c r="B724" s="34" t="s">
        <v>868</v>
      </c>
      <c r="C724" s="158" t="s">
        <v>692</v>
      </c>
      <c r="D724" s="34">
        <v>550</v>
      </c>
      <c r="E724" s="34" t="s">
        <v>21</v>
      </c>
      <c r="F724" s="34">
        <v>220</v>
      </c>
      <c r="G724" s="34" t="s">
        <v>0</v>
      </c>
      <c r="H724" s="34">
        <v>1.36</v>
      </c>
      <c r="I724" s="34">
        <v>13.6</v>
      </c>
      <c r="J724" s="41">
        <v>0.09</v>
      </c>
      <c r="K724" s="34">
        <v>2.2799999999999998</v>
      </c>
      <c r="L724" s="34">
        <v>0.27500000000000002</v>
      </c>
      <c r="M724" s="34">
        <v>6.99</v>
      </c>
      <c r="N724" s="34">
        <v>0.13500000000000001</v>
      </c>
      <c r="O724" s="34">
        <v>3.43</v>
      </c>
      <c r="P724" s="34">
        <v>4.7E-2</v>
      </c>
      <c r="Q724" s="34">
        <v>4.7</v>
      </c>
      <c r="R724" s="41">
        <v>6.4000000000000001E-2</v>
      </c>
      <c r="S724" s="35">
        <v>64</v>
      </c>
      <c r="T724" s="34">
        <v>4.0800000000000003E-2</v>
      </c>
      <c r="U724" s="34">
        <f t="shared" si="13"/>
        <v>20</v>
      </c>
      <c r="V724" s="34">
        <f>VLOOKUP(U724,'Powder Core Toroid OD'!$A$2:$B$36,2,FALSE)</f>
        <v>6.35</v>
      </c>
    </row>
    <row r="725" spans="1:22" hidden="1">
      <c r="A725" s="34">
        <v>58022</v>
      </c>
      <c r="B725" s="34" t="s">
        <v>869</v>
      </c>
      <c r="C725" s="158" t="s">
        <v>692</v>
      </c>
      <c r="D725" s="34">
        <v>26</v>
      </c>
      <c r="E725" s="34" t="s">
        <v>503</v>
      </c>
      <c r="F725" s="34">
        <v>10</v>
      </c>
      <c r="G725" s="34" t="s">
        <v>0</v>
      </c>
      <c r="H725" s="34">
        <v>1.36</v>
      </c>
      <c r="I725" s="34">
        <v>13.6</v>
      </c>
      <c r="J725" s="41">
        <v>0.09</v>
      </c>
      <c r="K725" s="34">
        <v>2.2799999999999998</v>
      </c>
      <c r="L725" s="34">
        <v>0.27500000000000002</v>
      </c>
      <c r="M725" s="34">
        <v>6.99</v>
      </c>
      <c r="N725" s="34">
        <v>0.13500000000000001</v>
      </c>
      <c r="O725" s="34">
        <v>3.43</v>
      </c>
      <c r="P725" s="34">
        <v>4.7E-2</v>
      </c>
      <c r="Q725" s="34">
        <v>4.7</v>
      </c>
      <c r="R725" s="41">
        <v>6.4000000000000001E-2</v>
      </c>
      <c r="S725" s="35">
        <v>64</v>
      </c>
      <c r="T725" s="34">
        <v>4.0800000000000003E-2</v>
      </c>
      <c r="U725" s="34">
        <f t="shared" si="13"/>
        <v>20</v>
      </c>
      <c r="V725" s="34">
        <f>VLOOKUP(U725,'Powder Core Toroid OD'!$A$2:$B$36,2,FALSE)</f>
        <v>6.35</v>
      </c>
    </row>
    <row r="726" spans="1:22" hidden="1">
      <c r="A726" s="34">
        <v>58242</v>
      </c>
      <c r="B726" s="34" t="s">
        <v>870</v>
      </c>
      <c r="C726" s="158">
        <v>240</v>
      </c>
      <c r="D726" s="34">
        <v>26</v>
      </c>
      <c r="E726" s="34" t="s">
        <v>873</v>
      </c>
      <c r="F726" s="34">
        <v>11</v>
      </c>
      <c r="G726" s="34" t="s">
        <v>0</v>
      </c>
      <c r="H726" s="34">
        <v>1.36</v>
      </c>
      <c r="I726" s="34">
        <v>13.6</v>
      </c>
      <c r="J726" s="34">
        <v>8.5000000000000006E-2</v>
      </c>
      <c r="K726" s="34">
        <v>2.15</v>
      </c>
      <c r="L726" s="34">
        <v>0.28499999999999998</v>
      </c>
      <c r="M726" s="34">
        <v>7.24</v>
      </c>
      <c r="N726" s="34">
        <v>0.125</v>
      </c>
      <c r="O726" s="34">
        <v>3.18</v>
      </c>
      <c r="P726" s="34">
        <v>4.7600000000000003E-2</v>
      </c>
      <c r="Q726" s="34">
        <v>4.7600000000000007</v>
      </c>
      <c r="R726" s="34">
        <v>6.4899999999999999E-2</v>
      </c>
      <c r="S726" s="34">
        <v>64.900000000000006</v>
      </c>
      <c r="T726" s="34">
        <v>3.6299999999999999E-2</v>
      </c>
      <c r="U726" s="34">
        <f t="shared" si="13"/>
        <v>240</v>
      </c>
      <c r="V726" s="34">
        <f>VLOOKUP(U726,'Powder Core Toroid OD'!$A$2:$B$36,2,FALSE)</f>
        <v>6.6</v>
      </c>
    </row>
    <row r="727" spans="1:22" hidden="1">
      <c r="A727" s="34">
        <v>77241</v>
      </c>
      <c r="B727" s="34" t="s">
        <v>871</v>
      </c>
      <c r="C727" s="158">
        <v>240</v>
      </c>
      <c r="D727" s="34">
        <v>60</v>
      </c>
      <c r="E727" s="34" t="s">
        <v>298</v>
      </c>
      <c r="F727" s="34">
        <v>26</v>
      </c>
      <c r="G727" s="34" t="s">
        <v>0</v>
      </c>
      <c r="H727" s="34">
        <v>1.36</v>
      </c>
      <c r="I727" s="34">
        <v>13.6</v>
      </c>
      <c r="J727" s="34">
        <v>8.5000000000000006E-2</v>
      </c>
      <c r="K727" s="34">
        <v>2.15</v>
      </c>
      <c r="L727" s="34">
        <v>0.28499999999999998</v>
      </c>
      <c r="M727" s="34">
        <v>7.24</v>
      </c>
      <c r="N727" s="34">
        <v>0.125</v>
      </c>
      <c r="O727" s="34">
        <v>3.18</v>
      </c>
      <c r="P727" s="34">
        <v>4.7600000000000003E-2</v>
      </c>
      <c r="Q727" s="34">
        <v>4.7600000000000007</v>
      </c>
      <c r="R727" s="34">
        <v>6.4899999999999999E-2</v>
      </c>
      <c r="S727" s="34">
        <v>64.900000000000006</v>
      </c>
      <c r="T727" s="34">
        <v>3.6299999999999999E-2</v>
      </c>
      <c r="U727" s="34">
        <f t="shared" si="13"/>
        <v>240</v>
      </c>
      <c r="V727" s="34">
        <f>VLOOKUP(U727,'Powder Core Toroid OD'!$A$2:$B$36,2,FALSE)</f>
        <v>6.6</v>
      </c>
    </row>
    <row r="728" spans="1:22" hidden="1">
      <c r="A728" s="34">
        <v>77245</v>
      </c>
      <c r="B728" s="34" t="s">
        <v>872</v>
      </c>
      <c r="C728" s="158">
        <v>240</v>
      </c>
      <c r="D728" s="34">
        <v>75</v>
      </c>
      <c r="E728" s="34" t="s">
        <v>298</v>
      </c>
      <c r="F728" s="34">
        <v>32</v>
      </c>
      <c r="G728" s="34" t="s">
        <v>0</v>
      </c>
      <c r="H728" s="34">
        <v>1.36</v>
      </c>
      <c r="I728" s="34">
        <v>13.6</v>
      </c>
      <c r="J728" s="34">
        <v>8.5000000000000006E-2</v>
      </c>
      <c r="K728" s="34">
        <v>2.15</v>
      </c>
      <c r="L728" s="34">
        <v>0.28499999999999998</v>
      </c>
      <c r="M728" s="34">
        <v>7.24</v>
      </c>
      <c r="N728" s="34">
        <v>0.125</v>
      </c>
      <c r="O728" s="34">
        <v>3.18</v>
      </c>
      <c r="P728" s="34">
        <v>4.7600000000000003E-2</v>
      </c>
      <c r="Q728" s="34">
        <v>4.7600000000000007</v>
      </c>
      <c r="R728" s="34">
        <v>6.4899999999999999E-2</v>
      </c>
      <c r="S728" s="34">
        <v>64.900000000000006</v>
      </c>
      <c r="T728" s="34">
        <v>3.6299999999999999E-2</v>
      </c>
      <c r="U728" s="34">
        <f t="shared" si="13"/>
        <v>240</v>
      </c>
      <c r="V728" s="34">
        <f>VLOOKUP(U728,'Powder Core Toroid OD'!$A$2:$B$36,2,FALSE)</f>
        <v>6.6</v>
      </c>
    </row>
    <row r="729" spans="1:22" hidden="1">
      <c r="A729" s="34">
        <v>55273</v>
      </c>
      <c r="B729" s="34" t="s">
        <v>874</v>
      </c>
      <c r="C729" s="158">
        <v>270</v>
      </c>
      <c r="D729" s="34">
        <v>14</v>
      </c>
      <c r="E729" s="34" t="s">
        <v>21</v>
      </c>
      <c r="F729" s="34">
        <v>12</v>
      </c>
      <c r="G729" s="34" t="s">
        <v>0</v>
      </c>
      <c r="H729" s="34">
        <v>1.36</v>
      </c>
      <c r="I729" s="34">
        <v>13.6</v>
      </c>
      <c r="J729" s="34">
        <v>8.5000000000000006E-2</v>
      </c>
      <c r="K729" s="34">
        <v>2.15</v>
      </c>
      <c r="L729" s="34">
        <v>0.28500000000000003</v>
      </c>
      <c r="M729" s="34">
        <v>7.24</v>
      </c>
      <c r="N729" s="34">
        <v>0.21299999999999999</v>
      </c>
      <c r="O729" s="34">
        <v>5.42</v>
      </c>
      <c r="P729" s="34">
        <v>9.1999999999999998E-2</v>
      </c>
      <c r="Q729" s="34">
        <v>9.1999999999999993</v>
      </c>
      <c r="R729" s="34">
        <v>0.125</v>
      </c>
      <c r="S729" s="34">
        <v>125</v>
      </c>
      <c r="T729" s="34">
        <v>3.6299999999999999E-2</v>
      </c>
      <c r="U729" s="34">
        <f t="shared" si="13"/>
        <v>270</v>
      </c>
      <c r="V729" s="34">
        <f>VLOOKUP(U729,'Powder Core Toroid OD'!$A$2:$B$36,2,FALSE)</f>
        <v>6.6</v>
      </c>
    </row>
    <row r="730" spans="1:22" hidden="1">
      <c r="A730" s="34">
        <v>58269</v>
      </c>
      <c r="B730" s="34" t="s">
        <v>875</v>
      </c>
      <c r="C730" s="158">
        <v>270</v>
      </c>
      <c r="D730" s="34">
        <v>147</v>
      </c>
      <c r="E730" s="34" t="s">
        <v>503</v>
      </c>
      <c r="F730" s="34">
        <v>122</v>
      </c>
      <c r="G730" s="34" t="s">
        <v>0</v>
      </c>
      <c r="H730" s="34">
        <v>1.36</v>
      </c>
      <c r="I730" s="34">
        <v>13.6</v>
      </c>
      <c r="J730" s="34">
        <v>8.5000000000000006E-2</v>
      </c>
      <c r="K730" s="34">
        <v>2.15</v>
      </c>
      <c r="L730" s="34">
        <v>0.28500000000000003</v>
      </c>
      <c r="M730" s="34">
        <v>7.24</v>
      </c>
      <c r="N730" s="34">
        <v>0.21299999999999999</v>
      </c>
      <c r="O730" s="34">
        <v>5.42</v>
      </c>
      <c r="P730" s="34">
        <v>9.1999999999999998E-2</v>
      </c>
      <c r="Q730" s="34">
        <v>9.1999999999999993</v>
      </c>
      <c r="R730" s="34">
        <v>0.125</v>
      </c>
      <c r="S730" s="34">
        <v>125</v>
      </c>
      <c r="T730" s="34">
        <v>3.6299999999999999E-2</v>
      </c>
      <c r="U730" s="34">
        <f t="shared" si="13"/>
        <v>270</v>
      </c>
      <c r="V730" s="34">
        <f>VLOOKUP(U730,'Powder Core Toroid OD'!$A$2:$B$36,2,FALSE)</f>
        <v>6.6</v>
      </c>
    </row>
    <row r="731" spans="1:22" hidden="1">
      <c r="A731" s="34">
        <v>58272</v>
      </c>
      <c r="B731" s="34" t="s">
        <v>876</v>
      </c>
      <c r="C731" s="158">
        <v>270</v>
      </c>
      <c r="D731" s="34">
        <v>26</v>
      </c>
      <c r="E731" s="34" t="s">
        <v>503</v>
      </c>
      <c r="F731" s="34">
        <v>21</v>
      </c>
      <c r="G731" s="34" t="s">
        <v>0</v>
      </c>
      <c r="H731" s="34">
        <v>1.36</v>
      </c>
      <c r="I731" s="34">
        <v>13.6</v>
      </c>
      <c r="J731" s="34">
        <v>8.5000000000000006E-2</v>
      </c>
      <c r="K731" s="34">
        <v>2.15</v>
      </c>
      <c r="L731" s="34">
        <v>0.28500000000000003</v>
      </c>
      <c r="M731" s="34">
        <v>7.24</v>
      </c>
      <c r="N731" s="34">
        <v>0.21299999999999999</v>
      </c>
      <c r="O731" s="34">
        <v>5.42</v>
      </c>
      <c r="P731" s="34">
        <v>9.1999999999999998E-2</v>
      </c>
      <c r="Q731" s="34">
        <v>9.1999999999999993</v>
      </c>
      <c r="R731" s="34">
        <v>0.125</v>
      </c>
      <c r="S731" s="34">
        <v>125</v>
      </c>
      <c r="T731" s="34">
        <v>3.6299999999999999E-2</v>
      </c>
      <c r="U731" s="34">
        <f t="shared" si="13"/>
        <v>270</v>
      </c>
      <c r="V731" s="34">
        <f>VLOOKUP(U731,'Powder Core Toroid OD'!$A$2:$B$36,2,FALSE)</f>
        <v>6.6</v>
      </c>
    </row>
    <row r="732" spans="1:22" hidden="1">
      <c r="A732" s="34">
        <v>55412</v>
      </c>
      <c r="B732" s="34" t="s">
        <v>877</v>
      </c>
      <c r="C732" s="158">
        <v>410</v>
      </c>
      <c r="D732" s="34">
        <v>26</v>
      </c>
      <c r="E732" s="34" t="s">
        <v>21</v>
      </c>
      <c r="F732" s="34">
        <v>14</v>
      </c>
      <c r="G732" s="34" t="s">
        <v>0</v>
      </c>
      <c r="H732" s="34">
        <v>1.65</v>
      </c>
      <c r="I732" s="34">
        <v>16.5</v>
      </c>
      <c r="J732" s="34">
        <v>0.13600000000000001</v>
      </c>
      <c r="K732" s="34">
        <v>3.45</v>
      </c>
      <c r="L732" s="34">
        <v>0.29499999999999998</v>
      </c>
      <c r="M732" s="40">
        <v>7.5</v>
      </c>
      <c r="N732" s="34">
        <v>0.22500000000000001</v>
      </c>
      <c r="O732" s="34">
        <v>5.72</v>
      </c>
      <c r="P732" s="34">
        <v>7.2499999999999995E-2</v>
      </c>
      <c r="Q732" s="34">
        <v>7.2499999999999991</v>
      </c>
      <c r="R732" s="34">
        <v>0.12</v>
      </c>
      <c r="S732" s="34">
        <v>120</v>
      </c>
      <c r="T732" s="34">
        <v>9.35E-2</v>
      </c>
      <c r="U732" s="34">
        <f t="shared" si="13"/>
        <v>410</v>
      </c>
      <c r="V732" s="34">
        <f>VLOOKUP(U732,'Powder Core Toroid OD'!$A$2:$B$36,2,FALSE)</f>
        <v>6.86</v>
      </c>
    </row>
    <row r="733" spans="1:22" hidden="1">
      <c r="A733" s="34">
        <v>55413</v>
      </c>
      <c r="B733" s="34" t="s">
        <v>878</v>
      </c>
      <c r="C733" s="158">
        <v>410</v>
      </c>
      <c r="D733" s="34">
        <v>14</v>
      </c>
      <c r="E733" s="34" t="s">
        <v>21</v>
      </c>
      <c r="F733" s="34">
        <v>8</v>
      </c>
      <c r="G733" s="34" t="s">
        <v>0</v>
      </c>
      <c r="H733" s="34">
        <v>1.65</v>
      </c>
      <c r="I733" s="34">
        <v>16.5</v>
      </c>
      <c r="J733" s="34">
        <v>0.13600000000000001</v>
      </c>
      <c r="K733" s="34">
        <v>3.45</v>
      </c>
      <c r="L733" s="34">
        <v>0.29499999999999998</v>
      </c>
      <c r="M733" s="40">
        <v>7.5</v>
      </c>
      <c r="N733" s="34">
        <v>0.22500000000000001</v>
      </c>
      <c r="O733" s="34">
        <v>5.72</v>
      </c>
      <c r="P733" s="34">
        <v>7.2499999999999995E-2</v>
      </c>
      <c r="Q733" s="34">
        <v>7.2499999999999991</v>
      </c>
      <c r="R733" s="34">
        <v>0.12</v>
      </c>
      <c r="S733" s="34">
        <v>120</v>
      </c>
      <c r="T733" s="34">
        <v>9.35E-2</v>
      </c>
      <c r="U733" s="34">
        <f t="shared" si="13"/>
        <v>410</v>
      </c>
      <c r="V733" s="34">
        <f>VLOOKUP(U733,'Powder Core Toroid OD'!$A$2:$B$36,2,FALSE)</f>
        <v>6.86</v>
      </c>
    </row>
    <row r="734" spans="1:22" hidden="1">
      <c r="A734" s="34">
        <v>58409</v>
      </c>
      <c r="B734" s="34" t="s">
        <v>879</v>
      </c>
      <c r="C734" s="158">
        <v>410</v>
      </c>
      <c r="D734" s="34">
        <v>147</v>
      </c>
      <c r="E734" s="34" t="s">
        <v>503</v>
      </c>
      <c r="F734" s="34">
        <v>81</v>
      </c>
      <c r="G734" s="34" t="s">
        <v>0</v>
      </c>
      <c r="H734" s="34">
        <v>1.65</v>
      </c>
      <c r="I734" s="34">
        <v>16.5</v>
      </c>
      <c r="J734" s="34">
        <v>0.13600000000000001</v>
      </c>
      <c r="K734" s="34">
        <v>3.45</v>
      </c>
      <c r="L734" s="34">
        <v>0.29499999999999998</v>
      </c>
      <c r="M734" s="40">
        <v>7.5</v>
      </c>
      <c r="N734" s="34">
        <v>0.22500000000000001</v>
      </c>
      <c r="O734" s="34">
        <v>5.72</v>
      </c>
      <c r="P734" s="34">
        <v>7.2499999999999995E-2</v>
      </c>
      <c r="Q734" s="34">
        <v>7.2499999999999991</v>
      </c>
      <c r="R734" s="34">
        <v>0.12</v>
      </c>
      <c r="S734" s="34">
        <v>120</v>
      </c>
      <c r="T734" s="34">
        <v>9.35E-2</v>
      </c>
      <c r="U734" s="34">
        <f t="shared" si="13"/>
        <v>410</v>
      </c>
      <c r="V734" s="34">
        <f>VLOOKUP(U734,'Powder Core Toroid OD'!$A$2:$B$36,2,FALSE)</f>
        <v>6.86</v>
      </c>
    </row>
    <row r="735" spans="1:22" hidden="1">
      <c r="A735" s="34">
        <v>58411</v>
      </c>
      <c r="B735" s="34" t="s">
        <v>880</v>
      </c>
      <c r="C735" s="158">
        <v>410</v>
      </c>
      <c r="D735" s="34">
        <v>60</v>
      </c>
      <c r="E735" s="34" t="s">
        <v>503</v>
      </c>
      <c r="F735" s="34">
        <v>33</v>
      </c>
      <c r="G735" s="34" t="s">
        <v>0</v>
      </c>
      <c r="H735" s="34">
        <v>1.65</v>
      </c>
      <c r="I735" s="34">
        <v>16.5</v>
      </c>
      <c r="J735" s="34">
        <v>0.13600000000000001</v>
      </c>
      <c r="K735" s="34">
        <v>3.45</v>
      </c>
      <c r="L735" s="34">
        <v>0.29499999999999998</v>
      </c>
      <c r="M735" s="40">
        <v>7.5</v>
      </c>
      <c r="N735" s="34">
        <v>0.22500000000000001</v>
      </c>
      <c r="O735" s="34">
        <v>5.72</v>
      </c>
      <c r="P735" s="34">
        <v>7.2499999999999995E-2</v>
      </c>
      <c r="Q735" s="34">
        <v>7.2499999999999991</v>
      </c>
      <c r="R735" s="34">
        <v>0.12</v>
      </c>
      <c r="S735" s="34">
        <v>120</v>
      </c>
      <c r="T735" s="34">
        <v>9.35E-2</v>
      </c>
      <c r="U735" s="34">
        <f t="shared" si="13"/>
        <v>410</v>
      </c>
      <c r="V735" s="34">
        <f>VLOOKUP(U735,'Powder Core Toroid OD'!$A$2:$B$36,2,FALSE)</f>
        <v>6.86</v>
      </c>
    </row>
    <row r="736" spans="1:22" hidden="1">
      <c r="A736" s="34">
        <v>58412</v>
      </c>
      <c r="B736" s="34" t="s">
        <v>881</v>
      </c>
      <c r="C736" s="158">
        <v>410</v>
      </c>
      <c r="D736" s="34">
        <v>26</v>
      </c>
      <c r="E736" s="34" t="s">
        <v>503</v>
      </c>
      <c r="F736" s="34">
        <v>14</v>
      </c>
      <c r="G736" s="34" t="s">
        <v>0</v>
      </c>
      <c r="H736" s="34">
        <v>1.65</v>
      </c>
      <c r="I736" s="34">
        <v>16.5</v>
      </c>
      <c r="J736" s="34">
        <v>0.13600000000000001</v>
      </c>
      <c r="K736" s="34">
        <v>3.45</v>
      </c>
      <c r="L736" s="34">
        <v>0.29499999999999998</v>
      </c>
      <c r="M736" s="40">
        <v>7.5</v>
      </c>
      <c r="N736" s="34">
        <v>0.22500000000000001</v>
      </c>
      <c r="O736" s="34">
        <v>5.72</v>
      </c>
      <c r="P736" s="34">
        <v>7.2499999999999995E-2</v>
      </c>
      <c r="Q736" s="34">
        <v>7.2499999999999991</v>
      </c>
      <c r="R736" s="34">
        <v>0.12</v>
      </c>
      <c r="S736" s="34">
        <v>120</v>
      </c>
      <c r="T736" s="34">
        <v>9.35E-2</v>
      </c>
      <c r="U736" s="34">
        <f t="shared" si="13"/>
        <v>410</v>
      </c>
      <c r="V736" s="34">
        <f>VLOOKUP(U736,'Powder Core Toroid OD'!$A$2:$B$36,2,FALSE)</f>
        <v>6.86</v>
      </c>
    </row>
    <row r="737" spans="1:22" hidden="1">
      <c r="A737" s="34">
        <v>58413</v>
      </c>
      <c r="B737" s="34" t="s">
        <v>882</v>
      </c>
      <c r="C737" s="158">
        <v>410</v>
      </c>
      <c r="D737" s="34">
        <v>14</v>
      </c>
      <c r="E737" s="34" t="s">
        <v>503</v>
      </c>
      <c r="F737" s="34">
        <v>8</v>
      </c>
      <c r="G737" s="34" t="s">
        <v>0</v>
      </c>
      <c r="H737" s="34">
        <v>1.65</v>
      </c>
      <c r="I737" s="34">
        <v>16.5</v>
      </c>
      <c r="J737" s="34">
        <v>0.13600000000000001</v>
      </c>
      <c r="K737" s="34">
        <v>3.45</v>
      </c>
      <c r="L737" s="34">
        <v>0.29499999999999998</v>
      </c>
      <c r="M737" s="40">
        <v>7.5</v>
      </c>
      <c r="N737" s="34">
        <v>0.22500000000000001</v>
      </c>
      <c r="O737" s="34">
        <v>5.72</v>
      </c>
      <c r="P737" s="34">
        <v>7.2499999999999995E-2</v>
      </c>
      <c r="Q737" s="34">
        <v>7.2499999999999991</v>
      </c>
      <c r="R737" s="34">
        <v>0.12</v>
      </c>
      <c r="S737" s="34">
        <v>120</v>
      </c>
      <c r="T737" s="34">
        <v>9.35E-2</v>
      </c>
      <c r="U737" s="34">
        <f t="shared" si="13"/>
        <v>410</v>
      </c>
      <c r="V737" s="34">
        <f>VLOOKUP(U737,'Powder Core Toroid OD'!$A$2:$B$36,2,FALSE)</f>
        <v>6.86</v>
      </c>
    </row>
    <row r="738" spans="1:22" hidden="1">
      <c r="A738" s="34">
        <v>77411</v>
      </c>
      <c r="B738" s="34" t="s">
        <v>883</v>
      </c>
      <c r="C738" s="158">
        <v>410</v>
      </c>
      <c r="D738" s="34">
        <v>60</v>
      </c>
      <c r="E738" s="34" t="s">
        <v>298</v>
      </c>
      <c r="F738" s="34">
        <v>33</v>
      </c>
      <c r="G738" s="34" t="s">
        <v>0</v>
      </c>
      <c r="H738" s="34">
        <v>1.65</v>
      </c>
      <c r="I738" s="34">
        <v>16.5</v>
      </c>
      <c r="J738" s="34">
        <v>0.13600000000000001</v>
      </c>
      <c r="K738" s="34">
        <v>3.45</v>
      </c>
      <c r="L738" s="34">
        <v>0.29499999999999998</v>
      </c>
      <c r="M738" s="40">
        <v>7.5</v>
      </c>
      <c r="N738" s="34">
        <v>0.22500000000000001</v>
      </c>
      <c r="O738" s="34">
        <v>5.72</v>
      </c>
      <c r="P738" s="34">
        <v>7.2499999999999995E-2</v>
      </c>
      <c r="Q738" s="34">
        <v>7.2499999999999991</v>
      </c>
      <c r="R738" s="34">
        <v>0.12</v>
      </c>
      <c r="S738" s="34">
        <v>120</v>
      </c>
      <c r="T738" s="34">
        <v>9.35E-2</v>
      </c>
      <c r="U738" s="34">
        <f t="shared" si="13"/>
        <v>410</v>
      </c>
      <c r="V738" s="34">
        <f>VLOOKUP(U738,'Powder Core Toroid OD'!$A$2:$B$36,2,FALSE)</f>
        <v>6.86</v>
      </c>
    </row>
    <row r="739" spans="1:22" hidden="1">
      <c r="A739" s="34">
        <v>77415</v>
      </c>
      <c r="B739" s="34" t="s">
        <v>884</v>
      </c>
      <c r="C739" s="158">
        <v>410</v>
      </c>
      <c r="D739" s="34">
        <v>75</v>
      </c>
      <c r="E739" s="34" t="s">
        <v>298</v>
      </c>
      <c r="F739" s="34">
        <v>42</v>
      </c>
      <c r="G739" s="34" t="s">
        <v>0</v>
      </c>
      <c r="H739" s="34">
        <v>1.65</v>
      </c>
      <c r="I739" s="34">
        <v>16.5</v>
      </c>
      <c r="J739" s="34">
        <v>0.13600000000000001</v>
      </c>
      <c r="K739" s="34">
        <v>3.45</v>
      </c>
      <c r="L739" s="34">
        <v>0.29499999999999998</v>
      </c>
      <c r="M739" s="40">
        <v>7.5</v>
      </c>
      <c r="N739" s="34">
        <v>0.22500000000000001</v>
      </c>
      <c r="O739" s="34">
        <v>5.72</v>
      </c>
      <c r="P739" s="34">
        <v>7.2499999999999995E-2</v>
      </c>
      <c r="Q739" s="34">
        <v>7.2499999999999991</v>
      </c>
      <c r="R739" s="34">
        <v>0.12</v>
      </c>
      <c r="S739" s="34">
        <v>120</v>
      </c>
      <c r="T739" s="34">
        <v>9.35E-2</v>
      </c>
      <c r="U739" s="34">
        <f t="shared" si="13"/>
        <v>410</v>
      </c>
      <c r="V739" s="34">
        <f>VLOOKUP(U739,'Powder Core Toroid OD'!$A$2:$B$36,2,FALSE)</f>
        <v>6.86</v>
      </c>
    </row>
    <row r="740" spans="1:22" hidden="1">
      <c r="A740" s="34">
        <v>55026</v>
      </c>
      <c r="B740" s="34" t="s">
        <v>885</v>
      </c>
      <c r="C740" s="158" t="s">
        <v>693</v>
      </c>
      <c r="D740" s="34">
        <v>550</v>
      </c>
      <c r="E740" s="34" t="s">
        <v>21</v>
      </c>
      <c r="F740" s="34">
        <v>226</v>
      </c>
      <c r="G740" s="34" t="s">
        <v>0</v>
      </c>
      <c r="H740" s="34">
        <v>1.79</v>
      </c>
      <c r="I740" s="34">
        <v>17.899999999999999</v>
      </c>
      <c r="J740" s="34">
        <v>0.13600000000000001</v>
      </c>
      <c r="K740" s="34">
        <v>3.45</v>
      </c>
      <c r="L740" s="34">
        <v>0.33500000000000002</v>
      </c>
      <c r="M740" s="34">
        <v>8.51</v>
      </c>
      <c r="N740" s="41">
        <v>0.15</v>
      </c>
      <c r="O740" s="34">
        <v>3.8099999999999996</v>
      </c>
      <c r="P740" s="34">
        <v>5.9900000000000002E-2</v>
      </c>
      <c r="Q740" s="34">
        <v>5.99</v>
      </c>
      <c r="R740" s="34">
        <v>0.107</v>
      </c>
      <c r="S740" s="34">
        <v>107</v>
      </c>
      <c r="T740" s="34">
        <v>9.35E-2</v>
      </c>
      <c r="U740" s="34">
        <f t="shared" si="13"/>
        <v>30</v>
      </c>
      <c r="V740" s="34">
        <f>VLOOKUP(U740,'Powder Core Toroid OD'!$A$2:$B$36,2,FALSE)</f>
        <v>7.87</v>
      </c>
    </row>
    <row r="741" spans="1:22" hidden="1">
      <c r="A741" s="34">
        <v>58283</v>
      </c>
      <c r="B741" s="34" t="s">
        <v>886</v>
      </c>
      <c r="C741" s="158">
        <v>280</v>
      </c>
      <c r="D741" s="34">
        <v>14</v>
      </c>
      <c r="E741" s="34" t="s">
        <v>503</v>
      </c>
      <c r="F741" s="34">
        <v>6</v>
      </c>
      <c r="G741" s="34" t="s">
        <v>0</v>
      </c>
      <c r="H741" s="34">
        <v>2.1800000000000002</v>
      </c>
      <c r="I741" s="34">
        <v>21.8</v>
      </c>
      <c r="J741" s="34">
        <v>0.16800000000000001</v>
      </c>
      <c r="K741" s="34">
        <v>4.26</v>
      </c>
      <c r="L741" s="34">
        <v>0.40500000000000003</v>
      </c>
      <c r="M741" s="34">
        <v>10.3</v>
      </c>
      <c r="N741" s="41">
        <v>0.15</v>
      </c>
      <c r="O741" s="34">
        <v>3.8099999999999996</v>
      </c>
      <c r="P741" s="34">
        <v>7.5200000000000003E-2</v>
      </c>
      <c r="Q741" s="34">
        <v>7.52</v>
      </c>
      <c r="R741" s="34">
        <v>0.16400000000000001</v>
      </c>
      <c r="S741" s="34">
        <v>164</v>
      </c>
      <c r="T741" s="34">
        <v>0.14299999999999999</v>
      </c>
      <c r="U741" s="34">
        <f t="shared" si="13"/>
        <v>280</v>
      </c>
      <c r="V741" s="34">
        <f>VLOOKUP(U741,'Powder Core Toroid OD'!$A$2:$B$36,2,FALSE)</f>
        <v>9.65</v>
      </c>
    </row>
    <row r="742" spans="1:22" hidden="1">
      <c r="A742" s="34">
        <v>77295</v>
      </c>
      <c r="B742" s="34" t="s">
        <v>887</v>
      </c>
      <c r="C742" s="158">
        <v>290</v>
      </c>
      <c r="D742" s="34">
        <v>60</v>
      </c>
      <c r="E742" s="34" t="s">
        <v>298</v>
      </c>
      <c r="F742" s="34">
        <v>32</v>
      </c>
      <c r="G742" s="34" t="s">
        <v>0</v>
      </c>
      <c r="H742" s="34">
        <v>2.1800000000000002</v>
      </c>
      <c r="I742" s="34">
        <v>21.8</v>
      </c>
      <c r="J742" s="34">
        <v>0.16800000000000001</v>
      </c>
      <c r="K742" s="34">
        <v>4.26</v>
      </c>
      <c r="L742" s="34">
        <v>0.40500000000000003</v>
      </c>
      <c r="M742" s="34">
        <v>10.3</v>
      </c>
      <c r="N742" s="34">
        <v>0.18099999999999999</v>
      </c>
      <c r="O742" s="40">
        <v>4.5999999999999996</v>
      </c>
      <c r="P742" s="34">
        <v>9.4500000000000001E-2</v>
      </c>
      <c r="Q742" s="34">
        <v>9.4499999999999993</v>
      </c>
      <c r="R742" s="34">
        <v>0.20599999999999999</v>
      </c>
      <c r="S742" s="34">
        <v>206</v>
      </c>
      <c r="T742" s="34">
        <v>0.14299999999999999</v>
      </c>
      <c r="U742" s="34">
        <f t="shared" si="13"/>
        <v>290</v>
      </c>
      <c r="V742" s="34">
        <f>VLOOKUP(U742,'Powder Core Toroid OD'!$A$2:$B$36,2,FALSE)</f>
        <v>9.65</v>
      </c>
    </row>
    <row r="743" spans="1:22" hidden="1">
      <c r="A743" s="34">
        <v>58043</v>
      </c>
      <c r="B743" s="34" t="s">
        <v>888</v>
      </c>
      <c r="C743" s="158" t="s">
        <v>694</v>
      </c>
      <c r="D743" s="34">
        <v>14</v>
      </c>
      <c r="E743" s="34" t="s">
        <v>503</v>
      </c>
      <c r="F743" s="34">
        <v>7</v>
      </c>
      <c r="G743" s="34" t="s">
        <v>0</v>
      </c>
      <c r="H743" s="40">
        <v>2.2999999999999998</v>
      </c>
      <c r="I743" s="35">
        <v>23</v>
      </c>
      <c r="J743" s="41">
        <v>0.18</v>
      </c>
      <c r="K743" s="34">
        <v>4.57</v>
      </c>
      <c r="L743" s="34">
        <v>0.42499999999999999</v>
      </c>
      <c r="M743" s="34">
        <v>10.8</v>
      </c>
      <c r="N743" s="34">
        <v>0.18099999999999999</v>
      </c>
      <c r="O743" s="34">
        <v>4.5999999999999996</v>
      </c>
      <c r="P743" s="34">
        <v>9.5699999999999993E-2</v>
      </c>
      <c r="Q743" s="34">
        <v>9.5699999999999985</v>
      </c>
      <c r="R743" s="34">
        <v>0.22</v>
      </c>
      <c r="S743" s="34">
        <v>220</v>
      </c>
      <c r="T743" s="34">
        <v>0.16400000000000001</v>
      </c>
      <c r="U743" s="34">
        <f t="shared" si="13"/>
        <v>40</v>
      </c>
      <c r="V743" s="34">
        <f>VLOOKUP(U743,'Powder Core Toroid OD'!$A$2:$B$36,2,FALSE)</f>
        <v>10.199999999999999</v>
      </c>
    </row>
    <row r="744" spans="1:22" hidden="1">
      <c r="A744" s="34">
        <v>77845</v>
      </c>
      <c r="B744" s="34" t="s">
        <v>889</v>
      </c>
      <c r="C744" s="158" t="s">
        <v>694</v>
      </c>
      <c r="D744" s="34">
        <v>75</v>
      </c>
      <c r="E744" s="34" t="s">
        <v>298</v>
      </c>
      <c r="F744" s="34">
        <v>40</v>
      </c>
      <c r="G744" s="34" t="s">
        <v>0</v>
      </c>
      <c r="H744" s="40">
        <v>2.2999999999999998</v>
      </c>
      <c r="I744" s="35">
        <v>23</v>
      </c>
      <c r="J744" s="41">
        <v>0.18</v>
      </c>
      <c r="K744" s="34">
        <v>4.57</v>
      </c>
      <c r="L744" s="34">
        <v>0.42499999999999999</v>
      </c>
      <c r="M744" s="34">
        <v>10.8</v>
      </c>
      <c r="N744" s="34">
        <v>0.18099999999999999</v>
      </c>
      <c r="O744" s="34">
        <v>4.5999999999999996</v>
      </c>
      <c r="P744" s="34">
        <v>9.5699999999999993E-2</v>
      </c>
      <c r="Q744" s="34">
        <v>9.5699999999999985</v>
      </c>
      <c r="R744" s="34">
        <v>0.22</v>
      </c>
      <c r="S744" s="34">
        <v>220</v>
      </c>
      <c r="T744" s="34">
        <v>0.16400000000000001</v>
      </c>
      <c r="U744" s="34">
        <f t="shared" si="13"/>
        <v>40</v>
      </c>
      <c r="V744" s="34">
        <f>VLOOKUP(U744,'Powder Core Toroid OD'!$A$2:$B$36,2,FALSE)</f>
        <v>10.199999999999999</v>
      </c>
    </row>
    <row r="745" spans="1:22" hidden="1">
      <c r="A745" s="34">
        <v>55059</v>
      </c>
      <c r="B745" s="34" t="s">
        <v>214</v>
      </c>
      <c r="C745" s="158">
        <v>310</v>
      </c>
      <c r="D745" s="34">
        <v>60</v>
      </c>
      <c r="E745" s="34" t="s">
        <v>21</v>
      </c>
      <c r="F745" s="34">
        <v>43</v>
      </c>
      <c r="G745" s="34" t="s">
        <v>0</v>
      </c>
      <c r="H745" s="34">
        <v>5.67</v>
      </c>
      <c r="I745" s="34">
        <v>56.7</v>
      </c>
      <c r="J745" s="34">
        <v>0.52500000000000002</v>
      </c>
      <c r="K745" s="34">
        <v>13.3</v>
      </c>
      <c r="L745" s="41">
        <v>0.93</v>
      </c>
      <c r="M745" s="34">
        <v>23.7</v>
      </c>
      <c r="N745" s="41">
        <v>0.33</v>
      </c>
      <c r="O745" s="34">
        <v>8.39</v>
      </c>
      <c r="P745" s="34">
        <v>0.317</v>
      </c>
      <c r="Q745" s="34">
        <v>31.7</v>
      </c>
      <c r="R745" s="40">
        <v>1.8</v>
      </c>
      <c r="S745" s="34">
        <v>1800</v>
      </c>
      <c r="T745" s="34">
        <v>1.39</v>
      </c>
      <c r="U745" s="34">
        <f t="shared" si="13"/>
        <v>310</v>
      </c>
      <c r="V745" s="34">
        <f>VLOOKUP(U745,'Powder Core Toroid OD'!$A$2:$B$36,2,FALSE)</f>
        <v>22.9</v>
      </c>
    </row>
    <row r="746" spans="1:22" hidden="1">
      <c r="A746" s="34">
        <v>58059</v>
      </c>
      <c r="B746" s="34" t="s">
        <v>578</v>
      </c>
      <c r="C746" s="158">
        <v>310</v>
      </c>
      <c r="D746" s="34">
        <v>60</v>
      </c>
      <c r="E746" s="34" t="s">
        <v>503</v>
      </c>
      <c r="F746" s="34">
        <v>43</v>
      </c>
      <c r="G746" s="34" t="s">
        <v>0</v>
      </c>
      <c r="H746" s="34">
        <v>5.67</v>
      </c>
      <c r="I746" s="34">
        <v>56.7</v>
      </c>
      <c r="J746" s="34">
        <v>0.52500000000000002</v>
      </c>
      <c r="K746" s="34">
        <v>13.3</v>
      </c>
      <c r="L746" s="41">
        <v>0.93</v>
      </c>
      <c r="M746" s="34">
        <v>23.7</v>
      </c>
      <c r="N746" s="41">
        <v>0.33</v>
      </c>
      <c r="O746" s="34">
        <v>8.39</v>
      </c>
      <c r="P746" s="34">
        <v>0.317</v>
      </c>
      <c r="Q746" s="34">
        <v>31.7</v>
      </c>
      <c r="R746" s="40">
        <v>1.8</v>
      </c>
      <c r="S746" s="34">
        <v>1800</v>
      </c>
      <c r="T746" s="34">
        <v>1.39</v>
      </c>
      <c r="U746" s="34">
        <f t="shared" si="13"/>
        <v>310</v>
      </c>
      <c r="V746" s="34">
        <f>VLOOKUP(U746,'Powder Core Toroid OD'!$A$2:$B$36,2,FALSE)</f>
        <v>22.9</v>
      </c>
    </row>
    <row r="747" spans="1:22" hidden="1">
      <c r="A747" s="34">
        <v>77313</v>
      </c>
      <c r="B747" s="34" t="s">
        <v>890</v>
      </c>
      <c r="C747" s="158">
        <v>310</v>
      </c>
      <c r="D747" s="34">
        <v>14</v>
      </c>
      <c r="E747" s="34" t="s">
        <v>298</v>
      </c>
      <c r="F747" s="34">
        <v>9.9</v>
      </c>
      <c r="G747" s="34" t="s">
        <v>0</v>
      </c>
      <c r="H747" s="34">
        <v>5.67</v>
      </c>
      <c r="I747" s="34">
        <v>56.7</v>
      </c>
      <c r="J747" s="34">
        <v>0.52500000000000002</v>
      </c>
      <c r="K747" s="34">
        <v>13.3</v>
      </c>
      <c r="L747" s="41">
        <v>0.93</v>
      </c>
      <c r="M747" s="34">
        <v>23.7</v>
      </c>
      <c r="N747" s="41">
        <v>0.33</v>
      </c>
      <c r="O747" s="34">
        <v>8.39</v>
      </c>
      <c r="P747" s="34">
        <v>0.317</v>
      </c>
      <c r="Q747" s="34">
        <v>31.7</v>
      </c>
      <c r="R747" s="40">
        <v>1.8</v>
      </c>
      <c r="S747" s="34">
        <v>1800</v>
      </c>
      <c r="T747" s="34">
        <v>1.39</v>
      </c>
      <c r="U747" s="34">
        <f t="shared" si="13"/>
        <v>310</v>
      </c>
      <c r="V747" s="34">
        <f>VLOOKUP(U747,'Powder Core Toroid OD'!$A$2:$B$36,2,FALSE)</f>
        <v>22.9</v>
      </c>
    </row>
    <row r="748" spans="1:22" hidden="1">
      <c r="A748" s="34">
        <v>77353</v>
      </c>
      <c r="B748" s="34" t="s">
        <v>891</v>
      </c>
      <c r="C748" s="158">
        <v>350</v>
      </c>
      <c r="D748" s="34">
        <v>14</v>
      </c>
      <c r="E748" s="34" t="s">
        <v>298</v>
      </c>
      <c r="F748" s="34">
        <v>12</v>
      </c>
      <c r="G748" s="34" t="s">
        <v>0</v>
      </c>
      <c r="H748" s="34">
        <v>5.88</v>
      </c>
      <c r="I748" s="34">
        <v>58.8</v>
      </c>
      <c r="J748" s="34">
        <v>0.54200000000000004</v>
      </c>
      <c r="K748" s="34">
        <v>13.7</v>
      </c>
      <c r="L748" s="34">
        <v>0.95799999999999996</v>
      </c>
      <c r="M748" s="34">
        <v>24.4</v>
      </c>
      <c r="N748" s="41">
        <v>0.38</v>
      </c>
      <c r="O748" s="34">
        <v>9.66</v>
      </c>
      <c r="P748" s="34">
        <v>0.38800000000000001</v>
      </c>
      <c r="Q748" s="34">
        <v>38.800000000000004</v>
      </c>
      <c r="R748" s="40">
        <v>2.2814399999999999</v>
      </c>
      <c r="S748" s="34">
        <v>2280</v>
      </c>
      <c r="T748" s="34">
        <v>1.49</v>
      </c>
      <c r="U748" s="34">
        <f t="shared" si="13"/>
        <v>350</v>
      </c>
      <c r="V748" s="34">
        <f>VLOOKUP(U748,'Powder Core Toroid OD'!$A$2:$B$36,2,FALSE)</f>
        <v>23.6</v>
      </c>
    </row>
    <row r="749" spans="1:22" hidden="1">
      <c r="A749" s="34">
        <v>77933</v>
      </c>
      <c r="B749" s="34" t="s">
        <v>892</v>
      </c>
      <c r="C749" s="158">
        <v>930</v>
      </c>
      <c r="D749" s="34">
        <v>14</v>
      </c>
      <c r="E749" s="34" t="s">
        <v>298</v>
      </c>
      <c r="F749" s="34">
        <v>18</v>
      </c>
      <c r="G749" s="34" t="s">
        <v>0</v>
      </c>
      <c r="H749" s="34">
        <v>6.35</v>
      </c>
      <c r="I749" s="34">
        <v>63.5</v>
      </c>
      <c r="J749" s="34">
        <v>0.55500000000000005</v>
      </c>
      <c r="K749" s="34">
        <v>14.1</v>
      </c>
      <c r="L749" s="41">
        <v>1.0900000000000001</v>
      </c>
      <c r="M749" s="34">
        <v>27.69</v>
      </c>
      <c r="N749" s="41">
        <v>0.47</v>
      </c>
      <c r="O749" s="35">
        <v>12</v>
      </c>
      <c r="P749" s="34">
        <v>0.65400000000000003</v>
      </c>
      <c r="Q749" s="34">
        <v>65.400000000000006</v>
      </c>
      <c r="R749" s="34">
        <v>4.1500000000000004</v>
      </c>
      <c r="S749" s="34">
        <v>4150</v>
      </c>
      <c r="T749" s="34">
        <v>1.56</v>
      </c>
      <c r="U749" s="34">
        <f t="shared" si="13"/>
        <v>930</v>
      </c>
      <c r="V749" s="34">
        <f>VLOOKUP(U749,'Powder Core Toroid OD'!$A$2:$B$36,2,FALSE)</f>
        <v>26.9</v>
      </c>
    </row>
    <row r="750" spans="1:22" hidden="1">
      <c r="A750" s="34">
        <v>77551</v>
      </c>
      <c r="B750" s="34" t="s">
        <v>893</v>
      </c>
      <c r="C750" s="158">
        <v>548</v>
      </c>
      <c r="D750" s="34">
        <v>14</v>
      </c>
      <c r="E750" s="34" t="s">
        <v>298</v>
      </c>
      <c r="F750" s="34">
        <v>14</v>
      </c>
      <c r="G750" s="34" t="s">
        <v>0</v>
      </c>
      <c r="H750" s="34">
        <v>8.14</v>
      </c>
      <c r="I750" s="34">
        <v>81.400000000000006</v>
      </c>
      <c r="J750" s="34">
        <v>0.76600000000000001</v>
      </c>
      <c r="K750" s="34">
        <v>19.399999999999999</v>
      </c>
      <c r="L750" s="34">
        <v>1.325</v>
      </c>
      <c r="M750" s="34">
        <v>33.659999999999997</v>
      </c>
      <c r="N750" s="41">
        <v>0.45</v>
      </c>
      <c r="O750" s="34">
        <v>11.5</v>
      </c>
      <c r="P750" s="34">
        <v>0.65600000000000003</v>
      </c>
      <c r="Q750" s="34">
        <v>65.599999999999994</v>
      </c>
      <c r="R750" s="40">
        <v>5.34</v>
      </c>
      <c r="S750" s="34">
        <v>5340</v>
      </c>
      <c r="T750" s="34">
        <v>2.97</v>
      </c>
      <c r="U750" s="34">
        <f t="shared" si="13"/>
        <v>548</v>
      </c>
      <c r="V750" s="34">
        <f>VLOOKUP(U750,'Powder Core Toroid OD'!$A$2:$B$36,2,FALSE)</f>
        <v>32.799999999999997</v>
      </c>
    </row>
    <row r="751" spans="1:22" hidden="1">
      <c r="A751" s="34">
        <v>55584</v>
      </c>
      <c r="B751" s="34" t="s">
        <v>894</v>
      </c>
      <c r="C751" s="158">
        <v>585</v>
      </c>
      <c r="D751" s="34">
        <v>147</v>
      </c>
      <c r="E751" s="34" t="s">
        <v>21</v>
      </c>
      <c r="F751" s="34">
        <v>93</v>
      </c>
      <c r="G751" s="34" t="s">
        <v>0</v>
      </c>
      <c r="H751" s="34">
        <v>8.9499999999999993</v>
      </c>
      <c r="I751" s="34">
        <v>89.5</v>
      </c>
      <c r="J751" s="34">
        <v>0.88800000000000001</v>
      </c>
      <c r="K751" s="34">
        <v>22.5</v>
      </c>
      <c r="L751" s="34">
        <v>1.385</v>
      </c>
      <c r="M751" s="34">
        <v>35.18</v>
      </c>
      <c r="N751" s="34">
        <v>0.38500000000000001</v>
      </c>
      <c r="O751" s="34">
        <v>9.7799999999999994</v>
      </c>
      <c r="P751" s="34">
        <v>0.46400000000000002</v>
      </c>
      <c r="Q751" s="34">
        <v>46.4</v>
      </c>
      <c r="R751" s="40">
        <v>4.1500000000000004</v>
      </c>
      <c r="S751" s="34">
        <v>4150</v>
      </c>
      <c r="T751" s="34">
        <v>3.99</v>
      </c>
      <c r="U751" s="34">
        <f t="shared" si="13"/>
        <v>585</v>
      </c>
      <c r="V751" s="34">
        <f>VLOOKUP(U751,'Powder Core Toroid OD'!$A$2:$B$36,2,FALSE)</f>
        <v>34.299999999999997</v>
      </c>
    </row>
    <row r="752" spans="1:22" hidden="1">
      <c r="A752" s="34">
        <v>58584</v>
      </c>
      <c r="B752" s="34" t="s">
        <v>895</v>
      </c>
      <c r="C752" s="158">
        <v>585</v>
      </c>
      <c r="D752" s="34">
        <v>147</v>
      </c>
      <c r="E752" s="34" t="s">
        <v>503</v>
      </c>
      <c r="F752" s="34">
        <v>93</v>
      </c>
      <c r="G752" s="34" t="s">
        <v>0</v>
      </c>
      <c r="H752" s="34">
        <v>8.9499999999999993</v>
      </c>
      <c r="I752" s="34">
        <v>89.5</v>
      </c>
      <c r="J752" s="34">
        <v>0.88800000000000001</v>
      </c>
      <c r="K752" s="34">
        <v>22.5</v>
      </c>
      <c r="L752" s="34">
        <v>1.385</v>
      </c>
      <c r="M752" s="34">
        <v>35.18</v>
      </c>
      <c r="N752" s="34">
        <v>0.38500000000000001</v>
      </c>
      <c r="O752" s="34">
        <v>9.7799999999999994</v>
      </c>
      <c r="P752" s="34">
        <v>0.46400000000000002</v>
      </c>
      <c r="Q752" s="34">
        <v>46.4</v>
      </c>
      <c r="R752" s="40">
        <v>4.1500000000000004</v>
      </c>
      <c r="S752" s="34">
        <v>4150</v>
      </c>
      <c r="T752" s="34">
        <v>3.99</v>
      </c>
      <c r="U752" s="34">
        <f t="shared" si="13"/>
        <v>585</v>
      </c>
      <c r="V752" s="34">
        <f>VLOOKUP(U752,'Powder Core Toroid OD'!$A$2:$B$36,2,FALSE)</f>
        <v>34.299999999999997</v>
      </c>
    </row>
    <row r="753" spans="1:22" hidden="1">
      <c r="A753" s="34">
        <v>58587</v>
      </c>
      <c r="B753" s="34" t="s">
        <v>714</v>
      </c>
      <c r="C753" s="158">
        <v>585</v>
      </c>
      <c r="D753" s="34">
        <v>26</v>
      </c>
      <c r="E753" s="34" t="s">
        <v>503</v>
      </c>
      <c r="F753" s="34">
        <v>16</v>
      </c>
      <c r="G753" s="34" t="s">
        <v>0</v>
      </c>
      <c r="H753" s="34">
        <v>8.9499999999999993</v>
      </c>
      <c r="I753" s="34">
        <v>89.5</v>
      </c>
      <c r="J753" s="34">
        <v>0.88800000000000001</v>
      </c>
      <c r="K753" s="34">
        <v>22.5</v>
      </c>
      <c r="L753" s="34">
        <v>1.385</v>
      </c>
      <c r="M753" s="34">
        <v>35.18</v>
      </c>
      <c r="N753" s="34">
        <v>0.38500000000000001</v>
      </c>
      <c r="O753" s="34">
        <v>9.7799999999999994</v>
      </c>
      <c r="P753" s="34">
        <v>0.46400000000000002</v>
      </c>
      <c r="Q753" s="34">
        <v>46.4</v>
      </c>
      <c r="R753" s="40">
        <v>4.1500000000000004</v>
      </c>
      <c r="S753" s="34">
        <v>4150</v>
      </c>
      <c r="T753" s="34">
        <v>3.99</v>
      </c>
      <c r="U753" s="34">
        <f t="shared" si="13"/>
        <v>585</v>
      </c>
      <c r="V753" s="34">
        <f>VLOOKUP(U753,'Powder Core Toroid OD'!$A$2:$B$36,2,FALSE)</f>
        <v>34.299999999999997</v>
      </c>
    </row>
    <row r="754" spans="1:22" hidden="1">
      <c r="A754" s="34">
        <v>58588</v>
      </c>
      <c r="B754" s="34" t="s">
        <v>897</v>
      </c>
      <c r="C754" s="158">
        <v>585</v>
      </c>
      <c r="D754" s="34">
        <v>14</v>
      </c>
      <c r="E754" s="34" t="s">
        <v>503</v>
      </c>
      <c r="F754" s="34">
        <v>9</v>
      </c>
      <c r="G754" s="34" t="s">
        <v>0</v>
      </c>
      <c r="H754" s="34">
        <v>8.9499999999999993</v>
      </c>
      <c r="I754" s="34">
        <v>89.5</v>
      </c>
      <c r="J754" s="34">
        <v>0.88800000000000001</v>
      </c>
      <c r="K754" s="34">
        <v>22.5</v>
      </c>
      <c r="L754" s="34">
        <v>1.385</v>
      </c>
      <c r="M754" s="34">
        <v>35.18</v>
      </c>
      <c r="N754" s="34">
        <v>0.38500000000000001</v>
      </c>
      <c r="O754" s="34">
        <v>9.7799999999999994</v>
      </c>
      <c r="P754" s="34">
        <v>0.46400000000000002</v>
      </c>
      <c r="Q754" s="34">
        <v>46.4</v>
      </c>
      <c r="R754" s="40">
        <v>4.1500000000000004</v>
      </c>
      <c r="S754" s="34">
        <v>4150</v>
      </c>
      <c r="T754" s="34">
        <v>3.99</v>
      </c>
      <c r="U754" s="34">
        <f t="shared" si="13"/>
        <v>585</v>
      </c>
      <c r="V754" s="34">
        <f>VLOOKUP(U754,'Powder Core Toroid OD'!$A$2:$B$36,2,FALSE)</f>
        <v>34.299999999999997</v>
      </c>
    </row>
    <row r="755" spans="1:22" hidden="1">
      <c r="A755" s="34">
        <v>77588</v>
      </c>
      <c r="B755" s="34" t="s">
        <v>896</v>
      </c>
      <c r="C755" s="158">
        <v>585</v>
      </c>
      <c r="D755" s="34">
        <v>14</v>
      </c>
      <c r="E755" s="34" t="s">
        <v>298</v>
      </c>
      <c r="F755" s="34">
        <v>9</v>
      </c>
      <c r="G755" s="34" t="s">
        <v>0</v>
      </c>
      <c r="H755" s="34">
        <v>8.9499999999999993</v>
      </c>
      <c r="I755" s="34">
        <v>89.5</v>
      </c>
      <c r="J755" s="34">
        <v>0.88800000000000001</v>
      </c>
      <c r="K755" s="34">
        <v>22.5</v>
      </c>
      <c r="L755" s="34">
        <v>1.385</v>
      </c>
      <c r="M755" s="34">
        <v>35.18</v>
      </c>
      <c r="N755" s="34">
        <v>0.38500000000000001</v>
      </c>
      <c r="O755" s="34">
        <v>9.7799999999999994</v>
      </c>
      <c r="P755" s="34">
        <v>0.46400000000000002</v>
      </c>
      <c r="Q755" s="34">
        <v>46.4</v>
      </c>
      <c r="R755" s="40">
        <v>4.1500000000000004</v>
      </c>
      <c r="S755" s="34">
        <v>4150</v>
      </c>
      <c r="T755" s="34">
        <v>3.99</v>
      </c>
      <c r="U755" s="34">
        <f t="shared" si="13"/>
        <v>585</v>
      </c>
      <c r="V755" s="34">
        <f>VLOOKUP(U755,'Powder Core Toroid OD'!$A$2:$B$36,2,FALSE)</f>
        <v>34.299999999999997</v>
      </c>
    </row>
    <row r="756" spans="1:22" hidden="1">
      <c r="A756" s="34">
        <v>58323</v>
      </c>
      <c r="B756" s="34" t="s">
        <v>898</v>
      </c>
      <c r="C756" s="158">
        <v>324</v>
      </c>
      <c r="D756" s="34">
        <v>147</v>
      </c>
      <c r="E756" s="34" t="s">
        <v>503</v>
      </c>
      <c r="F756" s="34">
        <v>138</v>
      </c>
      <c r="G756" s="34" t="s">
        <v>0</v>
      </c>
      <c r="H756" s="34">
        <v>8.98</v>
      </c>
      <c r="I756" s="34">
        <v>89.800000000000011</v>
      </c>
      <c r="J756" s="34">
        <v>0.84799999999999998</v>
      </c>
      <c r="K756" s="34">
        <v>21.5</v>
      </c>
      <c r="L756" s="34">
        <v>1.4450000000000001</v>
      </c>
      <c r="M756" s="34">
        <v>36.71</v>
      </c>
      <c r="N756" s="34">
        <v>0.44700000000000001</v>
      </c>
      <c r="O756" s="34">
        <v>11.4</v>
      </c>
      <c r="P756" s="34">
        <v>0.67800000000000005</v>
      </c>
      <c r="Q756" s="34">
        <v>67.800000000000011</v>
      </c>
      <c r="R756" s="40">
        <v>6.09</v>
      </c>
      <c r="S756" s="34">
        <v>6090</v>
      </c>
      <c r="T756" s="34">
        <v>3.64</v>
      </c>
      <c r="U756" s="34">
        <f t="shared" si="13"/>
        <v>324</v>
      </c>
      <c r="V756" s="34">
        <f>VLOOKUP(U756,'Powder Core Toroid OD'!$A$2:$B$36,2,FALSE)</f>
        <v>35.799999999999997</v>
      </c>
    </row>
    <row r="757" spans="1:22" hidden="1">
      <c r="A757" s="34">
        <v>77327</v>
      </c>
      <c r="B757" s="34" t="s">
        <v>899</v>
      </c>
      <c r="C757" s="158">
        <v>324</v>
      </c>
      <c r="D757" s="34">
        <v>14</v>
      </c>
      <c r="E757" s="34" t="s">
        <v>298</v>
      </c>
      <c r="F757" s="34">
        <v>13</v>
      </c>
      <c r="G757" s="34" t="s">
        <v>0</v>
      </c>
      <c r="H757" s="34">
        <v>8.98</v>
      </c>
      <c r="I757" s="34">
        <v>89.800000000000011</v>
      </c>
      <c r="J757" s="34">
        <v>0.84799999999999998</v>
      </c>
      <c r="K757" s="34">
        <v>21.5</v>
      </c>
      <c r="L757" s="34">
        <v>1.4450000000000001</v>
      </c>
      <c r="M757" s="34">
        <v>36.71</v>
      </c>
      <c r="N757" s="34">
        <v>0.44700000000000001</v>
      </c>
      <c r="O757" s="34">
        <v>11.4</v>
      </c>
      <c r="P757" s="34">
        <v>0.67800000000000005</v>
      </c>
      <c r="Q757" s="34">
        <v>67.800000000000011</v>
      </c>
      <c r="R757" s="40">
        <v>6.09</v>
      </c>
      <c r="S757" s="34">
        <v>6090</v>
      </c>
      <c r="T757" s="34">
        <v>3.64</v>
      </c>
      <c r="U757" s="34">
        <f t="shared" si="13"/>
        <v>324</v>
      </c>
      <c r="V757" s="34">
        <f>VLOOKUP(U757,'Powder Core Toroid OD'!$A$2:$B$36,2,FALSE)</f>
        <v>35.799999999999997</v>
      </c>
    </row>
    <row r="758" spans="1:22" hidden="1">
      <c r="A758" s="34">
        <v>77257</v>
      </c>
      <c r="B758" s="34" t="s">
        <v>900</v>
      </c>
      <c r="C758" s="158">
        <v>254</v>
      </c>
      <c r="D758" s="34">
        <v>14</v>
      </c>
      <c r="E758" s="34" t="s">
        <v>298</v>
      </c>
      <c r="F758" s="34">
        <v>19</v>
      </c>
      <c r="G758" s="34" t="s">
        <v>0</v>
      </c>
      <c r="H758" s="34">
        <v>9.84</v>
      </c>
      <c r="I758" s="34">
        <v>98.4</v>
      </c>
      <c r="J758" s="34">
        <v>0.91800000000000004</v>
      </c>
      <c r="K758" s="34">
        <v>23.3</v>
      </c>
      <c r="L758" s="34">
        <v>1.605</v>
      </c>
      <c r="M758" s="34">
        <v>40.770000000000003</v>
      </c>
      <c r="N758" s="34">
        <v>0.60499999999999998</v>
      </c>
      <c r="O758" s="34">
        <v>15.4</v>
      </c>
      <c r="P758" s="34">
        <v>1.07</v>
      </c>
      <c r="Q758" s="34">
        <v>107</v>
      </c>
      <c r="R758" s="35">
        <v>10.6</v>
      </c>
      <c r="S758" s="34">
        <v>10600</v>
      </c>
      <c r="T758" s="34">
        <v>4.2699999999999996</v>
      </c>
      <c r="U758" s="34">
        <f t="shared" si="13"/>
        <v>254</v>
      </c>
      <c r="V758" s="34">
        <f>VLOOKUP(U758,'Powder Core Toroid OD'!$A$2:$B$36,2,FALSE)</f>
        <v>39.9</v>
      </c>
    </row>
    <row r="759" spans="1:22" hidden="1">
      <c r="A759" s="34">
        <v>58437</v>
      </c>
      <c r="B759" s="34" t="s">
        <v>901</v>
      </c>
      <c r="C759" s="158">
        <v>438</v>
      </c>
      <c r="D759" s="34">
        <v>147</v>
      </c>
      <c r="E759" s="34" t="s">
        <v>873</v>
      </c>
      <c r="F759" s="34">
        <v>330</v>
      </c>
      <c r="G759" s="34" t="s">
        <v>0</v>
      </c>
      <c r="H759" s="34">
        <v>10.7</v>
      </c>
      <c r="I759" s="34">
        <v>107</v>
      </c>
      <c r="J759" s="34">
        <v>0.91800000000000004</v>
      </c>
      <c r="K759" s="34">
        <v>23.3</v>
      </c>
      <c r="L759" s="34">
        <v>1.875</v>
      </c>
      <c r="M759" s="34">
        <v>47.63</v>
      </c>
      <c r="N759" s="34">
        <v>0.745</v>
      </c>
      <c r="O759" s="35">
        <v>19</v>
      </c>
      <c r="P759" s="34">
        <v>1.99</v>
      </c>
      <c r="Q759" s="34">
        <v>199</v>
      </c>
      <c r="R759" s="34">
        <v>21.3</v>
      </c>
      <c r="S759" s="34">
        <v>21300</v>
      </c>
      <c r="T759" s="34">
        <v>4.2699999999999996</v>
      </c>
      <c r="U759" s="34">
        <f t="shared" si="13"/>
        <v>438</v>
      </c>
      <c r="V759" s="34">
        <f>VLOOKUP(U759,'Powder Core Toroid OD'!$A$2:$B$36,2,FALSE)</f>
        <v>46.7</v>
      </c>
    </row>
    <row r="760" spans="1:22" hidden="1">
      <c r="A760" s="34">
        <v>77441</v>
      </c>
      <c r="B760" s="34" t="s">
        <v>902</v>
      </c>
      <c r="C760" s="158">
        <v>438</v>
      </c>
      <c r="D760" s="34">
        <v>14</v>
      </c>
      <c r="E760" s="34" t="s">
        <v>298</v>
      </c>
      <c r="F760" s="34">
        <v>32</v>
      </c>
      <c r="G760" s="34" t="s">
        <v>0</v>
      </c>
      <c r="H760" s="34">
        <v>10.7</v>
      </c>
      <c r="I760" s="34">
        <v>107</v>
      </c>
      <c r="J760" s="34">
        <v>0.91800000000000004</v>
      </c>
      <c r="K760" s="34">
        <v>23.3</v>
      </c>
      <c r="L760" s="34">
        <v>1.875</v>
      </c>
      <c r="M760" s="34">
        <v>47.63</v>
      </c>
      <c r="N760" s="34">
        <v>0.745</v>
      </c>
      <c r="O760" s="35">
        <v>19</v>
      </c>
      <c r="P760" s="34">
        <v>1.99</v>
      </c>
      <c r="Q760" s="34">
        <v>199</v>
      </c>
      <c r="R760" s="34">
        <v>21.3</v>
      </c>
      <c r="S760" s="34">
        <v>21300</v>
      </c>
      <c r="T760" s="34">
        <v>4.2699999999999996</v>
      </c>
      <c r="U760" s="34">
        <f t="shared" si="13"/>
        <v>438</v>
      </c>
      <c r="V760" s="34">
        <f>VLOOKUP(U760,'Powder Core Toroid OD'!$A$2:$B$36,2,FALSE)</f>
        <v>46.7</v>
      </c>
    </row>
    <row r="761" spans="1:22" hidden="1">
      <c r="A761" s="34">
        <v>77092</v>
      </c>
      <c r="B761" s="34" t="s">
        <v>903</v>
      </c>
      <c r="C761" s="158" t="s">
        <v>696</v>
      </c>
      <c r="D761" s="34">
        <v>14</v>
      </c>
      <c r="E761" s="34" t="s">
        <v>298</v>
      </c>
      <c r="F761" s="34">
        <v>20</v>
      </c>
      <c r="G761" s="34" t="s">
        <v>0</v>
      </c>
      <c r="H761" s="34">
        <v>11.6</v>
      </c>
      <c r="I761" s="34">
        <v>116</v>
      </c>
      <c r="J761" s="34">
        <v>1.0980000000000001</v>
      </c>
      <c r="K761" s="34">
        <v>27.88</v>
      </c>
      <c r="L761" s="34">
        <v>1.875</v>
      </c>
      <c r="M761" s="34">
        <v>47.63</v>
      </c>
      <c r="N761" s="34">
        <v>0.63500000000000001</v>
      </c>
      <c r="O761" s="34">
        <v>16.100000000000001</v>
      </c>
      <c r="P761" s="34">
        <v>1.34</v>
      </c>
      <c r="Q761" s="34">
        <v>134</v>
      </c>
      <c r="R761" s="34">
        <v>15.6</v>
      </c>
      <c r="S761" s="34">
        <v>15600</v>
      </c>
      <c r="T761" s="34">
        <v>6.1</v>
      </c>
      <c r="U761" s="34">
        <f t="shared" si="13"/>
        <v>89</v>
      </c>
      <c r="V761" s="34">
        <f>VLOOKUP(U761,'Powder Core Toroid OD'!$A$2:$B$36,2,FALSE)</f>
        <v>46.7</v>
      </c>
    </row>
    <row r="762" spans="1:22" hidden="1">
      <c r="A762" s="34">
        <v>55082</v>
      </c>
      <c r="B762" s="34" t="s">
        <v>904</v>
      </c>
      <c r="C762" s="158" t="s">
        <v>696</v>
      </c>
      <c r="D762" s="34">
        <v>173</v>
      </c>
      <c r="E762" s="34" t="s">
        <v>21</v>
      </c>
      <c r="F762" s="34">
        <v>246</v>
      </c>
      <c r="G762" s="34" t="s">
        <v>0</v>
      </c>
      <c r="H762" s="34">
        <v>11.6</v>
      </c>
      <c r="I762" s="34">
        <v>116</v>
      </c>
      <c r="J762" s="34">
        <v>1.0980000000000001</v>
      </c>
      <c r="K762" s="34">
        <v>27.88</v>
      </c>
      <c r="L762" s="34">
        <v>1.875</v>
      </c>
      <c r="M762" s="34">
        <v>47.63</v>
      </c>
      <c r="N762" s="34">
        <v>0.63500000000000001</v>
      </c>
      <c r="O762" s="34">
        <v>16.100000000000001</v>
      </c>
      <c r="P762" s="34">
        <v>1.34</v>
      </c>
      <c r="Q762" s="34">
        <v>134</v>
      </c>
      <c r="R762" s="34">
        <v>15.6</v>
      </c>
      <c r="S762" s="34">
        <v>15600</v>
      </c>
      <c r="T762" s="34">
        <v>6.1</v>
      </c>
      <c r="U762" s="34">
        <f t="shared" si="13"/>
        <v>89</v>
      </c>
      <c r="V762" s="34">
        <f>VLOOKUP(U762,'Powder Core Toroid OD'!$A$2:$B$36,2,FALSE)</f>
        <v>46.7</v>
      </c>
    </row>
    <row r="763" spans="1:22" hidden="1">
      <c r="A763" s="34">
        <v>55084</v>
      </c>
      <c r="B763" s="34" t="s">
        <v>210</v>
      </c>
      <c r="C763" s="158" t="s">
        <v>696</v>
      </c>
      <c r="D763" s="34">
        <v>300</v>
      </c>
      <c r="E763" s="34" t="s">
        <v>21</v>
      </c>
      <c r="F763" s="34">
        <v>427</v>
      </c>
      <c r="G763" s="34" t="s">
        <v>0</v>
      </c>
      <c r="H763" s="34">
        <v>11.6</v>
      </c>
      <c r="I763" s="34">
        <v>116</v>
      </c>
      <c r="J763" s="34">
        <v>1.0980000000000001</v>
      </c>
      <c r="K763" s="34">
        <v>27.88</v>
      </c>
      <c r="L763" s="34">
        <v>1.875</v>
      </c>
      <c r="M763" s="34">
        <v>47.63</v>
      </c>
      <c r="N763" s="34">
        <v>0.63500000000000001</v>
      </c>
      <c r="O763" s="34">
        <v>16.100000000000001</v>
      </c>
      <c r="P763" s="34">
        <v>1.34</v>
      </c>
      <c r="Q763" s="34">
        <v>134</v>
      </c>
      <c r="R763" s="34">
        <v>15.6</v>
      </c>
      <c r="S763" s="34">
        <v>15600</v>
      </c>
      <c r="T763" s="34">
        <v>6.1</v>
      </c>
      <c r="U763" s="34">
        <f t="shared" si="13"/>
        <v>89</v>
      </c>
      <c r="V763" s="34">
        <f>VLOOKUP(U763,'Powder Core Toroid OD'!$A$2:$B$36,2,FALSE)</f>
        <v>46.7</v>
      </c>
    </row>
    <row r="764" spans="1:22" hidden="1">
      <c r="A764" s="34">
        <v>55086</v>
      </c>
      <c r="B764" s="34" t="s">
        <v>209</v>
      </c>
      <c r="C764" s="158" t="s">
        <v>696</v>
      </c>
      <c r="D764" s="34">
        <v>200</v>
      </c>
      <c r="E764" s="34" t="s">
        <v>21</v>
      </c>
      <c r="F764" s="34">
        <v>285</v>
      </c>
      <c r="G764" s="34" t="s">
        <v>0</v>
      </c>
      <c r="H764" s="34">
        <v>11.6</v>
      </c>
      <c r="I764" s="34">
        <v>116</v>
      </c>
      <c r="J764" s="34">
        <v>1.0980000000000001</v>
      </c>
      <c r="K764" s="34">
        <v>27.88</v>
      </c>
      <c r="L764" s="34">
        <v>1.875</v>
      </c>
      <c r="M764" s="34">
        <v>47.63</v>
      </c>
      <c r="N764" s="34">
        <v>0.63500000000000001</v>
      </c>
      <c r="O764" s="34">
        <v>16.100000000000001</v>
      </c>
      <c r="P764" s="34">
        <v>1.34</v>
      </c>
      <c r="Q764" s="34">
        <v>134</v>
      </c>
      <c r="R764" s="34">
        <v>15.6</v>
      </c>
      <c r="S764" s="34">
        <v>15600</v>
      </c>
      <c r="T764" s="34">
        <v>6.1</v>
      </c>
      <c r="U764" s="34">
        <f t="shared" si="13"/>
        <v>89</v>
      </c>
      <c r="V764" s="34">
        <f>VLOOKUP(U764,'Powder Core Toroid OD'!$A$2:$B$36,2,FALSE)</f>
        <v>46.7</v>
      </c>
    </row>
    <row r="765" spans="1:22" hidden="1">
      <c r="A765" s="34">
        <v>55087</v>
      </c>
      <c r="B765" s="34" t="s">
        <v>208</v>
      </c>
      <c r="C765" s="158" t="s">
        <v>696</v>
      </c>
      <c r="D765" s="34">
        <v>160</v>
      </c>
      <c r="E765" s="34" t="s">
        <v>21</v>
      </c>
      <c r="F765" s="34">
        <v>228</v>
      </c>
      <c r="G765" s="34" t="s">
        <v>0</v>
      </c>
      <c r="H765" s="34">
        <v>11.6</v>
      </c>
      <c r="I765" s="34">
        <v>116</v>
      </c>
      <c r="J765" s="34">
        <v>1.0980000000000001</v>
      </c>
      <c r="K765" s="34">
        <v>27.88</v>
      </c>
      <c r="L765" s="34">
        <v>1.875</v>
      </c>
      <c r="M765" s="34">
        <v>47.63</v>
      </c>
      <c r="N765" s="34">
        <v>0.63500000000000001</v>
      </c>
      <c r="O765" s="34">
        <v>16.100000000000001</v>
      </c>
      <c r="P765" s="34">
        <v>1.34</v>
      </c>
      <c r="Q765" s="34">
        <v>134</v>
      </c>
      <c r="R765" s="34">
        <v>15.6</v>
      </c>
      <c r="S765" s="34">
        <v>15600</v>
      </c>
      <c r="T765" s="34">
        <v>6.1</v>
      </c>
      <c r="U765" s="34">
        <f t="shared" si="13"/>
        <v>89</v>
      </c>
      <c r="V765" s="34">
        <f>VLOOKUP(U765,'Powder Core Toroid OD'!$A$2:$B$36,2,FALSE)</f>
        <v>46.7</v>
      </c>
    </row>
    <row r="766" spans="1:22" hidden="1">
      <c r="A766" s="34">
        <v>55088</v>
      </c>
      <c r="B766" s="34" t="s">
        <v>207</v>
      </c>
      <c r="C766" s="158" t="s">
        <v>696</v>
      </c>
      <c r="D766" s="34">
        <v>147</v>
      </c>
      <c r="E766" s="34" t="s">
        <v>21</v>
      </c>
      <c r="F766" s="34">
        <v>210</v>
      </c>
      <c r="G766" s="34" t="s">
        <v>0</v>
      </c>
      <c r="H766" s="34">
        <v>11.6</v>
      </c>
      <c r="I766" s="34">
        <v>116</v>
      </c>
      <c r="J766" s="34">
        <v>1.0980000000000001</v>
      </c>
      <c r="K766" s="34">
        <v>27.88</v>
      </c>
      <c r="L766" s="34">
        <v>1.875</v>
      </c>
      <c r="M766" s="34">
        <v>47.63</v>
      </c>
      <c r="N766" s="34">
        <v>0.63500000000000001</v>
      </c>
      <c r="O766" s="34">
        <v>16.100000000000001</v>
      </c>
      <c r="P766" s="34">
        <v>1.34</v>
      </c>
      <c r="Q766" s="34">
        <v>134</v>
      </c>
      <c r="R766" s="34">
        <v>15.6</v>
      </c>
      <c r="S766" s="34">
        <v>15600</v>
      </c>
      <c r="T766" s="34">
        <v>6.1</v>
      </c>
      <c r="U766" s="34">
        <f t="shared" si="13"/>
        <v>89</v>
      </c>
      <c r="V766" s="34">
        <f>VLOOKUP(U766,'Powder Core Toroid OD'!$A$2:$B$36,2,FALSE)</f>
        <v>46.7</v>
      </c>
    </row>
    <row r="767" spans="1:22" hidden="1">
      <c r="A767" s="34">
        <v>55089</v>
      </c>
      <c r="B767" s="34" t="s">
        <v>206</v>
      </c>
      <c r="C767" s="158" t="s">
        <v>696</v>
      </c>
      <c r="D767" s="34">
        <v>125</v>
      </c>
      <c r="E767" s="34" t="s">
        <v>21</v>
      </c>
      <c r="F767" s="34">
        <v>178</v>
      </c>
      <c r="G767" s="34" t="s">
        <v>0</v>
      </c>
      <c r="H767" s="34">
        <v>11.6</v>
      </c>
      <c r="I767" s="34">
        <v>116</v>
      </c>
      <c r="J767" s="34">
        <v>1.0980000000000001</v>
      </c>
      <c r="K767" s="34">
        <v>27.88</v>
      </c>
      <c r="L767" s="34">
        <v>1.875</v>
      </c>
      <c r="M767" s="34">
        <v>47.63</v>
      </c>
      <c r="N767" s="34">
        <v>0.63500000000000001</v>
      </c>
      <c r="O767" s="34">
        <v>16.100000000000001</v>
      </c>
      <c r="P767" s="34">
        <v>1.34</v>
      </c>
      <c r="Q767" s="34">
        <v>134</v>
      </c>
      <c r="R767" s="34">
        <v>15.6</v>
      </c>
      <c r="S767" s="34">
        <v>15600</v>
      </c>
      <c r="T767" s="34">
        <v>6.1</v>
      </c>
      <c r="U767" s="34">
        <f t="shared" si="13"/>
        <v>89</v>
      </c>
      <c r="V767" s="34">
        <f>VLOOKUP(U767,'Powder Core Toroid OD'!$A$2:$B$36,2,FALSE)</f>
        <v>46.7</v>
      </c>
    </row>
    <row r="768" spans="1:22" hidden="1">
      <c r="A768" s="34">
        <v>55090</v>
      </c>
      <c r="B768" s="34" t="s">
        <v>205</v>
      </c>
      <c r="C768" s="158" t="s">
        <v>696</v>
      </c>
      <c r="D768" s="34">
        <v>60</v>
      </c>
      <c r="E768" s="34" t="s">
        <v>21</v>
      </c>
      <c r="F768" s="34">
        <v>86</v>
      </c>
      <c r="G768" s="34" t="s">
        <v>0</v>
      </c>
      <c r="H768" s="34">
        <v>11.6</v>
      </c>
      <c r="I768" s="34">
        <v>116</v>
      </c>
      <c r="J768" s="34">
        <v>1.0980000000000001</v>
      </c>
      <c r="K768" s="34">
        <v>27.88</v>
      </c>
      <c r="L768" s="34">
        <v>1.875</v>
      </c>
      <c r="M768" s="34">
        <v>47.63</v>
      </c>
      <c r="N768" s="34">
        <v>0.63500000000000001</v>
      </c>
      <c r="O768" s="34">
        <v>16.100000000000001</v>
      </c>
      <c r="P768" s="34">
        <v>1.34</v>
      </c>
      <c r="Q768" s="34">
        <v>134</v>
      </c>
      <c r="R768" s="34">
        <v>15.6</v>
      </c>
      <c r="S768" s="34">
        <v>15600</v>
      </c>
      <c r="T768" s="34">
        <v>6.1</v>
      </c>
      <c r="U768" s="34">
        <f t="shared" si="13"/>
        <v>89</v>
      </c>
      <c r="V768" s="34">
        <f>VLOOKUP(U768,'Powder Core Toroid OD'!$A$2:$B$36,2,FALSE)</f>
        <v>46.7</v>
      </c>
    </row>
    <row r="769" spans="1:22" hidden="1">
      <c r="A769" s="34">
        <v>77092</v>
      </c>
      <c r="B769" s="34" t="s">
        <v>903</v>
      </c>
      <c r="C769" s="158" t="s">
        <v>696</v>
      </c>
      <c r="D769" s="34">
        <v>14</v>
      </c>
      <c r="E769" s="34" t="s">
        <v>298</v>
      </c>
      <c r="F769" s="34">
        <v>20</v>
      </c>
      <c r="G769" s="34" t="s">
        <v>0</v>
      </c>
      <c r="H769" s="34">
        <v>11.6</v>
      </c>
      <c r="I769" s="34">
        <v>116</v>
      </c>
      <c r="J769" s="34">
        <v>1.0980000000000001</v>
      </c>
      <c r="K769" s="34">
        <v>27.88</v>
      </c>
      <c r="L769" s="34">
        <v>1.875</v>
      </c>
      <c r="M769" s="34">
        <v>47.63</v>
      </c>
      <c r="N769" s="34">
        <v>0.63500000000000001</v>
      </c>
      <c r="O769" s="34">
        <v>16.100000000000001</v>
      </c>
      <c r="P769" s="34">
        <v>1.34</v>
      </c>
      <c r="Q769" s="34">
        <v>134</v>
      </c>
      <c r="R769" s="34">
        <v>15.6</v>
      </c>
      <c r="S769" s="34">
        <v>15600</v>
      </c>
      <c r="T769" s="34">
        <v>6.1</v>
      </c>
      <c r="U769" s="34">
        <f t="shared" si="13"/>
        <v>89</v>
      </c>
      <c r="V769" s="34">
        <f>VLOOKUP(U769,'Powder Core Toroid OD'!$A$2:$B$36,2,FALSE)</f>
        <v>46.7</v>
      </c>
    </row>
    <row r="770" spans="1:22" hidden="1">
      <c r="A770" s="34">
        <v>77718</v>
      </c>
      <c r="B770" s="34" t="s">
        <v>905</v>
      </c>
      <c r="C770" s="158">
        <v>715</v>
      </c>
      <c r="D770" s="34">
        <v>14</v>
      </c>
      <c r="E770" s="34" t="s">
        <v>298</v>
      </c>
      <c r="F770" s="34">
        <v>17</v>
      </c>
      <c r="G770" s="34" t="s">
        <v>0</v>
      </c>
      <c r="H770" s="34">
        <v>12.7</v>
      </c>
      <c r="I770" s="34">
        <v>127</v>
      </c>
      <c r="J770" s="34">
        <v>1.218</v>
      </c>
      <c r="K770" s="34">
        <v>30.93</v>
      </c>
      <c r="L770" s="34">
        <v>2.0350000000000001</v>
      </c>
      <c r="M770" s="34">
        <v>51.69</v>
      </c>
      <c r="N770" s="34">
        <v>0.56500000000000006</v>
      </c>
      <c r="O770" s="34">
        <v>14.4</v>
      </c>
      <c r="P770" s="34">
        <v>1.25</v>
      </c>
      <c r="Q770" s="34">
        <v>125</v>
      </c>
      <c r="R770" s="34">
        <v>15.9</v>
      </c>
      <c r="S770" s="34">
        <v>15900</v>
      </c>
      <c r="T770" s="34">
        <v>7.51</v>
      </c>
      <c r="U770" s="34">
        <f t="shared" si="13"/>
        <v>715</v>
      </c>
      <c r="V770" s="34">
        <f>VLOOKUP(U770,'Powder Core Toroid OD'!$A$2:$B$36,2,FALSE)</f>
        <v>50.8</v>
      </c>
    </row>
    <row r="771" spans="1:22" hidden="1">
      <c r="A771" s="34">
        <v>55709</v>
      </c>
      <c r="B771" s="34" t="s">
        <v>906</v>
      </c>
      <c r="C771" s="158">
        <v>715</v>
      </c>
      <c r="D771" s="34">
        <v>173</v>
      </c>
      <c r="E771" s="34" t="s">
        <v>21</v>
      </c>
      <c r="F771" s="34">
        <v>210</v>
      </c>
      <c r="G771" s="34" t="s">
        <v>0</v>
      </c>
      <c r="H771" s="34">
        <v>12.7</v>
      </c>
      <c r="I771" s="34">
        <v>127</v>
      </c>
      <c r="J771" s="34">
        <v>1.218</v>
      </c>
      <c r="K771" s="34">
        <v>30.93</v>
      </c>
      <c r="L771" s="34">
        <v>2.0350000000000001</v>
      </c>
      <c r="M771" s="34">
        <v>51.69</v>
      </c>
      <c r="N771" s="34">
        <v>0.56500000000000006</v>
      </c>
      <c r="O771" s="34">
        <v>14.4</v>
      </c>
      <c r="P771" s="34">
        <v>1.25</v>
      </c>
      <c r="Q771" s="34">
        <v>125</v>
      </c>
      <c r="R771" s="34">
        <v>15.9</v>
      </c>
      <c r="S771" s="34">
        <v>15900</v>
      </c>
      <c r="T771" s="34">
        <v>7.51</v>
      </c>
      <c r="U771" s="34">
        <f t="shared" si="13"/>
        <v>715</v>
      </c>
      <c r="V771" s="34">
        <f>VLOOKUP(U771,'Powder Core Toroid OD'!$A$2:$B$36,2,FALSE)</f>
        <v>50.8</v>
      </c>
    </row>
    <row r="772" spans="1:22" hidden="1">
      <c r="A772" s="34">
        <v>55712</v>
      </c>
      <c r="B772" s="34" t="s">
        <v>907</v>
      </c>
      <c r="C772" s="158">
        <v>715</v>
      </c>
      <c r="D772" s="34">
        <v>200</v>
      </c>
      <c r="E772" s="34" t="s">
        <v>21</v>
      </c>
      <c r="F772" s="34">
        <v>243</v>
      </c>
      <c r="G772" s="34" t="s">
        <v>0</v>
      </c>
      <c r="H772" s="34">
        <v>12.7</v>
      </c>
      <c r="I772" s="34">
        <v>127</v>
      </c>
      <c r="J772" s="34">
        <v>1.218</v>
      </c>
      <c r="K772" s="34">
        <v>30.93</v>
      </c>
      <c r="L772" s="34">
        <v>2.0350000000000001</v>
      </c>
      <c r="M772" s="34">
        <v>51.69</v>
      </c>
      <c r="N772" s="34">
        <v>0.56500000000000006</v>
      </c>
      <c r="O772" s="34">
        <v>14.4</v>
      </c>
      <c r="P772" s="34">
        <v>1.25</v>
      </c>
      <c r="Q772" s="34">
        <v>125</v>
      </c>
      <c r="R772" s="34">
        <v>15.9</v>
      </c>
      <c r="S772" s="34">
        <v>15900</v>
      </c>
      <c r="T772" s="34">
        <v>7.51</v>
      </c>
      <c r="U772" s="34">
        <f t="shared" si="13"/>
        <v>715</v>
      </c>
      <c r="V772" s="34">
        <f>VLOOKUP(U772,'Powder Core Toroid OD'!$A$2:$B$36,2,FALSE)</f>
        <v>50.8</v>
      </c>
    </row>
    <row r="773" spans="1:22" hidden="1">
      <c r="A773" s="34">
        <v>55196</v>
      </c>
      <c r="B773" s="34" t="s">
        <v>908</v>
      </c>
      <c r="C773" s="158">
        <v>195</v>
      </c>
      <c r="D773" s="34">
        <v>147</v>
      </c>
      <c r="E773" s="34" t="s">
        <v>21</v>
      </c>
      <c r="F773" s="34">
        <v>306</v>
      </c>
      <c r="G773" s="34" t="s">
        <v>0</v>
      </c>
      <c r="H773" s="34">
        <v>12.5</v>
      </c>
      <c r="I773" s="34">
        <v>125</v>
      </c>
      <c r="J773" s="34">
        <v>1.0069999999999999</v>
      </c>
      <c r="K773" s="34">
        <v>25.57</v>
      </c>
      <c r="L773" s="34">
        <v>2.2850000000000001</v>
      </c>
      <c r="M773" s="34">
        <v>58.04</v>
      </c>
      <c r="N773" s="34">
        <v>0.63500000000000001</v>
      </c>
      <c r="O773" s="34">
        <v>16.2</v>
      </c>
      <c r="P773" s="34">
        <v>2.29</v>
      </c>
      <c r="Q773" s="34">
        <v>229</v>
      </c>
      <c r="R773" s="34">
        <v>28.6</v>
      </c>
      <c r="S773" s="34">
        <v>28600</v>
      </c>
      <c r="T773" s="34">
        <v>5.14</v>
      </c>
      <c r="U773" s="34">
        <f t="shared" si="13"/>
        <v>195</v>
      </c>
      <c r="V773" s="34">
        <f>VLOOKUP(U773,'Powder Core Toroid OD'!$A$2:$B$36,2,FALSE)</f>
        <v>57.2</v>
      </c>
    </row>
    <row r="774" spans="1:22" hidden="1">
      <c r="A774" s="34">
        <v>55197</v>
      </c>
      <c r="B774" s="34" t="s">
        <v>909</v>
      </c>
      <c r="C774" s="158">
        <v>195</v>
      </c>
      <c r="D774" s="34">
        <v>160</v>
      </c>
      <c r="E774" s="34" t="s">
        <v>21</v>
      </c>
      <c r="F774" s="34">
        <v>333</v>
      </c>
      <c r="G774" s="34" t="s">
        <v>0</v>
      </c>
      <c r="H774" s="34">
        <v>12.5</v>
      </c>
      <c r="I774" s="34">
        <v>125</v>
      </c>
      <c r="J774" s="34">
        <v>1.0069999999999999</v>
      </c>
      <c r="K774" s="34">
        <v>25.57</v>
      </c>
      <c r="L774" s="34">
        <v>2.2850000000000001</v>
      </c>
      <c r="M774" s="34">
        <v>58.04</v>
      </c>
      <c r="N774" s="34">
        <v>0.63500000000000001</v>
      </c>
      <c r="O774" s="34">
        <v>16.2</v>
      </c>
      <c r="P774" s="34">
        <v>2.29</v>
      </c>
      <c r="Q774" s="34">
        <v>229</v>
      </c>
      <c r="R774" s="34">
        <v>28.6</v>
      </c>
      <c r="S774" s="34">
        <v>28600</v>
      </c>
      <c r="T774" s="34">
        <v>5.14</v>
      </c>
      <c r="U774" s="34">
        <f t="shared" si="13"/>
        <v>195</v>
      </c>
      <c r="V774" s="34">
        <f>VLOOKUP(U774,'Powder Core Toroid OD'!$A$2:$B$36,2,FALSE)</f>
        <v>57.2</v>
      </c>
    </row>
    <row r="775" spans="1:22" hidden="1">
      <c r="A775" s="34">
        <v>55198</v>
      </c>
      <c r="B775" s="34" t="s">
        <v>910</v>
      </c>
      <c r="C775" s="158">
        <v>195</v>
      </c>
      <c r="D775" s="34">
        <v>173</v>
      </c>
      <c r="E775" s="34" t="s">
        <v>21</v>
      </c>
      <c r="F775" s="34">
        <v>360</v>
      </c>
      <c r="G775" s="34" t="s">
        <v>0</v>
      </c>
      <c r="H775" s="34">
        <v>12.5</v>
      </c>
      <c r="I775" s="34">
        <v>125</v>
      </c>
      <c r="J775" s="34">
        <v>1.0069999999999999</v>
      </c>
      <c r="K775" s="34">
        <v>25.57</v>
      </c>
      <c r="L775" s="34">
        <v>2.2850000000000001</v>
      </c>
      <c r="M775" s="34">
        <v>58.04</v>
      </c>
      <c r="N775" s="34">
        <v>0.63500000000000001</v>
      </c>
      <c r="O775" s="34">
        <v>16.2</v>
      </c>
      <c r="P775" s="34">
        <v>2.29</v>
      </c>
      <c r="Q775" s="34">
        <v>229</v>
      </c>
      <c r="R775" s="34">
        <v>28.6</v>
      </c>
      <c r="S775" s="34">
        <v>28600</v>
      </c>
      <c r="T775" s="34">
        <v>5.14</v>
      </c>
      <c r="U775" s="34">
        <f t="shared" si="13"/>
        <v>195</v>
      </c>
      <c r="V775" s="34">
        <f>VLOOKUP(U775,'Powder Core Toroid OD'!$A$2:$B$36,2,FALSE)</f>
        <v>57.2</v>
      </c>
    </row>
    <row r="776" spans="1:22" hidden="1">
      <c r="A776" s="34">
        <v>55199</v>
      </c>
      <c r="B776" s="34" t="s">
        <v>911</v>
      </c>
      <c r="C776" s="158">
        <v>195</v>
      </c>
      <c r="D776" s="34">
        <v>200</v>
      </c>
      <c r="E776" s="34" t="s">
        <v>21</v>
      </c>
      <c r="F776" s="34">
        <v>417</v>
      </c>
      <c r="G776" s="34" t="s">
        <v>0</v>
      </c>
      <c r="H776" s="34">
        <v>12.5</v>
      </c>
      <c r="I776" s="34">
        <v>125</v>
      </c>
      <c r="J776" s="34">
        <v>1.0069999999999999</v>
      </c>
      <c r="K776" s="34">
        <v>25.57</v>
      </c>
      <c r="L776" s="34">
        <v>2.2850000000000001</v>
      </c>
      <c r="M776" s="34">
        <v>58.04</v>
      </c>
      <c r="N776" s="34">
        <v>0.63500000000000001</v>
      </c>
      <c r="O776" s="34">
        <v>16.2</v>
      </c>
      <c r="P776" s="34">
        <v>2.29</v>
      </c>
      <c r="Q776" s="34">
        <v>229</v>
      </c>
      <c r="R776" s="34">
        <v>28.6</v>
      </c>
      <c r="S776" s="34">
        <v>28600</v>
      </c>
      <c r="T776" s="34">
        <v>5.14</v>
      </c>
      <c r="U776" s="34">
        <f t="shared" si="13"/>
        <v>195</v>
      </c>
      <c r="V776" s="34">
        <f>VLOOKUP(U776,'Powder Core Toroid OD'!$A$2:$B$36,2,FALSE)</f>
        <v>57.2</v>
      </c>
    </row>
    <row r="777" spans="1:22" hidden="1">
      <c r="A777" s="34">
        <v>77190</v>
      </c>
      <c r="B777" s="34" t="s">
        <v>912</v>
      </c>
      <c r="C777" s="158">
        <v>195</v>
      </c>
      <c r="D777" s="34">
        <v>14</v>
      </c>
      <c r="E777" s="34" t="s">
        <v>298</v>
      </c>
      <c r="F777" s="34">
        <v>32</v>
      </c>
      <c r="G777" s="34" t="s">
        <v>0</v>
      </c>
      <c r="H777" s="34">
        <v>12.5</v>
      </c>
      <c r="I777" s="34">
        <v>125</v>
      </c>
      <c r="J777" s="34">
        <v>1.0069999999999999</v>
      </c>
      <c r="K777" s="34">
        <v>25.57</v>
      </c>
      <c r="L777" s="34">
        <v>2.2850000000000001</v>
      </c>
      <c r="M777" s="34">
        <v>58.04</v>
      </c>
      <c r="N777" s="34">
        <v>0.63500000000000001</v>
      </c>
      <c r="O777" s="34">
        <v>16.2</v>
      </c>
      <c r="P777" s="34">
        <v>2.29</v>
      </c>
      <c r="Q777" s="34">
        <v>229</v>
      </c>
      <c r="R777" s="34">
        <v>28.6</v>
      </c>
      <c r="S777" s="34">
        <v>28600</v>
      </c>
      <c r="T777" s="34">
        <v>5.14</v>
      </c>
      <c r="U777" s="34">
        <f t="shared" si="13"/>
        <v>195</v>
      </c>
      <c r="V777" s="34">
        <f>VLOOKUP(U777,'Powder Core Toroid OD'!$A$2:$B$36,2,FALSE)</f>
        <v>57.2</v>
      </c>
    </row>
    <row r="778" spans="1:22" hidden="1">
      <c r="A778" s="34">
        <v>77112</v>
      </c>
      <c r="B778" s="34" t="s">
        <v>913</v>
      </c>
      <c r="C778" s="158">
        <v>109</v>
      </c>
      <c r="D778" s="34">
        <v>14</v>
      </c>
      <c r="E778" s="34" t="s">
        <v>298</v>
      </c>
      <c r="F778" s="34">
        <v>18</v>
      </c>
      <c r="G778" s="34" t="s">
        <v>0</v>
      </c>
      <c r="H778" s="34">
        <v>14.3</v>
      </c>
      <c r="I778" s="34">
        <v>143</v>
      </c>
      <c r="J778" s="34">
        <v>1.3680000000000001</v>
      </c>
      <c r="K778" s="34">
        <v>34.74</v>
      </c>
      <c r="L778" s="34">
        <v>2.2850000000000001</v>
      </c>
      <c r="M778" s="34">
        <v>58.04</v>
      </c>
      <c r="N778" s="34">
        <v>0.58499999999999996</v>
      </c>
      <c r="O778" s="34">
        <v>14.9</v>
      </c>
      <c r="P778" s="34">
        <v>1.44</v>
      </c>
      <c r="Q778" s="34">
        <v>144</v>
      </c>
      <c r="R778" s="34">
        <v>20.7</v>
      </c>
      <c r="S778" s="34">
        <v>20700</v>
      </c>
      <c r="T778" s="34">
        <v>9.48</v>
      </c>
      <c r="U778" s="34">
        <f t="shared" si="13"/>
        <v>109</v>
      </c>
      <c r="V778" s="34">
        <f>VLOOKUP(U778,'Powder Core Toroid OD'!$A$2:$B$36,2,FALSE)</f>
        <v>57.2</v>
      </c>
    </row>
    <row r="779" spans="1:22" hidden="1">
      <c r="A779" s="34">
        <v>77614</v>
      </c>
      <c r="B779" s="34" t="s">
        <v>914</v>
      </c>
      <c r="C779" s="158">
        <v>620</v>
      </c>
      <c r="D779" s="34">
        <v>14</v>
      </c>
      <c r="E779" s="34" t="s">
        <v>298</v>
      </c>
      <c r="F779" s="34">
        <v>44</v>
      </c>
      <c r="G779" s="34" t="s">
        <v>0</v>
      </c>
      <c r="H779" s="34">
        <v>14.4</v>
      </c>
      <c r="I779" s="34">
        <v>144</v>
      </c>
      <c r="J779" s="34">
        <v>1.248</v>
      </c>
      <c r="K779" s="40">
        <v>31.69</v>
      </c>
      <c r="L779" s="34">
        <v>2.4769999999999999</v>
      </c>
      <c r="M779" s="40">
        <v>62.91</v>
      </c>
      <c r="N779" s="41">
        <v>1.02</v>
      </c>
      <c r="O779" s="40">
        <v>25.91</v>
      </c>
      <c r="P779" s="40">
        <v>3.6</v>
      </c>
      <c r="Q779" s="34">
        <v>360</v>
      </c>
      <c r="R779" s="34">
        <v>51.8</v>
      </c>
      <c r="S779" s="34">
        <v>51800</v>
      </c>
      <c r="T779" s="34">
        <v>7.89</v>
      </c>
      <c r="U779" s="34">
        <f t="shared" si="13"/>
        <v>620</v>
      </c>
      <c r="V779" s="34">
        <f>VLOOKUP(U779,'Powder Core Toroid OD'!$A$2:$B$36,2,FALSE)</f>
        <v>62</v>
      </c>
    </row>
    <row r="780" spans="1:22" hidden="1">
      <c r="A780" s="34">
        <v>77734</v>
      </c>
      <c r="B780" s="34" t="s">
        <v>915</v>
      </c>
      <c r="C780" s="158">
        <v>740</v>
      </c>
      <c r="D780" s="34">
        <v>14</v>
      </c>
      <c r="E780" s="34" t="s">
        <v>298</v>
      </c>
      <c r="F780" s="34">
        <v>48</v>
      </c>
      <c r="G780" s="34" t="s">
        <v>0</v>
      </c>
      <c r="H780" s="34">
        <v>18.399999999999999</v>
      </c>
      <c r="I780" s="34">
        <v>184</v>
      </c>
      <c r="J780" s="34">
        <v>1.748</v>
      </c>
      <c r="K780" s="40">
        <v>44.39</v>
      </c>
      <c r="L780" s="34">
        <v>2.9529999999999998</v>
      </c>
      <c r="M780" s="40">
        <v>75.010000000000005</v>
      </c>
      <c r="N780" s="41">
        <v>1.4139999999999999</v>
      </c>
      <c r="O780" s="40">
        <v>35.92</v>
      </c>
      <c r="P780" s="40">
        <v>4.97</v>
      </c>
      <c r="Q780" s="34">
        <v>497</v>
      </c>
      <c r="R780" s="34">
        <v>91.4</v>
      </c>
      <c r="S780" s="34">
        <v>91400</v>
      </c>
      <c r="T780" s="34">
        <v>15.5</v>
      </c>
      <c r="U780" s="34">
        <f t="shared" si="13"/>
        <v>740</v>
      </c>
      <c r="V780" s="34">
        <f>VLOOKUP(U780,'Powder Core Toroid OD'!$A$2:$B$36,2,FALSE)</f>
        <v>74.099999999999994</v>
      </c>
    </row>
    <row r="781" spans="1:22" hidden="1">
      <c r="A781" s="34">
        <v>77869</v>
      </c>
      <c r="B781" s="34" t="s">
        <v>916</v>
      </c>
      <c r="C781" s="158">
        <v>866</v>
      </c>
      <c r="D781" s="34">
        <v>14</v>
      </c>
      <c r="E781" s="34" t="s">
        <v>298</v>
      </c>
      <c r="F781" s="34">
        <v>16</v>
      </c>
      <c r="G781" s="34" t="s">
        <v>0</v>
      </c>
      <c r="H781" s="34">
        <v>19.600000000000001</v>
      </c>
      <c r="I781" s="34">
        <v>196</v>
      </c>
      <c r="J781" s="34">
        <v>1.8979999999999999</v>
      </c>
      <c r="K781" s="40">
        <v>48.2</v>
      </c>
      <c r="L781" s="34">
        <v>3.1080000000000001</v>
      </c>
      <c r="M781" s="34">
        <v>78.95</v>
      </c>
      <c r="N781" s="34">
        <v>0.54500000000000004</v>
      </c>
      <c r="O781" s="34">
        <v>13.9</v>
      </c>
      <c r="P781" s="34">
        <v>1.76</v>
      </c>
      <c r="Q781" s="34">
        <v>176</v>
      </c>
      <c r="R781" s="34">
        <v>34.5</v>
      </c>
      <c r="S781" s="34">
        <v>34500</v>
      </c>
      <c r="T781" s="34">
        <v>18.2</v>
      </c>
      <c r="U781" s="34">
        <f t="shared" si="13"/>
        <v>866</v>
      </c>
      <c r="V781" s="34">
        <f>VLOOKUP(U781,'Powder Core Toroid OD'!$A$2:$B$36,2,FALSE)</f>
        <v>77.8</v>
      </c>
    </row>
    <row r="782" spans="1:22" hidden="1">
      <c r="A782" s="34">
        <v>77907</v>
      </c>
      <c r="B782" s="34" t="s">
        <v>917</v>
      </c>
      <c r="C782" s="158">
        <v>906</v>
      </c>
      <c r="D782" s="34">
        <v>14</v>
      </c>
      <c r="E782" s="34" t="s">
        <v>298</v>
      </c>
      <c r="F782" s="34">
        <v>20</v>
      </c>
      <c r="G782" s="34" t="s">
        <v>0</v>
      </c>
      <c r="H782" s="34">
        <v>19.600000000000001</v>
      </c>
      <c r="I782" s="34">
        <v>196</v>
      </c>
      <c r="J782" s="34">
        <v>1.8979999999999999</v>
      </c>
      <c r="K782" s="40">
        <v>48.2</v>
      </c>
      <c r="L782" s="34">
        <v>3.1080000000000001</v>
      </c>
      <c r="M782" s="34">
        <v>78.95</v>
      </c>
      <c r="N782" s="41">
        <v>0.67</v>
      </c>
      <c r="O782" s="34">
        <v>17.100000000000001</v>
      </c>
      <c r="P782" s="34">
        <v>2.21</v>
      </c>
      <c r="Q782" s="34">
        <v>221</v>
      </c>
      <c r="R782" s="34">
        <v>43.4</v>
      </c>
      <c r="S782" s="34">
        <v>43400</v>
      </c>
      <c r="T782" s="34">
        <v>18.2</v>
      </c>
      <c r="U782" s="34">
        <f t="shared" si="13"/>
        <v>906</v>
      </c>
      <c r="V782" s="34">
        <f>VLOOKUP(U782,'Powder Core Toroid OD'!$A$2:$B$36,2,FALSE)</f>
        <v>77.8</v>
      </c>
    </row>
    <row r="783" spans="1:22" hidden="1">
      <c r="A783" s="34">
        <v>77866</v>
      </c>
      <c r="B783" s="34" t="s">
        <v>918</v>
      </c>
      <c r="C783" s="158">
        <v>866</v>
      </c>
      <c r="D783" s="34">
        <v>125</v>
      </c>
      <c r="E783" s="34" t="s">
        <v>298</v>
      </c>
      <c r="F783" s="34">
        <v>142</v>
      </c>
      <c r="G783" s="34" t="s">
        <v>0</v>
      </c>
      <c r="H783" s="34">
        <v>19.600000000000001</v>
      </c>
      <c r="I783" s="34">
        <v>196</v>
      </c>
      <c r="J783" s="34">
        <v>1.8979999999999999</v>
      </c>
      <c r="K783" s="40">
        <v>48.2</v>
      </c>
      <c r="L783" s="34">
        <v>3.1080000000000001</v>
      </c>
      <c r="M783" s="34">
        <v>78.95</v>
      </c>
      <c r="N783" s="34">
        <v>0.54500000000000004</v>
      </c>
      <c r="O783" s="34">
        <v>13.9</v>
      </c>
      <c r="P783" s="34">
        <v>1.76</v>
      </c>
      <c r="Q783" s="34">
        <v>176</v>
      </c>
      <c r="R783" s="34">
        <v>34.5</v>
      </c>
      <c r="S783" s="34">
        <v>34500</v>
      </c>
      <c r="T783" s="34">
        <v>18.2</v>
      </c>
      <c r="U783" s="34">
        <f t="shared" si="13"/>
        <v>866</v>
      </c>
      <c r="V783" s="34">
        <f>VLOOKUP(U783,'Powder Core Toroid OD'!$A$2:$B$36,2,FALSE)</f>
        <v>77.8</v>
      </c>
    </row>
    <row r="784" spans="1:22" hidden="1">
      <c r="A784" s="34">
        <v>77101</v>
      </c>
      <c r="B784" s="34" t="s">
        <v>919</v>
      </c>
      <c r="C784" s="158">
        <v>102</v>
      </c>
      <c r="D784" s="34">
        <v>14</v>
      </c>
      <c r="E784" s="34" t="s">
        <v>298</v>
      </c>
      <c r="F784" s="34">
        <v>26</v>
      </c>
      <c r="G784" s="34" t="s">
        <v>0</v>
      </c>
      <c r="H784" s="34">
        <v>24.3</v>
      </c>
      <c r="I784" s="34">
        <v>243</v>
      </c>
      <c r="J784" s="34">
        <v>2.1949999999999998</v>
      </c>
      <c r="K784" s="34">
        <v>55.75</v>
      </c>
      <c r="L784" s="34">
        <v>4.0549999999999997</v>
      </c>
      <c r="M784" s="35">
        <v>103</v>
      </c>
      <c r="N784" s="34">
        <v>0.70499999999999996</v>
      </c>
      <c r="O784" s="34">
        <v>17.899999999999999</v>
      </c>
      <c r="P784" s="34">
        <v>3.58</v>
      </c>
      <c r="Q784" s="34">
        <v>358</v>
      </c>
      <c r="R784" s="34">
        <v>86.9</v>
      </c>
      <c r="S784" s="34">
        <v>86900</v>
      </c>
      <c r="T784" s="34">
        <v>24.7</v>
      </c>
      <c r="U784" s="34">
        <f t="shared" si="13"/>
        <v>102</v>
      </c>
      <c r="V784" s="34">
        <f>VLOOKUP(U784,'Powder Core Toroid OD'!$A$2:$B$36,2,FALSE)</f>
        <v>101.6</v>
      </c>
    </row>
    <row r="785" spans="1:22" hidden="1">
      <c r="A785" s="34">
        <v>77338</v>
      </c>
      <c r="B785" s="34" t="s">
        <v>920</v>
      </c>
      <c r="C785" s="159">
        <v>337</v>
      </c>
      <c r="D785" s="34">
        <v>40</v>
      </c>
      <c r="E785" s="37" t="s">
        <v>298</v>
      </c>
      <c r="F785" s="34">
        <v>105</v>
      </c>
      <c r="G785" s="37" t="s">
        <v>0</v>
      </c>
      <c r="H785" s="37">
        <v>32.4</v>
      </c>
      <c r="I785" s="37">
        <v>324</v>
      </c>
      <c r="J785" s="37">
        <v>3.0390000000000001</v>
      </c>
      <c r="K785" s="37">
        <v>77.19</v>
      </c>
      <c r="L785" s="37">
        <v>5.274</v>
      </c>
      <c r="M785" s="38">
        <v>134</v>
      </c>
      <c r="N785" s="37">
        <v>1.0549999999999999</v>
      </c>
      <c r="O785" s="39">
        <v>26.8</v>
      </c>
      <c r="P785" s="37">
        <v>6.78</v>
      </c>
      <c r="Q785" s="37">
        <v>678</v>
      </c>
      <c r="R785" s="37">
        <v>220</v>
      </c>
      <c r="S785" s="37">
        <v>220000</v>
      </c>
      <c r="T785" s="37">
        <v>47.1</v>
      </c>
      <c r="U785" s="34">
        <f t="shared" ref="U785:U818" si="14">C785*1</f>
        <v>337</v>
      </c>
      <c r="V785" s="34">
        <f>VLOOKUP(U785,'Powder Core Toroid OD'!$A$2:$B$36,2,FALSE)</f>
        <v>132.6</v>
      </c>
    </row>
    <row r="786" spans="1:22" hidden="1">
      <c r="A786" s="34">
        <v>77339</v>
      </c>
      <c r="B786" s="34" t="s">
        <v>921</v>
      </c>
      <c r="C786" s="159">
        <v>337</v>
      </c>
      <c r="D786" s="34">
        <v>60</v>
      </c>
      <c r="E786" s="37" t="s">
        <v>298</v>
      </c>
      <c r="F786" s="34">
        <v>158</v>
      </c>
      <c r="G786" s="37" t="s">
        <v>0</v>
      </c>
      <c r="H786" s="37">
        <v>32.4</v>
      </c>
      <c r="I786" s="37">
        <v>324</v>
      </c>
      <c r="J786" s="37">
        <v>3.0390000000000001</v>
      </c>
      <c r="K786" s="37">
        <v>77.19</v>
      </c>
      <c r="L786" s="37">
        <v>5.274</v>
      </c>
      <c r="M786" s="38">
        <v>134</v>
      </c>
      <c r="N786" s="37">
        <v>1.0549999999999999</v>
      </c>
      <c r="O786" s="39">
        <v>26.8</v>
      </c>
      <c r="P786" s="37">
        <v>6.78</v>
      </c>
      <c r="Q786" s="37">
        <v>678</v>
      </c>
      <c r="R786" s="37">
        <v>220</v>
      </c>
      <c r="S786" s="37">
        <v>220000</v>
      </c>
      <c r="T786" s="37">
        <v>47.1</v>
      </c>
      <c r="U786" s="34">
        <f t="shared" si="14"/>
        <v>337</v>
      </c>
      <c r="V786" s="34">
        <f>VLOOKUP(U786,'Powder Core Toroid OD'!$A$2:$B$36,2,FALSE)</f>
        <v>132.6</v>
      </c>
    </row>
    <row r="787" spans="1:22" hidden="1">
      <c r="A787" s="34">
        <v>77336</v>
      </c>
      <c r="B787" s="34" t="s">
        <v>922</v>
      </c>
      <c r="C787" s="159">
        <v>337</v>
      </c>
      <c r="D787" s="34">
        <v>14</v>
      </c>
      <c r="E787" s="37" t="s">
        <v>298</v>
      </c>
      <c r="F787" s="34">
        <v>37</v>
      </c>
      <c r="G787" s="37" t="s">
        <v>0</v>
      </c>
      <c r="H787" s="37">
        <v>32.4</v>
      </c>
      <c r="I787" s="37">
        <v>324</v>
      </c>
      <c r="J787" s="37">
        <v>3.0390000000000001</v>
      </c>
      <c r="K787" s="37">
        <v>77.19</v>
      </c>
      <c r="L787" s="37">
        <v>5.274</v>
      </c>
      <c r="M787" s="38">
        <v>134</v>
      </c>
      <c r="N787" s="37">
        <v>1.0549999999999999</v>
      </c>
      <c r="O787" s="39">
        <v>26.8</v>
      </c>
      <c r="P787" s="37">
        <v>6.78</v>
      </c>
      <c r="Q787" s="37">
        <v>678</v>
      </c>
      <c r="R787" s="37">
        <v>220</v>
      </c>
      <c r="S787" s="37">
        <v>220000</v>
      </c>
      <c r="T787" s="37">
        <v>47.1</v>
      </c>
      <c r="U787" s="34">
        <f t="shared" si="14"/>
        <v>337</v>
      </c>
      <c r="V787" s="34">
        <f>VLOOKUP(U787,'Powder Core Toroid OD'!$A$2:$B$36,2,FALSE)</f>
        <v>132.6</v>
      </c>
    </row>
    <row r="788" spans="1:22">
      <c r="A788" s="34">
        <v>78337</v>
      </c>
      <c r="B788" s="34" t="s">
        <v>990</v>
      </c>
      <c r="C788" s="159">
        <v>337</v>
      </c>
      <c r="D788" s="34">
        <v>26</v>
      </c>
      <c r="E788" s="37" t="s">
        <v>1</v>
      </c>
      <c r="F788" s="34">
        <v>68</v>
      </c>
      <c r="G788" s="37" t="s">
        <v>0</v>
      </c>
      <c r="H788" s="37">
        <v>32.4</v>
      </c>
      <c r="I788" s="37">
        <v>324</v>
      </c>
      <c r="J788" s="37">
        <v>3.0390000000000001</v>
      </c>
      <c r="K788" s="37">
        <v>77.19</v>
      </c>
      <c r="L788" s="37">
        <v>5.274</v>
      </c>
      <c r="M788" s="38">
        <v>134</v>
      </c>
      <c r="N788" s="37">
        <v>1.0549999999999999</v>
      </c>
      <c r="O788" s="39">
        <v>26.8</v>
      </c>
      <c r="P788" s="37">
        <v>6.78</v>
      </c>
      <c r="Q788" s="37">
        <v>678</v>
      </c>
      <c r="R788" s="37">
        <v>220</v>
      </c>
      <c r="S788" s="37">
        <v>220000</v>
      </c>
      <c r="T788" s="37">
        <v>47.1</v>
      </c>
      <c r="U788" s="34">
        <f t="shared" si="14"/>
        <v>337</v>
      </c>
      <c r="V788" s="34">
        <f>VLOOKUP(U788,'Powder Core Toroid OD'!$A$2:$B$36,2,FALSE)</f>
        <v>132.6</v>
      </c>
    </row>
    <row r="789" spans="1:22" hidden="1">
      <c r="A789" s="34">
        <v>77164</v>
      </c>
      <c r="B789" s="34" t="s">
        <v>923</v>
      </c>
      <c r="C789" s="158">
        <v>165</v>
      </c>
      <c r="D789" s="34">
        <v>14</v>
      </c>
      <c r="E789" s="34" t="s">
        <v>298</v>
      </c>
      <c r="F789" s="34">
        <v>42</v>
      </c>
      <c r="G789" s="37" t="s">
        <v>0</v>
      </c>
      <c r="H789" s="37">
        <v>41.2</v>
      </c>
      <c r="I789" s="37">
        <v>412</v>
      </c>
      <c r="J789" s="37">
        <v>3.9769999999999999</v>
      </c>
      <c r="K789" s="38">
        <v>101</v>
      </c>
      <c r="L789" s="37">
        <v>6.5549999999999997</v>
      </c>
      <c r="M789" s="38">
        <v>166.5</v>
      </c>
      <c r="N789" s="37">
        <v>1.3049999999999999</v>
      </c>
      <c r="O789" s="39">
        <v>33.15</v>
      </c>
      <c r="P789" s="37">
        <v>9.8699999999999992</v>
      </c>
      <c r="Q789" s="37">
        <v>987</v>
      </c>
      <c r="R789" s="37">
        <v>407</v>
      </c>
      <c r="S789" s="37">
        <v>407000</v>
      </c>
      <c r="T789" s="37">
        <v>80.3</v>
      </c>
      <c r="U789" s="34">
        <f t="shared" si="14"/>
        <v>165</v>
      </c>
      <c r="V789" s="34">
        <f>VLOOKUP(U789,'Powder Core Toroid OD'!$A$2:$B$36,2,FALSE)</f>
        <v>165.1</v>
      </c>
    </row>
    <row r="790" spans="1:22">
      <c r="A790" s="34">
        <v>78167</v>
      </c>
      <c r="B790" s="34" t="s">
        <v>933</v>
      </c>
      <c r="C790" s="158">
        <v>165</v>
      </c>
      <c r="D790" s="34">
        <v>60</v>
      </c>
      <c r="E790" s="34" t="s">
        <v>1</v>
      </c>
      <c r="F790" s="34">
        <v>180</v>
      </c>
      <c r="G790" s="37" t="s">
        <v>0</v>
      </c>
      <c r="H790" s="37">
        <v>41.2</v>
      </c>
      <c r="I790" s="37">
        <v>412</v>
      </c>
      <c r="J790" s="37">
        <v>3.9769999999999999</v>
      </c>
      <c r="K790" s="38">
        <v>101</v>
      </c>
      <c r="L790" s="37">
        <v>6.5549999999999997</v>
      </c>
      <c r="M790" s="38">
        <v>166.5</v>
      </c>
      <c r="N790" s="37">
        <v>1.3049999999999999</v>
      </c>
      <c r="O790" s="39">
        <v>33.15</v>
      </c>
      <c r="P790" s="37">
        <v>9.8699999999999992</v>
      </c>
      <c r="Q790" s="37">
        <v>987</v>
      </c>
      <c r="R790" s="37">
        <v>407</v>
      </c>
      <c r="S790" s="37">
        <v>407000</v>
      </c>
      <c r="T790" s="37">
        <v>80.3</v>
      </c>
      <c r="U790" s="34">
        <f t="shared" si="14"/>
        <v>165</v>
      </c>
      <c r="V790" s="34">
        <f>VLOOKUP(U790,'Powder Core Toroid OD'!$A$2:$B$36,2,FALSE)</f>
        <v>165.1</v>
      </c>
    </row>
    <row r="791" spans="1:22">
      <c r="A791" s="34">
        <v>78165</v>
      </c>
      <c r="B791" s="34" t="s">
        <v>991</v>
      </c>
      <c r="C791" s="158">
        <v>165</v>
      </c>
      <c r="D791" s="34">
        <v>26</v>
      </c>
      <c r="E791" s="34" t="s">
        <v>1</v>
      </c>
      <c r="F791" s="34">
        <v>78</v>
      </c>
      <c r="G791" s="37" t="s">
        <v>0</v>
      </c>
      <c r="H791" s="37">
        <v>41.2</v>
      </c>
      <c r="I791" s="37">
        <v>412</v>
      </c>
      <c r="J791" s="37">
        <v>3.9769999999999999</v>
      </c>
      <c r="K791" s="38">
        <v>101</v>
      </c>
      <c r="L791" s="37">
        <v>6.5549999999999997</v>
      </c>
      <c r="M791" s="38">
        <v>166.5</v>
      </c>
      <c r="N791" s="37">
        <v>1.3049999999999999</v>
      </c>
      <c r="O791" s="39">
        <v>33.15</v>
      </c>
      <c r="P791" s="37">
        <v>9.8699999999999992</v>
      </c>
      <c r="Q791" s="37">
        <v>987</v>
      </c>
      <c r="R791" s="37">
        <v>407</v>
      </c>
      <c r="S791" s="37">
        <v>407000</v>
      </c>
      <c r="T791" s="37">
        <v>80.3</v>
      </c>
      <c r="U791" s="34">
        <f t="shared" si="14"/>
        <v>165</v>
      </c>
      <c r="V791" s="34">
        <f>VLOOKUP(U791,'Powder Core Toroid OD'!$A$2:$B$36,2,FALSE)</f>
        <v>165.1</v>
      </c>
    </row>
    <row r="792" spans="1:22">
      <c r="A792" s="34">
        <v>78099</v>
      </c>
      <c r="B792" s="34" t="s">
        <v>924</v>
      </c>
      <c r="C792" s="158">
        <v>102</v>
      </c>
      <c r="D792" s="34">
        <v>60</v>
      </c>
      <c r="E792" s="34" t="s">
        <v>1</v>
      </c>
      <c r="F792" s="34">
        <v>111</v>
      </c>
      <c r="G792" s="34" t="s">
        <v>0</v>
      </c>
      <c r="H792" s="34">
        <v>24.3</v>
      </c>
      <c r="I792" s="34">
        <v>243</v>
      </c>
      <c r="J792" s="34">
        <v>2.1949999999999998</v>
      </c>
      <c r="K792" s="34">
        <v>55.75</v>
      </c>
      <c r="L792" s="34">
        <v>4.0549999999999997</v>
      </c>
      <c r="M792" s="35">
        <v>103</v>
      </c>
      <c r="N792" s="34">
        <v>0.70499999999999996</v>
      </c>
      <c r="O792" s="34">
        <v>17.899999999999999</v>
      </c>
      <c r="P792" s="34">
        <v>3.58</v>
      </c>
      <c r="Q792" s="34">
        <v>358</v>
      </c>
      <c r="R792" s="34">
        <v>86.9</v>
      </c>
      <c r="S792" s="34">
        <v>86900</v>
      </c>
      <c r="T792" s="34">
        <v>24.7</v>
      </c>
      <c r="U792" s="34">
        <f t="shared" si="14"/>
        <v>102</v>
      </c>
      <c r="V792" s="34">
        <f>VLOOKUP(U792,'Powder Core Toroid OD'!$A$2:$B$36,2,FALSE)</f>
        <v>101.6</v>
      </c>
    </row>
    <row r="793" spans="1:22">
      <c r="A793" s="34">
        <v>78102</v>
      </c>
      <c r="B793" s="34" t="s">
        <v>989</v>
      </c>
      <c r="C793" s="158">
        <v>102</v>
      </c>
      <c r="D793" s="34">
        <v>26</v>
      </c>
      <c r="E793" s="34" t="s">
        <v>1</v>
      </c>
      <c r="F793" s="34">
        <v>48</v>
      </c>
      <c r="G793" s="34" t="s">
        <v>0</v>
      </c>
      <c r="H793" s="34">
        <v>24.3</v>
      </c>
      <c r="I793" s="34">
        <v>243</v>
      </c>
      <c r="J793" s="34">
        <v>2.1949999999999998</v>
      </c>
      <c r="K793" s="34">
        <v>55.75</v>
      </c>
      <c r="L793" s="34">
        <v>4.0549999999999997</v>
      </c>
      <c r="M793" s="35">
        <v>103</v>
      </c>
      <c r="N793" s="34">
        <v>0.70499999999999996</v>
      </c>
      <c r="O793" s="34">
        <v>17.899999999999999</v>
      </c>
      <c r="P793" s="34">
        <v>3.58</v>
      </c>
      <c r="Q793" s="34">
        <v>358</v>
      </c>
      <c r="R793" s="34">
        <v>86.9</v>
      </c>
      <c r="S793" s="34">
        <v>86900</v>
      </c>
      <c r="T793" s="34">
        <v>24.7</v>
      </c>
      <c r="U793" s="34">
        <f t="shared" si="14"/>
        <v>102</v>
      </c>
      <c r="V793" s="34">
        <f>VLOOKUP(U793,'Powder Core Toroid OD'!$A$2:$B$36,2,FALSE)</f>
        <v>101.6</v>
      </c>
    </row>
    <row r="794" spans="1:22">
      <c r="A794" s="34">
        <v>78339</v>
      </c>
      <c r="B794" s="34" t="s">
        <v>925</v>
      </c>
      <c r="C794" s="158">
        <v>337</v>
      </c>
      <c r="D794" s="34">
        <v>60</v>
      </c>
      <c r="E794" s="34" t="s">
        <v>1</v>
      </c>
      <c r="F794" s="34">
        <v>158</v>
      </c>
      <c r="G794" s="37" t="s">
        <v>0</v>
      </c>
      <c r="H794" s="37">
        <v>32.4</v>
      </c>
      <c r="I794" s="37">
        <v>324</v>
      </c>
      <c r="J794" s="37">
        <v>3.0390000000000001</v>
      </c>
      <c r="K794" s="37">
        <v>77.19</v>
      </c>
      <c r="L794" s="37">
        <v>5.274</v>
      </c>
      <c r="M794" s="38">
        <v>134</v>
      </c>
      <c r="N794" s="37">
        <v>1.0549999999999999</v>
      </c>
      <c r="O794" s="39">
        <v>26.8</v>
      </c>
      <c r="P794" s="37">
        <v>6.78</v>
      </c>
      <c r="Q794" s="37">
        <v>678</v>
      </c>
      <c r="R794" s="37">
        <v>220</v>
      </c>
      <c r="S794" s="37">
        <v>220000</v>
      </c>
      <c r="T794" s="37">
        <v>47.1</v>
      </c>
      <c r="U794" s="34">
        <f t="shared" si="14"/>
        <v>337</v>
      </c>
      <c r="V794" s="34">
        <f>VLOOKUP(U794,'Powder Core Toroid OD'!$A$2:$B$36,2,FALSE)</f>
        <v>132.6</v>
      </c>
    </row>
    <row r="795" spans="1:22" hidden="1">
      <c r="A795" s="34">
        <v>77070</v>
      </c>
      <c r="B795" s="34" t="s">
        <v>936</v>
      </c>
      <c r="C795" s="158" t="s">
        <v>935</v>
      </c>
      <c r="D795" s="34">
        <v>125</v>
      </c>
      <c r="E795" s="34" t="s">
        <v>298</v>
      </c>
      <c r="F795" s="34">
        <v>298</v>
      </c>
      <c r="G795" s="37" t="s">
        <v>0</v>
      </c>
      <c r="H795" s="34">
        <v>15.8</v>
      </c>
      <c r="I795" s="34">
        <v>158</v>
      </c>
      <c r="J795" s="34">
        <v>1.3660000000000001</v>
      </c>
      <c r="K795" s="34">
        <v>34.700000000000003</v>
      </c>
      <c r="L795" s="34">
        <v>2.7320000000000002</v>
      </c>
      <c r="M795" s="34">
        <v>69.400000000000006</v>
      </c>
      <c r="N795" s="34">
        <v>0.84299999999999997</v>
      </c>
      <c r="O795" s="34">
        <v>21.4</v>
      </c>
      <c r="P795" s="34">
        <v>3.14</v>
      </c>
      <c r="Q795" s="34">
        <v>314</v>
      </c>
      <c r="R795" s="34">
        <v>49.7</v>
      </c>
      <c r="S795" s="34">
        <v>49700</v>
      </c>
      <c r="T795" s="34">
        <v>9.4499999999999993</v>
      </c>
      <c r="U795" s="34">
        <f t="shared" si="14"/>
        <v>70</v>
      </c>
      <c r="V795" s="34" t="e">
        <f>VLOOKUP(U795,'Powder Core Toroid OD'!$A$2:$B$36,2,FALSE)</f>
        <v>#N/A</v>
      </c>
    </row>
    <row r="796" spans="1:22" hidden="1">
      <c r="A796" s="34">
        <v>77072</v>
      </c>
      <c r="B796" s="34" t="s">
        <v>937</v>
      </c>
      <c r="C796" s="158" t="s">
        <v>935</v>
      </c>
      <c r="D796" s="34">
        <v>60</v>
      </c>
      <c r="E796" s="34" t="s">
        <v>298</v>
      </c>
      <c r="F796" s="34">
        <v>143</v>
      </c>
      <c r="G796" s="37" t="s">
        <v>0</v>
      </c>
      <c r="H796" s="34">
        <v>15.8</v>
      </c>
      <c r="I796" s="34">
        <v>158</v>
      </c>
      <c r="J796" s="34">
        <v>1.3660000000000001</v>
      </c>
      <c r="K796" s="34">
        <v>34.700000000000003</v>
      </c>
      <c r="L796" s="34">
        <v>2.7320000000000002</v>
      </c>
      <c r="M796" s="34">
        <v>69.400000000000006</v>
      </c>
      <c r="N796" s="34">
        <v>0.84299999999999997</v>
      </c>
      <c r="O796" s="34">
        <v>21.4</v>
      </c>
      <c r="P796" s="34">
        <v>3.14</v>
      </c>
      <c r="Q796" s="34">
        <v>314</v>
      </c>
      <c r="R796" s="34">
        <v>49.7</v>
      </c>
      <c r="S796" s="34">
        <v>49700</v>
      </c>
      <c r="T796" s="34">
        <v>9.4499999999999993</v>
      </c>
      <c r="U796" s="34">
        <f t="shared" si="14"/>
        <v>70</v>
      </c>
      <c r="V796" s="34" t="e">
        <f>VLOOKUP(U796,'Powder Core Toroid OD'!$A$2:$B$36,2,FALSE)</f>
        <v>#N/A</v>
      </c>
    </row>
    <row r="797" spans="1:22" hidden="1">
      <c r="A797" s="34">
        <v>77073</v>
      </c>
      <c r="B797" s="34" t="s">
        <v>938</v>
      </c>
      <c r="C797" s="158" t="s">
        <v>935</v>
      </c>
      <c r="D797" s="34">
        <v>40</v>
      </c>
      <c r="E797" s="34" t="s">
        <v>298</v>
      </c>
      <c r="F797" s="34">
        <v>95</v>
      </c>
      <c r="G797" s="37" t="s">
        <v>0</v>
      </c>
      <c r="H797" s="34">
        <v>15.8</v>
      </c>
      <c r="I797" s="34">
        <v>158</v>
      </c>
      <c r="J797" s="34">
        <v>1.3660000000000001</v>
      </c>
      <c r="K797" s="34">
        <v>34.700000000000003</v>
      </c>
      <c r="L797" s="34">
        <v>2.7320000000000002</v>
      </c>
      <c r="M797" s="34">
        <v>69.400000000000006</v>
      </c>
      <c r="N797" s="34">
        <v>0.84299999999999997</v>
      </c>
      <c r="O797" s="34">
        <v>21.4</v>
      </c>
      <c r="P797" s="34">
        <v>3.14</v>
      </c>
      <c r="Q797" s="34">
        <v>314</v>
      </c>
      <c r="R797" s="34">
        <v>49.7</v>
      </c>
      <c r="S797" s="34">
        <v>49700</v>
      </c>
      <c r="T797" s="34">
        <v>9.4499999999999993</v>
      </c>
      <c r="U797" s="34">
        <f t="shared" si="14"/>
        <v>70</v>
      </c>
      <c r="V797" s="34" t="e">
        <f>VLOOKUP(U797,'Powder Core Toroid OD'!$A$2:$B$36,2,FALSE)</f>
        <v>#N/A</v>
      </c>
    </row>
    <row r="798" spans="1:22" hidden="1">
      <c r="A798" s="34">
        <v>77074</v>
      </c>
      <c r="B798" s="34" t="s">
        <v>939</v>
      </c>
      <c r="C798" s="158" t="s">
        <v>935</v>
      </c>
      <c r="D798" s="34">
        <v>26</v>
      </c>
      <c r="E798" s="34" t="s">
        <v>298</v>
      </c>
      <c r="F798" s="34">
        <v>62</v>
      </c>
      <c r="G798" s="37" t="s">
        <v>0</v>
      </c>
      <c r="H798" s="34">
        <v>15.8</v>
      </c>
      <c r="I798" s="34">
        <v>158</v>
      </c>
      <c r="J798" s="34">
        <v>1.3660000000000001</v>
      </c>
      <c r="K798" s="34">
        <v>34.700000000000003</v>
      </c>
      <c r="L798" s="34">
        <v>2.7320000000000002</v>
      </c>
      <c r="M798" s="34">
        <v>69.400000000000006</v>
      </c>
      <c r="N798" s="34">
        <v>0.84299999999999997</v>
      </c>
      <c r="O798" s="34">
        <v>21.4</v>
      </c>
      <c r="P798" s="34">
        <v>3.14</v>
      </c>
      <c r="Q798" s="34">
        <v>314</v>
      </c>
      <c r="R798" s="34">
        <v>49.7</v>
      </c>
      <c r="S798" s="34">
        <v>49700</v>
      </c>
      <c r="T798" s="34">
        <v>9.4499999999999993</v>
      </c>
      <c r="U798" s="34">
        <f t="shared" si="14"/>
        <v>70</v>
      </c>
      <c r="V798" s="34" t="e">
        <f>VLOOKUP(U798,'Powder Core Toroid OD'!$A$2:$B$36,2,FALSE)</f>
        <v>#N/A</v>
      </c>
    </row>
    <row r="799" spans="1:22" hidden="1">
      <c r="A799" s="34">
        <v>77075</v>
      </c>
      <c r="B799" s="34" t="s">
        <v>940</v>
      </c>
      <c r="C799" s="158" t="s">
        <v>935</v>
      </c>
      <c r="D799" s="34">
        <v>14</v>
      </c>
      <c r="E799" s="34" t="s">
        <v>298</v>
      </c>
      <c r="F799" s="34">
        <v>33</v>
      </c>
      <c r="G799" s="37" t="s">
        <v>0</v>
      </c>
      <c r="H799" s="34">
        <v>15.8</v>
      </c>
      <c r="I799" s="34">
        <v>158</v>
      </c>
      <c r="J799" s="34">
        <v>1.3660000000000001</v>
      </c>
      <c r="K799" s="34">
        <v>34.700000000000003</v>
      </c>
      <c r="L799" s="34">
        <v>2.7320000000000002</v>
      </c>
      <c r="M799" s="34">
        <v>69.400000000000006</v>
      </c>
      <c r="N799" s="34">
        <v>0.84299999999999997</v>
      </c>
      <c r="O799" s="34">
        <v>21.4</v>
      </c>
      <c r="P799" s="34">
        <v>3.14</v>
      </c>
      <c r="Q799" s="34">
        <v>314</v>
      </c>
      <c r="R799" s="34">
        <v>49.7</v>
      </c>
      <c r="S799" s="34">
        <v>49700</v>
      </c>
      <c r="T799" s="34">
        <v>9.4499999999999993</v>
      </c>
      <c r="U799" s="34">
        <f t="shared" si="14"/>
        <v>70</v>
      </c>
      <c r="V799" s="34" t="e">
        <f>VLOOKUP(U799,'Powder Core Toroid OD'!$A$2:$B$36,2,FALSE)</f>
        <v>#N/A</v>
      </c>
    </row>
    <row r="800" spans="1:22">
      <c r="A800" s="34">
        <v>78072</v>
      </c>
      <c r="B800" s="34" t="s">
        <v>934</v>
      </c>
      <c r="C800" s="158" t="s">
        <v>935</v>
      </c>
      <c r="D800" s="34">
        <v>60</v>
      </c>
      <c r="E800" s="34" t="s">
        <v>1</v>
      </c>
      <c r="F800" s="34">
        <v>143</v>
      </c>
      <c r="G800" s="37" t="s">
        <v>0</v>
      </c>
      <c r="H800" s="34">
        <v>15.8</v>
      </c>
      <c r="I800" s="34">
        <v>158</v>
      </c>
      <c r="J800" s="34">
        <v>1.3660000000000001</v>
      </c>
      <c r="K800" s="34">
        <v>34.700000000000003</v>
      </c>
      <c r="L800" s="34">
        <v>2.7320000000000002</v>
      </c>
      <c r="M800" s="34">
        <v>69.400000000000006</v>
      </c>
      <c r="N800" s="34">
        <v>0.84299999999999997</v>
      </c>
      <c r="O800" s="34">
        <v>21.4</v>
      </c>
      <c r="P800" s="34">
        <v>3.14</v>
      </c>
      <c r="Q800" s="34">
        <v>314</v>
      </c>
      <c r="R800" s="34">
        <v>49.7</v>
      </c>
      <c r="S800" s="34">
        <v>49700</v>
      </c>
      <c r="T800" s="34">
        <v>9.4499999999999993</v>
      </c>
      <c r="U800" s="34">
        <f t="shared" si="14"/>
        <v>70</v>
      </c>
      <c r="V800" s="34" t="e">
        <f>VLOOKUP(U800,'Powder Core Toroid OD'!$A$2:$B$36,2,FALSE)</f>
        <v>#N/A</v>
      </c>
    </row>
    <row r="801" spans="1:22">
      <c r="A801" s="34">
        <v>78052</v>
      </c>
      <c r="B801" s="34" t="s">
        <v>1365</v>
      </c>
      <c r="C801" s="166" t="s">
        <v>695</v>
      </c>
      <c r="D801" s="34">
        <v>26</v>
      </c>
      <c r="E801" s="34" t="s">
        <v>1</v>
      </c>
      <c r="F801" s="34">
        <v>12</v>
      </c>
      <c r="G801" s="37" t="s">
        <v>0</v>
      </c>
      <c r="H801" s="34">
        <v>3.12</v>
      </c>
      <c r="I801" s="34">
        <v>31.2</v>
      </c>
      <c r="J801" s="34">
        <v>0.27500000000000002</v>
      </c>
      <c r="K801" s="34">
        <v>6.98</v>
      </c>
      <c r="L801" s="41">
        <v>0.53</v>
      </c>
      <c r="M801" s="34">
        <v>13.5</v>
      </c>
      <c r="N801" s="34">
        <v>0.217</v>
      </c>
      <c r="O801" s="34">
        <v>5.52</v>
      </c>
      <c r="P801" s="34">
        <v>0.109</v>
      </c>
      <c r="Q801" s="34">
        <v>10.9</v>
      </c>
      <c r="R801" s="34">
        <v>0.34</v>
      </c>
      <c r="S801" s="34">
        <v>340</v>
      </c>
      <c r="T801" s="34">
        <v>0.38300000000000001</v>
      </c>
      <c r="U801" s="34">
        <f t="shared" si="14"/>
        <v>50</v>
      </c>
      <c r="V801" s="34">
        <f>VLOOKUP(U801,'Powder Core Toroid OD'!$A$2:$B$36,2,FALSE)</f>
        <v>12.7</v>
      </c>
    </row>
    <row r="802" spans="1:22">
      <c r="A802" s="34">
        <v>78122</v>
      </c>
      <c r="B802" s="34" t="s">
        <v>1366</v>
      </c>
      <c r="C802" s="158">
        <v>120</v>
      </c>
      <c r="D802" s="34">
        <v>26</v>
      </c>
      <c r="E802" s="34" t="s">
        <v>1</v>
      </c>
      <c r="F802" s="34">
        <v>15</v>
      </c>
      <c r="G802" s="37" t="s">
        <v>0</v>
      </c>
      <c r="H802" s="34">
        <v>4.12</v>
      </c>
      <c r="I802" s="34">
        <v>41.2</v>
      </c>
      <c r="J802" s="34">
        <v>0.375</v>
      </c>
      <c r="K802" s="34">
        <v>9.52</v>
      </c>
      <c r="L802" s="41">
        <v>0.68</v>
      </c>
      <c r="M802" s="34">
        <v>17.3</v>
      </c>
      <c r="N802" s="41">
        <v>0.28000000000000003</v>
      </c>
      <c r="O802" s="34">
        <v>7.12</v>
      </c>
      <c r="P802" s="34">
        <v>0.192</v>
      </c>
      <c r="Q802" s="34">
        <v>19.2</v>
      </c>
      <c r="R802" s="34">
        <v>0.79100000000000004</v>
      </c>
      <c r="S802" s="34">
        <v>791</v>
      </c>
      <c r="T802" s="34">
        <v>0.71199999999999997</v>
      </c>
      <c r="U802" s="34">
        <f t="shared" si="14"/>
        <v>120</v>
      </c>
      <c r="V802" s="34">
        <f>VLOOKUP(U802,'Powder Core Toroid OD'!$A$2:$B$36,2,FALSE)</f>
        <v>16.600000000000001</v>
      </c>
    </row>
    <row r="803" spans="1:22">
      <c r="A803" s="34">
        <v>78382</v>
      </c>
      <c r="B803" s="34" t="s">
        <v>1367</v>
      </c>
      <c r="C803" s="158" t="s">
        <v>1111</v>
      </c>
      <c r="D803" s="34">
        <v>26</v>
      </c>
      <c r="E803" s="34" t="s">
        <v>1</v>
      </c>
      <c r="F803" s="34">
        <v>19</v>
      </c>
      <c r="G803" s="37" t="s">
        <v>0</v>
      </c>
      <c r="H803" s="34">
        <v>4.1399999999999997</v>
      </c>
      <c r="I803" s="34">
        <v>41.4</v>
      </c>
      <c r="J803" s="34">
        <v>0.35499999999999998</v>
      </c>
      <c r="K803" s="34">
        <v>9.01</v>
      </c>
      <c r="L803" s="41">
        <v>0.71</v>
      </c>
      <c r="M803" s="34">
        <v>18.100000000000001</v>
      </c>
      <c r="N803" s="41">
        <v>0.28000000000000003</v>
      </c>
      <c r="O803" s="34">
        <v>7.12</v>
      </c>
      <c r="P803" s="34">
        <v>0.23200000000000001</v>
      </c>
      <c r="Q803" s="34">
        <v>23.200000000000003</v>
      </c>
      <c r="R803" s="41">
        <v>0.96</v>
      </c>
      <c r="S803" s="34">
        <v>960</v>
      </c>
      <c r="T803" s="34">
        <v>0.63800000000000001</v>
      </c>
      <c r="U803" s="34">
        <f t="shared" si="14"/>
        <v>380</v>
      </c>
      <c r="V803" s="34">
        <f>VLOOKUP(U803,'Powder Core Toroid OD'!$A$2:$B$36,2,FALSE)</f>
        <v>17.3</v>
      </c>
    </row>
    <row r="804" spans="1:22">
      <c r="A804" s="34">
        <v>78208</v>
      </c>
      <c r="B804" s="34" t="s">
        <v>1368</v>
      </c>
      <c r="C804" s="158">
        <v>206</v>
      </c>
      <c r="D804" s="34">
        <v>26</v>
      </c>
      <c r="E804" s="34" t="s">
        <v>1</v>
      </c>
      <c r="F804" s="34">
        <v>14</v>
      </c>
      <c r="G804" s="37" t="s">
        <v>0</v>
      </c>
      <c r="H804" s="34">
        <v>5.09</v>
      </c>
      <c r="I804" s="34">
        <v>50.9</v>
      </c>
      <c r="J804" s="34">
        <v>0.47500000000000003</v>
      </c>
      <c r="K804" s="35">
        <v>12</v>
      </c>
      <c r="L804" s="41">
        <v>0.83</v>
      </c>
      <c r="M804" s="34">
        <v>21.1</v>
      </c>
      <c r="N804" s="41">
        <v>0.28000000000000003</v>
      </c>
      <c r="O804" s="34">
        <v>7.12</v>
      </c>
      <c r="P804" s="34">
        <v>0.221</v>
      </c>
      <c r="Q804" s="34">
        <v>22.1</v>
      </c>
      <c r="R804" s="40">
        <v>1.1200000000000001</v>
      </c>
      <c r="S804" s="34">
        <v>1120</v>
      </c>
      <c r="T804" s="34">
        <v>1.1399999999999999</v>
      </c>
      <c r="U804" s="34">
        <f t="shared" si="14"/>
        <v>206</v>
      </c>
      <c r="V804" s="34">
        <f>VLOOKUP(U804,'Powder Core Toroid OD'!$A$2:$B$36,2,FALSE)</f>
        <v>20.3</v>
      </c>
    </row>
    <row r="805" spans="1:22">
      <c r="A805" s="34">
        <v>78312</v>
      </c>
      <c r="B805" s="34" t="s">
        <v>1369</v>
      </c>
      <c r="C805" s="158">
        <v>310</v>
      </c>
      <c r="D805" s="34">
        <v>26</v>
      </c>
      <c r="E805" s="34" t="s">
        <v>1</v>
      </c>
      <c r="F805" s="34">
        <v>19</v>
      </c>
      <c r="G805" s="37" t="s">
        <v>0</v>
      </c>
      <c r="H805" s="34">
        <v>5.67</v>
      </c>
      <c r="I805" s="34">
        <v>56.7</v>
      </c>
      <c r="J805" s="34">
        <v>0.52500000000000002</v>
      </c>
      <c r="K805" s="34">
        <v>13.3</v>
      </c>
      <c r="L805" s="41">
        <v>0.93</v>
      </c>
      <c r="M805" s="34">
        <v>23.7</v>
      </c>
      <c r="N805" s="41">
        <v>0.33</v>
      </c>
      <c r="O805" s="34">
        <v>8.39</v>
      </c>
      <c r="P805" s="34">
        <v>0.317</v>
      </c>
      <c r="Q805" s="34">
        <v>31.7</v>
      </c>
      <c r="R805" s="40">
        <v>1.8</v>
      </c>
      <c r="S805" s="34">
        <v>1800</v>
      </c>
      <c r="T805" s="34">
        <v>1.39</v>
      </c>
      <c r="U805" s="34">
        <f t="shared" si="14"/>
        <v>310</v>
      </c>
      <c r="V805" s="34">
        <f>VLOOKUP(U805,'Powder Core Toroid OD'!$A$2:$B$36,2,FALSE)</f>
        <v>22.9</v>
      </c>
    </row>
    <row r="806" spans="1:22">
      <c r="A806" s="34">
        <v>78352</v>
      </c>
      <c r="B806" s="34" t="s">
        <v>1370</v>
      </c>
      <c r="C806" s="158" t="s">
        <v>1115</v>
      </c>
      <c r="D806" s="34">
        <v>26</v>
      </c>
      <c r="E806" s="34" t="s">
        <v>1</v>
      </c>
      <c r="F806" s="34">
        <v>22</v>
      </c>
      <c r="G806" s="37" t="s">
        <v>0</v>
      </c>
      <c r="H806" s="34">
        <v>5.88</v>
      </c>
      <c r="I806" s="34">
        <v>58.8</v>
      </c>
      <c r="J806" s="34">
        <v>0.54200000000000004</v>
      </c>
      <c r="K806" s="34">
        <v>13.7</v>
      </c>
      <c r="L806" s="34">
        <v>0.95799999999999996</v>
      </c>
      <c r="M806" s="34">
        <v>24.4</v>
      </c>
      <c r="N806" s="41">
        <v>0.38</v>
      </c>
      <c r="O806" s="34">
        <v>9.66</v>
      </c>
      <c r="P806" s="34">
        <v>0.38800000000000001</v>
      </c>
      <c r="Q806" s="34">
        <v>38.800000000000004</v>
      </c>
      <c r="R806" s="40">
        <v>2.2814399999999999</v>
      </c>
      <c r="S806" s="34">
        <v>2280</v>
      </c>
      <c r="T806" s="34">
        <v>1.49</v>
      </c>
      <c r="U806" s="34">
        <f t="shared" si="14"/>
        <v>350</v>
      </c>
      <c r="V806" s="34">
        <f>VLOOKUP(U806,'Powder Core Toroid OD'!$A$2:$B$36,2,FALSE)</f>
        <v>23.6</v>
      </c>
    </row>
    <row r="807" spans="1:22">
      <c r="A807" s="34">
        <v>78932</v>
      </c>
      <c r="B807" s="34" t="s">
        <v>1371</v>
      </c>
      <c r="C807" s="158">
        <v>930</v>
      </c>
      <c r="D807" s="34">
        <v>26</v>
      </c>
      <c r="E807" s="34" t="s">
        <v>1</v>
      </c>
      <c r="F807" s="34">
        <v>32</v>
      </c>
      <c r="G807" s="37" t="s">
        <v>0</v>
      </c>
      <c r="H807" s="34">
        <v>6.35</v>
      </c>
      <c r="I807" s="34">
        <v>63.5</v>
      </c>
      <c r="J807" s="34">
        <v>0.55500000000000005</v>
      </c>
      <c r="K807" s="34">
        <v>14.1</v>
      </c>
      <c r="L807" s="41">
        <v>1.0900000000000001</v>
      </c>
      <c r="M807" s="34">
        <v>27.69</v>
      </c>
      <c r="N807" s="41">
        <v>0.47</v>
      </c>
      <c r="O807" s="35">
        <v>12</v>
      </c>
      <c r="P807" s="34">
        <v>0.65400000000000003</v>
      </c>
      <c r="Q807" s="34">
        <v>65.400000000000006</v>
      </c>
      <c r="R807" s="34">
        <v>4.1500000000000004</v>
      </c>
      <c r="S807" s="34">
        <v>4150</v>
      </c>
      <c r="T807" s="34">
        <v>1.56</v>
      </c>
      <c r="U807" s="34">
        <f t="shared" si="14"/>
        <v>930</v>
      </c>
      <c r="V807" s="34">
        <f>VLOOKUP(U807,'Powder Core Toroid OD'!$A$2:$B$36,2,FALSE)</f>
        <v>26.9</v>
      </c>
    </row>
    <row r="808" spans="1:22">
      <c r="A808" s="34">
        <v>78550</v>
      </c>
      <c r="B808" s="34" t="s">
        <v>1372</v>
      </c>
      <c r="C808" s="158">
        <v>548</v>
      </c>
      <c r="D808" s="34">
        <v>26</v>
      </c>
      <c r="E808" s="34" t="s">
        <v>1</v>
      </c>
      <c r="F808" s="34">
        <v>28</v>
      </c>
      <c r="G808" s="37" t="s">
        <v>0</v>
      </c>
      <c r="H808" s="34">
        <v>8.14</v>
      </c>
      <c r="I808" s="34">
        <v>81.400000000000006</v>
      </c>
      <c r="J808" s="34">
        <v>0.76600000000000001</v>
      </c>
      <c r="K808" s="34">
        <v>19.399999999999999</v>
      </c>
      <c r="L808" s="34">
        <v>1.325</v>
      </c>
      <c r="M808" s="34">
        <v>33.659999999999997</v>
      </c>
      <c r="N808" s="41">
        <v>0.45</v>
      </c>
      <c r="O808" s="34">
        <v>11.5</v>
      </c>
      <c r="P808" s="34">
        <v>0.65600000000000003</v>
      </c>
      <c r="Q808" s="34">
        <v>65.599999999999994</v>
      </c>
      <c r="R808" s="40">
        <v>5.34</v>
      </c>
      <c r="S808" s="34">
        <v>5340</v>
      </c>
      <c r="T808" s="34">
        <v>2.97</v>
      </c>
      <c r="U808" s="34">
        <f t="shared" si="14"/>
        <v>548</v>
      </c>
      <c r="V808" s="34">
        <f>VLOOKUP(U808,'Powder Core Toroid OD'!$A$2:$B$36,2,FALSE)</f>
        <v>32.799999999999997</v>
      </c>
    </row>
    <row r="809" spans="1:22">
      <c r="A809" s="34">
        <v>78587</v>
      </c>
      <c r="B809" s="34" t="s">
        <v>1373</v>
      </c>
      <c r="C809" s="158">
        <v>585</v>
      </c>
      <c r="D809" s="34">
        <v>26</v>
      </c>
      <c r="E809" s="34" t="s">
        <v>1</v>
      </c>
      <c r="F809" s="34">
        <v>16</v>
      </c>
      <c r="G809" s="37" t="s">
        <v>0</v>
      </c>
      <c r="H809" s="34">
        <v>8.9499999999999993</v>
      </c>
      <c r="I809" s="34">
        <v>89.5</v>
      </c>
      <c r="J809" s="34">
        <v>0.88800000000000001</v>
      </c>
      <c r="K809" s="34">
        <v>22.5</v>
      </c>
      <c r="L809" s="34">
        <v>1.385</v>
      </c>
      <c r="M809" s="34">
        <v>35.18</v>
      </c>
      <c r="N809" s="34">
        <v>0.38500000000000001</v>
      </c>
      <c r="O809" s="34">
        <v>9.7799999999999994</v>
      </c>
      <c r="P809" s="34">
        <v>0.46400000000000002</v>
      </c>
      <c r="Q809" s="34">
        <v>46.4</v>
      </c>
      <c r="R809" s="40">
        <v>4.1500000000000004</v>
      </c>
      <c r="S809" s="34">
        <v>4150</v>
      </c>
      <c r="T809" s="34">
        <v>3.99</v>
      </c>
      <c r="U809" s="34">
        <f t="shared" si="14"/>
        <v>585</v>
      </c>
      <c r="V809" s="34">
        <f>VLOOKUP(U809,'Powder Core Toroid OD'!$A$2:$B$36,2,FALSE)</f>
        <v>34.299999999999997</v>
      </c>
    </row>
    <row r="810" spans="1:22">
      <c r="A810" s="34">
        <v>78326</v>
      </c>
      <c r="B810" s="34" t="s">
        <v>1374</v>
      </c>
      <c r="C810" s="158">
        <v>324</v>
      </c>
      <c r="D810" s="34">
        <v>26</v>
      </c>
      <c r="E810" s="34" t="s">
        <v>1</v>
      </c>
      <c r="F810" s="34">
        <v>24</v>
      </c>
      <c r="G810" s="37" t="s">
        <v>0</v>
      </c>
      <c r="H810" s="34">
        <v>8.98</v>
      </c>
      <c r="I810" s="34">
        <v>89.800000000000011</v>
      </c>
      <c r="J810" s="34">
        <v>0.84799999999999998</v>
      </c>
      <c r="K810" s="34">
        <v>21.5</v>
      </c>
      <c r="L810" s="34">
        <v>1.4450000000000001</v>
      </c>
      <c r="M810" s="34">
        <v>36.71</v>
      </c>
      <c r="N810" s="34">
        <v>0.44700000000000001</v>
      </c>
      <c r="O810" s="34">
        <v>11.4</v>
      </c>
      <c r="P810" s="34">
        <v>0.67800000000000005</v>
      </c>
      <c r="Q810" s="34">
        <v>67.800000000000011</v>
      </c>
      <c r="R810" s="40">
        <v>6.09</v>
      </c>
      <c r="S810" s="34">
        <v>6090</v>
      </c>
      <c r="T810" s="34">
        <v>3.64</v>
      </c>
      <c r="U810" s="34">
        <f t="shared" si="14"/>
        <v>324</v>
      </c>
      <c r="V810" s="34">
        <f>VLOOKUP(U810,'Powder Core Toroid OD'!$A$2:$B$36,2,FALSE)</f>
        <v>35.799999999999997</v>
      </c>
    </row>
    <row r="811" spans="1:22">
      <c r="A811" s="34">
        <v>78256</v>
      </c>
      <c r="B811" s="34" t="s">
        <v>1375</v>
      </c>
      <c r="C811" s="158">
        <v>254</v>
      </c>
      <c r="D811" s="34">
        <v>26</v>
      </c>
      <c r="E811" s="34" t="s">
        <v>1</v>
      </c>
      <c r="F811" s="34">
        <v>35</v>
      </c>
      <c r="G811" s="37" t="s">
        <v>0</v>
      </c>
      <c r="H811" s="34">
        <v>9.84</v>
      </c>
      <c r="I811" s="34">
        <v>98.4</v>
      </c>
      <c r="J811" s="34">
        <v>0.91800000000000004</v>
      </c>
      <c r="K811" s="34">
        <v>23.3</v>
      </c>
      <c r="L811" s="34">
        <v>1.605</v>
      </c>
      <c r="M811" s="34">
        <v>40.770000000000003</v>
      </c>
      <c r="N811" s="34">
        <v>0.60499999999999998</v>
      </c>
      <c r="O811" s="34">
        <v>15.4</v>
      </c>
      <c r="P811" s="34">
        <v>1.07</v>
      </c>
      <c r="Q811" s="34">
        <v>107</v>
      </c>
      <c r="R811" s="35">
        <v>10.6</v>
      </c>
      <c r="S811" s="34">
        <v>10600</v>
      </c>
      <c r="T811" s="34">
        <v>4.2699999999999996</v>
      </c>
      <c r="U811" s="34">
        <f t="shared" si="14"/>
        <v>254</v>
      </c>
      <c r="V811" s="34">
        <f>VLOOKUP(U811,'Powder Core Toroid OD'!$A$2:$B$36,2,FALSE)</f>
        <v>39.9</v>
      </c>
    </row>
    <row r="812" spans="1:22">
      <c r="A812" s="34">
        <v>78440</v>
      </c>
      <c r="B812" s="34" t="s">
        <v>1376</v>
      </c>
      <c r="C812" s="158" t="s">
        <v>1121</v>
      </c>
      <c r="D812" s="34">
        <v>26</v>
      </c>
      <c r="E812" s="34" t="s">
        <v>1</v>
      </c>
      <c r="F812" s="34">
        <v>59</v>
      </c>
      <c r="G812" s="37" t="s">
        <v>0</v>
      </c>
      <c r="H812" s="34">
        <v>10.7</v>
      </c>
      <c r="I812" s="34">
        <v>107</v>
      </c>
      <c r="J812" s="34">
        <v>0.91800000000000004</v>
      </c>
      <c r="K812" s="34">
        <v>23.3</v>
      </c>
      <c r="L812" s="34">
        <v>1.875</v>
      </c>
      <c r="M812" s="34">
        <v>47.63</v>
      </c>
      <c r="N812" s="34">
        <v>0.745</v>
      </c>
      <c r="O812" s="35">
        <v>19</v>
      </c>
      <c r="P812" s="34">
        <v>1.99</v>
      </c>
      <c r="Q812" s="34">
        <v>199</v>
      </c>
      <c r="R812" s="34">
        <v>21.3</v>
      </c>
      <c r="S812" s="34">
        <v>21300</v>
      </c>
      <c r="T812" s="34">
        <v>4.2699999999999996</v>
      </c>
      <c r="U812" s="34">
        <f t="shared" si="14"/>
        <v>438</v>
      </c>
      <c r="V812" s="34">
        <f>VLOOKUP(U812,'Powder Core Toroid OD'!$A$2:$B$36,2,FALSE)</f>
        <v>46.7</v>
      </c>
    </row>
    <row r="813" spans="1:22">
      <c r="A813" s="34">
        <v>78091</v>
      </c>
      <c r="B813" s="34" t="s">
        <v>1377</v>
      </c>
      <c r="C813" s="158" t="s">
        <v>696</v>
      </c>
      <c r="D813" s="34">
        <v>26</v>
      </c>
      <c r="E813" s="34" t="s">
        <v>1</v>
      </c>
      <c r="F813" s="34">
        <v>37</v>
      </c>
      <c r="G813" s="37" t="s">
        <v>0</v>
      </c>
      <c r="H813" s="34">
        <v>11.6</v>
      </c>
      <c r="I813" s="34">
        <v>116</v>
      </c>
      <c r="J813" s="34">
        <v>1.0980000000000001</v>
      </c>
      <c r="K813" s="34">
        <v>27.88</v>
      </c>
      <c r="L813" s="34">
        <v>1.875</v>
      </c>
      <c r="M813" s="34">
        <v>47.63</v>
      </c>
      <c r="N813" s="34">
        <v>0.63500000000000001</v>
      </c>
      <c r="O813" s="34">
        <v>16.100000000000001</v>
      </c>
      <c r="P813" s="34">
        <v>1.34</v>
      </c>
      <c r="Q813" s="34">
        <v>134</v>
      </c>
      <c r="R813" s="34">
        <v>15.6</v>
      </c>
      <c r="S813" s="34">
        <v>15600</v>
      </c>
      <c r="T813" s="34">
        <v>6.1</v>
      </c>
      <c r="U813" s="34">
        <f t="shared" si="14"/>
        <v>89</v>
      </c>
      <c r="V813" s="34">
        <f>VLOOKUP(U813,'Powder Core Toroid OD'!$A$2:$B$36,2,FALSE)</f>
        <v>46.7</v>
      </c>
    </row>
    <row r="814" spans="1:22">
      <c r="A814" s="34">
        <v>78717</v>
      </c>
      <c r="B814" s="34" t="s">
        <v>1378</v>
      </c>
      <c r="C814" s="158" t="s">
        <v>1122</v>
      </c>
      <c r="D814" s="34">
        <v>26</v>
      </c>
      <c r="E814" s="34" t="s">
        <v>1</v>
      </c>
      <c r="F814" s="34">
        <v>32</v>
      </c>
      <c r="G814" s="37" t="s">
        <v>0</v>
      </c>
      <c r="H814" s="34">
        <v>12.7</v>
      </c>
      <c r="I814" s="34">
        <v>127</v>
      </c>
      <c r="J814" s="34">
        <v>1.218</v>
      </c>
      <c r="K814" s="34">
        <v>30.93</v>
      </c>
      <c r="L814" s="34">
        <v>2.0350000000000001</v>
      </c>
      <c r="M814" s="34">
        <v>51.69</v>
      </c>
      <c r="N814" s="34">
        <v>0.56500000000000006</v>
      </c>
      <c r="O814" s="34">
        <v>14.4</v>
      </c>
      <c r="P814" s="34">
        <v>1.25</v>
      </c>
      <c r="Q814" s="34">
        <v>125</v>
      </c>
      <c r="R814" s="34">
        <v>15.9</v>
      </c>
      <c r="S814" s="34">
        <v>15900</v>
      </c>
      <c r="T814" s="34">
        <v>7.51</v>
      </c>
      <c r="U814" s="34">
        <f t="shared" si="14"/>
        <v>715</v>
      </c>
      <c r="V814" s="34">
        <f>VLOOKUP(U814,'Powder Core Toroid OD'!$A$2:$B$36,2,FALSE)</f>
        <v>50.8</v>
      </c>
    </row>
    <row r="815" spans="1:22">
      <c r="A815" s="34">
        <v>78191</v>
      </c>
      <c r="B815" s="34" t="s">
        <v>1379</v>
      </c>
      <c r="C815" s="158" t="s">
        <v>1123</v>
      </c>
      <c r="D815" s="34">
        <v>26</v>
      </c>
      <c r="E815" s="34" t="s">
        <v>1</v>
      </c>
      <c r="F815" s="34">
        <v>60</v>
      </c>
      <c r="G815" s="37" t="s">
        <v>0</v>
      </c>
      <c r="H815" s="34">
        <v>12.5</v>
      </c>
      <c r="I815" s="34">
        <v>125</v>
      </c>
      <c r="J815" s="34">
        <v>1.0069999999999999</v>
      </c>
      <c r="K815" s="34">
        <v>25.57</v>
      </c>
      <c r="L815" s="34">
        <v>2.2850000000000001</v>
      </c>
      <c r="M815" s="34">
        <v>58.04</v>
      </c>
      <c r="N815" s="34">
        <v>0.63500000000000001</v>
      </c>
      <c r="O815" s="34">
        <v>16.2</v>
      </c>
      <c r="P815" s="34">
        <v>2.29</v>
      </c>
      <c r="Q815" s="34">
        <v>229</v>
      </c>
      <c r="R815" s="34">
        <v>28.6</v>
      </c>
      <c r="S815" s="34">
        <v>28600</v>
      </c>
      <c r="T815" s="34">
        <v>5.14</v>
      </c>
      <c r="U815" s="34">
        <f t="shared" si="14"/>
        <v>195</v>
      </c>
      <c r="V815" s="34">
        <f>VLOOKUP(U815,'Powder Core Toroid OD'!$A$2:$B$36,2,FALSE)</f>
        <v>57.2</v>
      </c>
    </row>
    <row r="816" spans="1:22">
      <c r="A816" s="34">
        <v>78111</v>
      </c>
      <c r="B816" s="34" t="s">
        <v>1380</v>
      </c>
      <c r="C816" s="158" t="s">
        <v>1124</v>
      </c>
      <c r="D816" s="34">
        <v>26</v>
      </c>
      <c r="E816" s="34" t="s">
        <v>1</v>
      </c>
      <c r="F816" s="34">
        <v>33</v>
      </c>
      <c r="G816" s="37" t="s">
        <v>0</v>
      </c>
      <c r="H816" s="34">
        <v>14.3</v>
      </c>
      <c r="I816" s="34">
        <v>143</v>
      </c>
      <c r="J816" s="34">
        <v>1.3680000000000001</v>
      </c>
      <c r="K816" s="34">
        <v>34.74</v>
      </c>
      <c r="L816" s="34">
        <v>2.2850000000000001</v>
      </c>
      <c r="M816" s="34">
        <v>58.04</v>
      </c>
      <c r="N816" s="34">
        <v>0.58499999999999996</v>
      </c>
      <c r="O816" s="34">
        <v>14.9</v>
      </c>
      <c r="P816" s="34">
        <v>1.44</v>
      </c>
      <c r="Q816" s="34">
        <v>144</v>
      </c>
      <c r="R816" s="34">
        <v>20.7</v>
      </c>
      <c r="S816" s="34">
        <v>20700</v>
      </c>
      <c r="T816" s="34">
        <v>9.48</v>
      </c>
      <c r="U816" s="34">
        <f t="shared" si="14"/>
        <v>109</v>
      </c>
      <c r="V816" s="34">
        <f>VLOOKUP(U816,'Powder Core Toroid OD'!$A$2:$B$36,2,FALSE)</f>
        <v>57.2</v>
      </c>
    </row>
    <row r="817" spans="1:22">
      <c r="A817" s="34">
        <v>78615</v>
      </c>
      <c r="B817" s="34" t="s">
        <v>1381</v>
      </c>
      <c r="C817" s="158">
        <v>620</v>
      </c>
      <c r="D817" s="34">
        <v>26</v>
      </c>
      <c r="E817" s="34" t="s">
        <v>1</v>
      </c>
      <c r="F817" s="34">
        <v>82</v>
      </c>
      <c r="G817" s="37" t="s">
        <v>0</v>
      </c>
      <c r="H817" s="34">
        <v>14.4</v>
      </c>
      <c r="I817" s="34">
        <v>144</v>
      </c>
      <c r="J817" s="34">
        <v>1.248</v>
      </c>
      <c r="K817" s="40">
        <v>31.69</v>
      </c>
      <c r="L817" s="34">
        <v>2.4769999999999999</v>
      </c>
      <c r="M817" s="40">
        <v>62.91</v>
      </c>
      <c r="N817" s="41">
        <v>1.02</v>
      </c>
      <c r="O817" s="40">
        <v>25.91</v>
      </c>
      <c r="P817" s="40">
        <v>3.6</v>
      </c>
      <c r="Q817" s="34">
        <v>360</v>
      </c>
      <c r="R817" s="34">
        <v>51.8</v>
      </c>
      <c r="S817" s="34">
        <v>51800</v>
      </c>
      <c r="T817" s="34">
        <v>7.89</v>
      </c>
      <c r="U817" s="34">
        <f t="shared" si="14"/>
        <v>620</v>
      </c>
      <c r="V817" s="34">
        <f>VLOOKUP(U817,'Powder Core Toroid OD'!$A$2:$B$36,2,FALSE)</f>
        <v>62</v>
      </c>
    </row>
    <row r="818" spans="1:22">
      <c r="A818" s="34">
        <v>78735</v>
      </c>
      <c r="B818" s="34" t="s">
        <v>1382</v>
      </c>
      <c r="C818" s="158" t="s">
        <v>1129</v>
      </c>
      <c r="D818" s="34">
        <v>26</v>
      </c>
      <c r="E818" s="34" t="s">
        <v>1</v>
      </c>
      <c r="F818" s="34">
        <v>88</v>
      </c>
      <c r="G818" s="37" t="s">
        <v>0</v>
      </c>
      <c r="H818" s="34">
        <v>18.399999999999999</v>
      </c>
      <c r="I818" s="34">
        <v>184</v>
      </c>
      <c r="J818" s="34">
        <v>1.748</v>
      </c>
      <c r="K818" s="40">
        <v>44.39</v>
      </c>
      <c r="L818" s="34">
        <v>2.9529999999999998</v>
      </c>
      <c r="M818" s="40">
        <v>75.010000000000005</v>
      </c>
      <c r="N818" s="41">
        <v>1.4139999999999999</v>
      </c>
      <c r="O818" s="40">
        <v>35.92</v>
      </c>
      <c r="P818" s="40">
        <v>4.97</v>
      </c>
      <c r="Q818" s="34">
        <v>497</v>
      </c>
      <c r="R818" s="34">
        <v>91.4</v>
      </c>
      <c r="S818" s="34">
        <v>91400</v>
      </c>
      <c r="T818" s="34">
        <v>15.5</v>
      </c>
      <c r="U818" s="34">
        <f t="shared" si="14"/>
        <v>740</v>
      </c>
      <c r="V818" s="34">
        <f>VLOOKUP(U818,'Powder Core Toroid OD'!$A$2:$B$36,2,FALSE)</f>
        <v>74.099999999999994</v>
      </c>
    </row>
    <row r="819" spans="1:22">
      <c r="A819" s="33">
        <v>75099</v>
      </c>
      <c r="B819" s="34" t="s">
        <v>1401</v>
      </c>
      <c r="C819" s="158">
        <v>102</v>
      </c>
      <c r="D819" s="34">
        <v>60</v>
      </c>
      <c r="E819" s="166" t="s">
        <v>1402</v>
      </c>
      <c r="F819" s="34">
        <v>111</v>
      </c>
      <c r="G819" s="34" t="s">
        <v>0</v>
      </c>
      <c r="H819" s="34">
        <v>24.3</v>
      </c>
      <c r="I819" s="34">
        <v>243</v>
      </c>
      <c r="J819" s="34">
        <v>2.1949999999999998</v>
      </c>
      <c r="K819" s="34">
        <v>55.75</v>
      </c>
      <c r="L819" s="34">
        <v>4.0549999999999997</v>
      </c>
      <c r="M819" s="35">
        <v>103</v>
      </c>
      <c r="N819" s="34">
        <v>0.70499999999999996</v>
      </c>
      <c r="O819" s="34">
        <v>17.899999999999999</v>
      </c>
      <c r="P819" s="34">
        <v>3.58</v>
      </c>
      <c r="Q819" s="34">
        <v>358</v>
      </c>
      <c r="R819" s="34">
        <v>86.9</v>
      </c>
      <c r="S819" s="34">
        <v>86900</v>
      </c>
      <c r="T819" s="34">
        <v>24.7</v>
      </c>
      <c r="U819" s="34">
        <v>102</v>
      </c>
      <c r="V819" s="34">
        <v>101.6</v>
      </c>
    </row>
    <row r="820" spans="1:22">
      <c r="A820" s="33">
        <v>75100</v>
      </c>
      <c r="B820" s="34" t="s">
        <v>1403</v>
      </c>
      <c r="C820" s="158">
        <v>102</v>
      </c>
      <c r="D820" s="34">
        <v>40</v>
      </c>
      <c r="E820" s="166" t="s">
        <v>1402</v>
      </c>
      <c r="F820" s="34">
        <v>74</v>
      </c>
      <c r="G820" s="34" t="s">
        <v>0</v>
      </c>
      <c r="H820" s="34">
        <v>24.3</v>
      </c>
      <c r="I820" s="34">
        <v>243</v>
      </c>
      <c r="J820" s="34">
        <v>2.1949999999999998</v>
      </c>
      <c r="K820" s="34">
        <v>55.75</v>
      </c>
      <c r="L820" s="34">
        <v>4.0549999999999997</v>
      </c>
      <c r="M820" s="35">
        <v>103</v>
      </c>
      <c r="N820" s="34">
        <v>0.70499999999999996</v>
      </c>
      <c r="O820" s="34">
        <v>17.899999999999999</v>
      </c>
      <c r="P820" s="34">
        <v>3.58</v>
      </c>
      <c r="Q820" s="34">
        <v>358</v>
      </c>
      <c r="R820" s="34">
        <v>86.9</v>
      </c>
      <c r="S820" s="34">
        <v>86900</v>
      </c>
      <c r="T820" s="34">
        <v>24.7</v>
      </c>
      <c r="U820" s="34">
        <v>102</v>
      </c>
      <c r="V820" s="34">
        <v>101.6</v>
      </c>
    </row>
    <row r="821" spans="1:22">
      <c r="A821" s="33">
        <v>75102</v>
      </c>
      <c r="B821" s="34" t="s">
        <v>1404</v>
      </c>
      <c r="C821" s="158">
        <v>102</v>
      </c>
      <c r="D821" s="34">
        <v>26</v>
      </c>
      <c r="E821" s="166" t="s">
        <v>1402</v>
      </c>
      <c r="F821" s="34">
        <v>48</v>
      </c>
      <c r="G821" s="34" t="s">
        <v>0</v>
      </c>
      <c r="H821" s="34">
        <v>24.3</v>
      </c>
      <c r="I821" s="34">
        <v>243</v>
      </c>
      <c r="J821" s="34">
        <v>2.1949999999999998</v>
      </c>
      <c r="K821" s="34">
        <v>55.75</v>
      </c>
      <c r="L821" s="34">
        <v>4.0549999999999997</v>
      </c>
      <c r="M821" s="35">
        <v>103</v>
      </c>
      <c r="N821" s="34">
        <v>0.70499999999999996</v>
      </c>
      <c r="O821" s="34">
        <v>17.899999999999999</v>
      </c>
      <c r="P821" s="34">
        <v>3.58</v>
      </c>
      <c r="Q821" s="34">
        <v>358</v>
      </c>
      <c r="R821" s="34">
        <v>86.9</v>
      </c>
      <c r="S821" s="34">
        <v>86900</v>
      </c>
      <c r="T821" s="34">
        <v>24.7</v>
      </c>
      <c r="U821" s="34">
        <v>102</v>
      </c>
      <c r="V821" s="34">
        <v>101.6</v>
      </c>
    </row>
    <row r="822" spans="1:22">
      <c r="A822" s="36">
        <v>75165</v>
      </c>
      <c r="B822" s="37" t="s">
        <v>1405</v>
      </c>
      <c r="C822" s="159">
        <v>165</v>
      </c>
      <c r="D822" s="37">
        <v>26</v>
      </c>
      <c r="E822" s="166" t="s">
        <v>1402</v>
      </c>
      <c r="F822" s="37">
        <v>78</v>
      </c>
      <c r="G822" s="37" t="s">
        <v>0</v>
      </c>
      <c r="H822" s="37">
        <v>41.2</v>
      </c>
      <c r="I822" s="37">
        <v>412</v>
      </c>
      <c r="J822" s="37">
        <v>3.9769999999999999</v>
      </c>
      <c r="K822" s="38">
        <v>101</v>
      </c>
      <c r="L822" s="37">
        <v>6.5549999999999997</v>
      </c>
      <c r="M822" s="38">
        <v>166.5</v>
      </c>
      <c r="N822" s="37">
        <v>1.3049999999999999</v>
      </c>
      <c r="O822" s="39">
        <v>33.15</v>
      </c>
      <c r="P822" s="37">
        <v>9.8699999999999992</v>
      </c>
      <c r="Q822" s="37">
        <v>987</v>
      </c>
      <c r="R822" s="37">
        <v>407</v>
      </c>
      <c r="S822" s="37">
        <v>407000</v>
      </c>
      <c r="T822" s="37">
        <v>80.3</v>
      </c>
      <c r="U822" s="34">
        <v>165</v>
      </c>
      <c r="V822" s="34">
        <v>165.1</v>
      </c>
    </row>
    <row r="823" spans="1:22">
      <c r="A823" s="36">
        <v>75337</v>
      </c>
      <c r="B823" s="37" t="s">
        <v>1406</v>
      </c>
      <c r="C823" s="159">
        <v>337</v>
      </c>
      <c r="D823" s="37">
        <v>26</v>
      </c>
      <c r="E823" s="166" t="s">
        <v>1402</v>
      </c>
      <c r="F823" s="37">
        <v>68</v>
      </c>
      <c r="G823" s="37" t="s">
        <v>0</v>
      </c>
      <c r="H823" s="37">
        <v>32.4</v>
      </c>
      <c r="I823" s="37">
        <v>324</v>
      </c>
      <c r="J823" s="37">
        <v>3.0390000000000001</v>
      </c>
      <c r="K823" s="37">
        <v>77.19</v>
      </c>
      <c r="L823" s="37">
        <v>5.274</v>
      </c>
      <c r="M823" s="38">
        <v>134</v>
      </c>
      <c r="N823" s="37">
        <v>1.0549999999999999</v>
      </c>
      <c r="O823" s="39">
        <v>26.8</v>
      </c>
      <c r="P823" s="37">
        <v>6.78</v>
      </c>
      <c r="Q823" s="37">
        <v>678</v>
      </c>
      <c r="R823" s="37">
        <v>220</v>
      </c>
      <c r="S823" s="37">
        <v>220000</v>
      </c>
      <c r="T823" s="37">
        <v>47.1</v>
      </c>
      <c r="U823" s="34">
        <v>337</v>
      </c>
      <c r="V823" s="34">
        <v>132.6</v>
      </c>
    </row>
    <row r="824" spans="1:22">
      <c r="A824" s="33">
        <v>75615</v>
      </c>
      <c r="B824" s="34" t="s">
        <v>1407</v>
      </c>
      <c r="C824" s="158">
        <v>620</v>
      </c>
      <c r="D824" s="34">
        <v>26</v>
      </c>
      <c r="E824" s="166" t="s">
        <v>1402</v>
      </c>
      <c r="F824" s="34">
        <v>82</v>
      </c>
      <c r="G824" s="34" t="s">
        <v>0</v>
      </c>
      <c r="H824" s="34">
        <v>14.4</v>
      </c>
      <c r="I824" s="34">
        <v>144</v>
      </c>
      <c r="J824" s="34">
        <v>1.248</v>
      </c>
      <c r="K824" s="40">
        <v>31.69</v>
      </c>
      <c r="L824" s="34">
        <v>2.4769999999999999</v>
      </c>
      <c r="M824" s="40">
        <v>62.91</v>
      </c>
      <c r="N824" s="41">
        <v>1.02</v>
      </c>
      <c r="O824" s="40">
        <v>25.91</v>
      </c>
      <c r="P824" s="40">
        <v>3.6</v>
      </c>
      <c r="Q824" s="34">
        <v>360</v>
      </c>
      <c r="R824" s="34">
        <v>51.8</v>
      </c>
      <c r="S824" s="34">
        <v>51800</v>
      </c>
      <c r="T824" s="34">
        <v>7.89</v>
      </c>
      <c r="U824" s="34">
        <v>620</v>
      </c>
      <c r="V824" s="34">
        <v>62</v>
      </c>
    </row>
    <row r="825" spans="1:22">
      <c r="A825" s="33">
        <v>75616</v>
      </c>
      <c r="B825" s="34" t="s">
        <v>1408</v>
      </c>
      <c r="C825" s="158">
        <v>620</v>
      </c>
      <c r="D825" s="34">
        <v>40</v>
      </c>
      <c r="E825" s="166" t="s">
        <v>1402</v>
      </c>
      <c r="F825" s="34">
        <v>126</v>
      </c>
      <c r="G825" s="34" t="s">
        <v>0</v>
      </c>
      <c r="H825" s="34">
        <v>14.4</v>
      </c>
      <c r="I825" s="34">
        <v>144</v>
      </c>
      <c r="J825" s="34">
        <v>1.248</v>
      </c>
      <c r="K825" s="40">
        <v>31.69</v>
      </c>
      <c r="L825" s="34">
        <v>2.4769999999999999</v>
      </c>
      <c r="M825" s="40">
        <v>62.91</v>
      </c>
      <c r="N825" s="41">
        <v>1.02</v>
      </c>
      <c r="O825" s="40">
        <v>25.91</v>
      </c>
      <c r="P825" s="40">
        <v>3.6</v>
      </c>
      <c r="Q825" s="34">
        <v>360</v>
      </c>
      <c r="R825" s="34">
        <v>51.8</v>
      </c>
      <c r="S825" s="34">
        <v>51800</v>
      </c>
      <c r="T825" s="34">
        <v>7.89</v>
      </c>
      <c r="U825" s="34">
        <v>620</v>
      </c>
      <c r="V825" s="34">
        <v>62</v>
      </c>
    </row>
    <row r="826" spans="1:22">
      <c r="A826" s="33">
        <v>75617</v>
      </c>
      <c r="B826" s="34" t="s">
        <v>1409</v>
      </c>
      <c r="C826" s="158">
        <v>620</v>
      </c>
      <c r="D826" s="34">
        <v>60</v>
      </c>
      <c r="E826" s="166" t="s">
        <v>1402</v>
      </c>
      <c r="F826" s="34">
        <v>189</v>
      </c>
      <c r="G826" s="34" t="s">
        <v>0</v>
      </c>
      <c r="H826" s="34">
        <v>14.4</v>
      </c>
      <c r="I826" s="34">
        <v>144</v>
      </c>
      <c r="J826" s="34">
        <v>1.248</v>
      </c>
      <c r="K826" s="40">
        <v>31.69</v>
      </c>
      <c r="L826" s="34">
        <v>2.4769999999999999</v>
      </c>
      <c r="M826" s="40">
        <v>62.91</v>
      </c>
      <c r="N826" s="41">
        <v>1.02</v>
      </c>
      <c r="O826" s="40">
        <v>25.91</v>
      </c>
      <c r="P826" s="40">
        <v>3.6</v>
      </c>
      <c r="Q826" s="34">
        <v>360</v>
      </c>
      <c r="R826" s="34">
        <v>51.8</v>
      </c>
      <c r="S826" s="34">
        <v>51800</v>
      </c>
      <c r="T826" s="34">
        <v>7.89</v>
      </c>
      <c r="U826" s="34">
        <v>620</v>
      </c>
      <c r="V826" s="34">
        <v>62</v>
      </c>
    </row>
    <row r="827" spans="1:22">
      <c r="A827" s="33">
        <v>75735</v>
      </c>
      <c r="B827" s="34" t="s">
        <v>1410</v>
      </c>
      <c r="C827" s="158">
        <v>740</v>
      </c>
      <c r="D827" s="34">
        <v>26</v>
      </c>
      <c r="E827" s="166" t="s">
        <v>1402</v>
      </c>
      <c r="F827" s="34">
        <v>88</v>
      </c>
      <c r="G827" s="34" t="s">
        <v>0</v>
      </c>
      <c r="H827" s="34">
        <v>18.399999999999999</v>
      </c>
      <c r="I827" s="34">
        <v>184</v>
      </c>
      <c r="J827" s="34">
        <v>1.748</v>
      </c>
      <c r="K827" s="40">
        <v>44.39</v>
      </c>
      <c r="L827" s="34">
        <v>2.9529999999999998</v>
      </c>
      <c r="M827" s="40">
        <v>75.010000000000005</v>
      </c>
      <c r="N827" s="41">
        <v>1.4139999999999999</v>
      </c>
      <c r="O827" s="40">
        <v>35.92</v>
      </c>
      <c r="P827" s="40">
        <v>4.97</v>
      </c>
      <c r="Q827" s="34">
        <v>497</v>
      </c>
      <c r="R827" s="34">
        <v>91.4</v>
      </c>
      <c r="S827" s="34">
        <v>91400</v>
      </c>
      <c r="T827" s="34">
        <v>15.5</v>
      </c>
      <c r="U827" s="34">
        <v>740</v>
      </c>
      <c r="V827" s="34">
        <v>74.099999999999994</v>
      </c>
    </row>
    <row r="828" spans="1:22">
      <c r="A828" s="33">
        <v>75736</v>
      </c>
      <c r="B828" s="34" t="s">
        <v>1411</v>
      </c>
      <c r="C828" s="158">
        <v>740</v>
      </c>
      <c r="D828" s="34">
        <v>40</v>
      </c>
      <c r="E828" s="166" t="s">
        <v>1402</v>
      </c>
      <c r="F828" s="34">
        <v>136</v>
      </c>
      <c r="G828" s="34" t="s">
        <v>0</v>
      </c>
      <c r="H828" s="34">
        <v>18.399999999999999</v>
      </c>
      <c r="I828" s="34">
        <v>184</v>
      </c>
      <c r="J828" s="34">
        <v>1.748</v>
      </c>
      <c r="K828" s="40">
        <v>44.39</v>
      </c>
      <c r="L828" s="34">
        <v>2.9529999999999998</v>
      </c>
      <c r="M828" s="40">
        <v>75.010000000000005</v>
      </c>
      <c r="N828" s="41">
        <v>1.4139999999999999</v>
      </c>
      <c r="O828" s="40">
        <v>35.92</v>
      </c>
      <c r="P828" s="40">
        <v>4.97</v>
      </c>
      <c r="Q828" s="34">
        <v>497</v>
      </c>
      <c r="R828" s="34">
        <v>91.4</v>
      </c>
      <c r="S828" s="34">
        <v>91400</v>
      </c>
      <c r="T828" s="34">
        <v>15.5</v>
      </c>
      <c r="U828" s="34">
        <v>740</v>
      </c>
      <c r="V828" s="34">
        <v>74.099999999999994</v>
      </c>
    </row>
    <row r="829" spans="1:22">
      <c r="A829" s="33">
        <v>75737</v>
      </c>
      <c r="B829" s="34" t="s">
        <v>1412</v>
      </c>
      <c r="C829" s="158">
        <v>740</v>
      </c>
      <c r="D829" s="34">
        <v>60</v>
      </c>
      <c r="E829" s="166" t="s">
        <v>1402</v>
      </c>
      <c r="F829" s="34">
        <v>204</v>
      </c>
      <c r="G829" s="34" t="s">
        <v>0</v>
      </c>
      <c r="H829" s="34">
        <v>18.399999999999999</v>
      </c>
      <c r="I829" s="34">
        <v>184</v>
      </c>
      <c r="J829" s="34">
        <v>1.748</v>
      </c>
      <c r="K829" s="40">
        <v>44.39</v>
      </c>
      <c r="L829" s="34">
        <v>2.9529999999999998</v>
      </c>
      <c r="M829" s="40">
        <v>75.010000000000005</v>
      </c>
      <c r="N829" s="41">
        <v>1.4139999999999999</v>
      </c>
      <c r="O829" s="40">
        <v>35.92</v>
      </c>
      <c r="P829" s="40">
        <v>4.97</v>
      </c>
      <c r="Q829" s="34">
        <v>497</v>
      </c>
      <c r="R829" s="34">
        <v>91.4</v>
      </c>
      <c r="S829" s="34">
        <v>91400</v>
      </c>
      <c r="T829" s="34">
        <v>15.5</v>
      </c>
      <c r="U829" s="34">
        <v>740</v>
      </c>
      <c r="V829" s="34">
        <v>74.099999999999994</v>
      </c>
    </row>
    <row r="830" spans="1:22">
      <c r="A830" s="42">
        <v>75059</v>
      </c>
      <c r="B830" s="34" t="s">
        <v>1413</v>
      </c>
      <c r="C830" s="158">
        <v>310</v>
      </c>
      <c r="D830" s="34">
        <v>60</v>
      </c>
      <c r="E830" s="166" t="s">
        <v>1402</v>
      </c>
      <c r="F830" s="34">
        <v>43</v>
      </c>
      <c r="G830" s="34" t="s">
        <v>0</v>
      </c>
      <c r="H830" s="34">
        <v>5.67</v>
      </c>
      <c r="I830" s="34">
        <v>56.7</v>
      </c>
      <c r="J830" s="34">
        <v>0.52500000000000002</v>
      </c>
      <c r="K830" s="34">
        <v>13.3</v>
      </c>
      <c r="L830" s="41">
        <v>0.93</v>
      </c>
      <c r="M830" s="34">
        <v>23.7</v>
      </c>
      <c r="N830" s="41">
        <v>0.33</v>
      </c>
      <c r="O830" s="34">
        <v>8.39</v>
      </c>
      <c r="P830" s="34">
        <v>0.317</v>
      </c>
      <c r="Q830" s="34">
        <v>31.7</v>
      </c>
      <c r="R830" s="40">
        <v>1.8</v>
      </c>
      <c r="S830" s="34">
        <v>1800</v>
      </c>
      <c r="T830" s="34">
        <v>1.39</v>
      </c>
      <c r="U830" s="34">
        <v>310</v>
      </c>
      <c r="V830" s="34">
        <v>22.9</v>
      </c>
    </row>
    <row r="831" spans="1:22">
      <c r="A831" s="42">
        <v>75071</v>
      </c>
      <c r="B831" s="34" t="s">
        <v>1414</v>
      </c>
      <c r="C831" s="158">
        <v>548</v>
      </c>
      <c r="D831" s="34">
        <v>60</v>
      </c>
      <c r="E831" s="166" t="s">
        <v>1402</v>
      </c>
      <c r="F831" s="34">
        <v>61</v>
      </c>
      <c r="G831" s="34" t="s">
        <v>0</v>
      </c>
      <c r="H831" s="34">
        <v>8.14</v>
      </c>
      <c r="I831" s="34">
        <v>81.400000000000006</v>
      </c>
      <c r="J831" s="34">
        <v>0.76600000000000001</v>
      </c>
      <c r="K831" s="34">
        <v>19.399999999999999</v>
      </c>
      <c r="L831" s="34">
        <v>1.325</v>
      </c>
      <c r="M831" s="34">
        <v>33.659999999999997</v>
      </c>
      <c r="N831" s="41">
        <v>0.45</v>
      </c>
      <c r="O831" s="34">
        <v>11.5</v>
      </c>
      <c r="P831" s="34">
        <v>0.65600000000000003</v>
      </c>
      <c r="Q831" s="34">
        <v>65.599999999999994</v>
      </c>
      <c r="R831" s="40">
        <v>5.34</v>
      </c>
      <c r="S831" s="34">
        <v>5340</v>
      </c>
      <c r="T831" s="34">
        <v>2.97</v>
      </c>
      <c r="U831" s="34">
        <v>548</v>
      </c>
      <c r="V831" s="34">
        <v>32.799999999999997</v>
      </c>
    </row>
    <row r="832" spans="1:22">
      <c r="A832" s="42">
        <v>75076</v>
      </c>
      <c r="B832" s="34" t="s">
        <v>1415</v>
      </c>
      <c r="C832" s="158">
        <v>324</v>
      </c>
      <c r="D832" s="34">
        <v>60</v>
      </c>
      <c r="E832" s="166" t="s">
        <v>1402</v>
      </c>
      <c r="F832" s="34">
        <v>56</v>
      </c>
      <c r="G832" s="34" t="s">
        <v>0</v>
      </c>
      <c r="H832" s="34">
        <v>8.98</v>
      </c>
      <c r="I832" s="34">
        <v>89.800000000000011</v>
      </c>
      <c r="J832" s="34">
        <v>0.84799999999999998</v>
      </c>
      <c r="K832" s="34">
        <v>21.5</v>
      </c>
      <c r="L832" s="34">
        <v>1.4450000000000001</v>
      </c>
      <c r="M832" s="34">
        <v>36.71</v>
      </c>
      <c r="N832" s="34">
        <v>0.44700000000000001</v>
      </c>
      <c r="O832" s="34">
        <v>11.4</v>
      </c>
      <c r="P832" s="34">
        <v>0.67800000000000005</v>
      </c>
      <c r="Q832" s="34">
        <v>67.800000000000011</v>
      </c>
      <c r="R832" s="40">
        <v>6.09</v>
      </c>
      <c r="S832" s="34">
        <v>6090</v>
      </c>
      <c r="T832" s="34">
        <v>3.64</v>
      </c>
      <c r="U832" s="34">
        <v>324</v>
      </c>
      <c r="V832" s="34">
        <v>35.799999999999997</v>
      </c>
    </row>
    <row r="833" spans="1:22">
      <c r="A833" s="42">
        <v>75083</v>
      </c>
      <c r="B833" s="34" t="s">
        <v>1416</v>
      </c>
      <c r="C833" s="158">
        <v>254</v>
      </c>
      <c r="D833" s="34">
        <v>60</v>
      </c>
      <c r="E833" s="166" t="s">
        <v>1402</v>
      </c>
      <c r="F833" s="34">
        <v>81</v>
      </c>
      <c r="G833" s="34" t="s">
        <v>0</v>
      </c>
      <c r="H833" s="34">
        <v>9.84</v>
      </c>
      <c r="I833" s="34">
        <v>98.4</v>
      </c>
      <c r="J833" s="34">
        <v>0.91800000000000004</v>
      </c>
      <c r="K833" s="34">
        <v>23.3</v>
      </c>
      <c r="L833" s="34">
        <v>1.605</v>
      </c>
      <c r="M833" s="34">
        <v>40.770000000000003</v>
      </c>
      <c r="N833" s="34">
        <v>0.60499999999999998</v>
      </c>
      <c r="O833" s="34">
        <v>15.4</v>
      </c>
      <c r="P833" s="34">
        <v>1.07</v>
      </c>
      <c r="Q833" s="34">
        <v>107</v>
      </c>
      <c r="R833" s="35">
        <v>10.6</v>
      </c>
      <c r="S833" s="34">
        <v>10600</v>
      </c>
      <c r="T833" s="34">
        <v>4.2699999999999996</v>
      </c>
      <c r="U833" s="34">
        <v>254</v>
      </c>
      <c r="V833" s="34">
        <v>39.9</v>
      </c>
    </row>
    <row r="834" spans="1:22">
      <c r="A834" s="42">
        <v>75090</v>
      </c>
      <c r="B834" s="34" t="s">
        <v>1417</v>
      </c>
      <c r="C834" s="158" t="s">
        <v>696</v>
      </c>
      <c r="D834" s="34">
        <v>60</v>
      </c>
      <c r="E834" s="166" t="s">
        <v>1402</v>
      </c>
      <c r="F834" s="34">
        <v>86</v>
      </c>
      <c r="G834" s="34" t="s">
        <v>0</v>
      </c>
      <c r="H834" s="34">
        <v>11.6</v>
      </c>
      <c r="I834" s="34">
        <v>116</v>
      </c>
      <c r="J834" s="34">
        <v>1.0980000000000001</v>
      </c>
      <c r="K834" s="34">
        <v>27.88</v>
      </c>
      <c r="L834" s="34">
        <v>1.875</v>
      </c>
      <c r="M834" s="34">
        <v>47.63</v>
      </c>
      <c r="N834" s="34">
        <v>0.63500000000000001</v>
      </c>
      <c r="O834" s="34">
        <v>16.100000000000001</v>
      </c>
      <c r="P834" s="34">
        <v>1.34</v>
      </c>
      <c r="Q834" s="34">
        <v>134</v>
      </c>
      <c r="R834" s="34">
        <v>15.6</v>
      </c>
      <c r="S834" s="34">
        <v>15600</v>
      </c>
      <c r="T834" s="34">
        <v>6.1</v>
      </c>
      <c r="U834" s="34">
        <v>89</v>
      </c>
      <c r="V834" s="34">
        <v>46.7</v>
      </c>
    </row>
    <row r="835" spans="1:22">
      <c r="A835" s="42">
        <v>75091</v>
      </c>
      <c r="B835" s="34" t="s">
        <v>1418</v>
      </c>
      <c r="C835" s="158" t="s">
        <v>696</v>
      </c>
      <c r="D835" s="34">
        <v>26</v>
      </c>
      <c r="E835" s="166" t="s">
        <v>1402</v>
      </c>
      <c r="F835" s="34">
        <v>37</v>
      </c>
      <c r="G835" s="34" t="s">
        <v>0</v>
      </c>
      <c r="H835" s="34">
        <v>11.6</v>
      </c>
      <c r="I835" s="34">
        <v>116</v>
      </c>
      <c r="J835" s="34">
        <v>1.0980000000000001</v>
      </c>
      <c r="K835" s="34">
        <v>27.88</v>
      </c>
      <c r="L835" s="34">
        <v>1.875</v>
      </c>
      <c r="M835" s="34">
        <v>47.63</v>
      </c>
      <c r="N835" s="34">
        <v>0.63500000000000001</v>
      </c>
      <c r="O835" s="34">
        <v>16.100000000000001</v>
      </c>
      <c r="P835" s="34">
        <v>1.34</v>
      </c>
      <c r="Q835" s="34">
        <v>134</v>
      </c>
      <c r="R835" s="34">
        <v>15.6</v>
      </c>
      <c r="S835" s="34">
        <v>15600</v>
      </c>
      <c r="T835" s="34">
        <v>6.1</v>
      </c>
      <c r="U835" s="34">
        <v>89</v>
      </c>
      <c r="V835" s="34">
        <v>46.7</v>
      </c>
    </row>
    <row r="836" spans="1:22">
      <c r="A836" s="42">
        <v>75095</v>
      </c>
      <c r="B836" s="34" t="s">
        <v>1419</v>
      </c>
      <c r="C836" s="158" t="s">
        <v>696</v>
      </c>
      <c r="D836" s="34">
        <v>40</v>
      </c>
      <c r="E836" s="166" t="s">
        <v>1402</v>
      </c>
      <c r="F836" s="34">
        <v>57</v>
      </c>
      <c r="G836" s="34" t="s">
        <v>0</v>
      </c>
      <c r="H836" s="34">
        <v>11.6</v>
      </c>
      <c r="I836" s="34">
        <v>116</v>
      </c>
      <c r="J836" s="34">
        <v>1.0980000000000001</v>
      </c>
      <c r="K836" s="34">
        <v>27.88</v>
      </c>
      <c r="L836" s="34">
        <v>1.875</v>
      </c>
      <c r="M836" s="34">
        <v>47.63</v>
      </c>
      <c r="N836" s="34">
        <v>0.63500000000000001</v>
      </c>
      <c r="O836" s="34">
        <v>16.100000000000001</v>
      </c>
      <c r="P836" s="34">
        <v>1.34</v>
      </c>
      <c r="Q836" s="34">
        <v>134</v>
      </c>
      <c r="R836" s="34">
        <v>15.6</v>
      </c>
      <c r="S836" s="34">
        <v>15600</v>
      </c>
      <c r="T836" s="34">
        <v>6.1</v>
      </c>
      <c r="U836" s="34">
        <v>89</v>
      </c>
      <c r="V836" s="34">
        <v>46.7</v>
      </c>
    </row>
    <row r="837" spans="1:22">
      <c r="A837" s="42">
        <v>75110</v>
      </c>
      <c r="B837" s="34" t="s">
        <v>1420</v>
      </c>
      <c r="C837" s="158">
        <v>109</v>
      </c>
      <c r="D837" s="34">
        <v>60</v>
      </c>
      <c r="E837" s="166" t="s">
        <v>1402</v>
      </c>
      <c r="F837" s="34">
        <v>75</v>
      </c>
      <c r="G837" s="34" t="s">
        <v>0</v>
      </c>
      <c r="H837" s="34">
        <v>14.3</v>
      </c>
      <c r="I837" s="34">
        <v>143</v>
      </c>
      <c r="J837" s="34">
        <v>1.3680000000000001</v>
      </c>
      <c r="K837" s="34">
        <v>34.74</v>
      </c>
      <c r="L837" s="34">
        <v>2.2850000000000001</v>
      </c>
      <c r="M837" s="34">
        <v>58.04</v>
      </c>
      <c r="N837" s="34">
        <v>0.58499999999999996</v>
      </c>
      <c r="O837" s="34">
        <v>14.9</v>
      </c>
      <c r="P837" s="34">
        <v>1.44</v>
      </c>
      <c r="Q837" s="34">
        <v>144</v>
      </c>
      <c r="R837" s="34">
        <v>20.7</v>
      </c>
      <c r="S837" s="34">
        <v>20700</v>
      </c>
      <c r="T837" s="34">
        <v>9.48</v>
      </c>
      <c r="U837" s="34">
        <v>109</v>
      </c>
      <c r="V837" s="34">
        <v>57.2</v>
      </c>
    </row>
    <row r="838" spans="1:22">
      <c r="A838" s="42">
        <v>75111</v>
      </c>
      <c r="B838" s="34" t="s">
        <v>1421</v>
      </c>
      <c r="C838" s="158">
        <v>109</v>
      </c>
      <c r="D838" s="34">
        <v>26</v>
      </c>
      <c r="E838" s="166" t="s">
        <v>1402</v>
      </c>
      <c r="F838" s="34">
        <v>33</v>
      </c>
      <c r="G838" s="34" t="s">
        <v>0</v>
      </c>
      <c r="H838" s="34">
        <v>14.3</v>
      </c>
      <c r="I838" s="34">
        <v>143</v>
      </c>
      <c r="J838" s="34">
        <v>1.3680000000000001</v>
      </c>
      <c r="K838" s="34">
        <v>34.74</v>
      </c>
      <c r="L838" s="34">
        <v>2.2850000000000001</v>
      </c>
      <c r="M838" s="34">
        <v>58.04</v>
      </c>
      <c r="N838" s="34">
        <v>0.58499999999999996</v>
      </c>
      <c r="O838" s="34">
        <v>14.9</v>
      </c>
      <c r="P838" s="34">
        <v>1.44</v>
      </c>
      <c r="Q838" s="34">
        <v>144</v>
      </c>
      <c r="R838" s="34">
        <v>20.7</v>
      </c>
      <c r="S838" s="34">
        <v>20700</v>
      </c>
      <c r="T838" s="34">
        <v>9.48</v>
      </c>
      <c r="U838" s="34">
        <v>109</v>
      </c>
      <c r="V838" s="34">
        <v>57.2</v>
      </c>
    </row>
    <row r="839" spans="1:22">
      <c r="A839" s="42">
        <v>75189</v>
      </c>
      <c r="B839" s="34" t="s">
        <v>1422</v>
      </c>
      <c r="C839" s="158">
        <v>195</v>
      </c>
      <c r="D839" s="34">
        <v>40</v>
      </c>
      <c r="E839" s="166" t="s">
        <v>1402</v>
      </c>
      <c r="F839" s="34">
        <v>92</v>
      </c>
      <c r="G839" s="34" t="s">
        <v>0</v>
      </c>
      <c r="H839" s="34">
        <v>12.5</v>
      </c>
      <c r="I839" s="34">
        <v>125</v>
      </c>
      <c r="J839" s="34">
        <v>1.0069999999999999</v>
      </c>
      <c r="K839" s="34">
        <v>25.57</v>
      </c>
      <c r="L839" s="34">
        <v>2.2850000000000001</v>
      </c>
      <c r="M839" s="34">
        <v>58.04</v>
      </c>
      <c r="N839" s="34">
        <v>0.63500000000000001</v>
      </c>
      <c r="O839" s="34">
        <v>16.2</v>
      </c>
      <c r="P839" s="34">
        <v>2.29</v>
      </c>
      <c r="Q839" s="34">
        <v>229</v>
      </c>
      <c r="R839" s="34">
        <v>28.6</v>
      </c>
      <c r="S839" s="34">
        <v>28600</v>
      </c>
      <c r="T839" s="34">
        <v>5.14</v>
      </c>
      <c r="U839" s="34">
        <v>195</v>
      </c>
      <c r="V839" s="34">
        <v>57.2</v>
      </c>
    </row>
    <row r="840" spans="1:22">
      <c r="A840" s="42">
        <v>75191</v>
      </c>
      <c r="B840" s="34" t="s">
        <v>1423</v>
      </c>
      <c r="C840" s="158">
        <v>195</v>
      </c>
      <c r="D840" s="34">
        <v>26</v>
      </c>
      <c r="E840" s="166" t="s">
        <v>1402</v>
      </c>
      <c r="F840" s="34">
        <v>60</v>
      </c>
      <c r="G840" s="34" t="s">
        <v>0</v>
      </c>
      <c r="H840" s="34">
        <v>12.5</v>
      </c>
      <c r="I840" s="34">
        <v>125</v>
      </c>
      <c r="J840" s="34">
        <v>1.0069999999999999</v>
      </c>
      <c r="K840" s="34">
        <v>25.57</v>
      </c>
      <c r="L840" s="34">
        <v>2.2850000000000001</v>
      </c>
      <c r="M840" s="34">
        <v>58.04</v>
      </c>
      <c r="N840" s="34">
        <v>0.63500000000000001</v>
      </c>
      <c r="O840" s="34">
        <v>16.2</v>
      </c>
      <c r="P840" s="34">
        <v>2.29</v>
      </c>
      <c r="Q840" s="34">
        <v>229</v>
      </c>
      <c r="R840" s="34">
        <v>28.6</v>
      </c>
      <c r="S840" s="34">
        <v>28600</v>
      </c>
      <c r="T840" s="34">
        <v>5.14</v>
      </c>
      <c r="U840" s="34">
        <v>195</v>
      </c>
      <c r="V840" s="34">
        <v>57.2</v>
      </c>
    </row>
    <row r="841" spans="1:22">
      <c r="A841" s="42">
        <v>75192</v>
      </c>
      <c r="B841" s="34" t="s">
        <v>1424</v>
      </c>
      <c r="C841" s="158">
        <v>195</v>
      </c>
      <c r="D841" s="34">
        <v>60</v>
      </c>
      <c r="E841" s="166" t="s">
        <v>1402</v>
      </c>
      <c r="F841" s="34">
        <v>138</v>
      </c>
      <c r="G841" s="34" t="s">
        <v>0</v>
      </c>
      <c r="H841" s="34">
        <v>12.5</v>
      </c>
      <c r="I841" s="34">
        <v>125</v>
      </c>
      <c r="J841" s="34">
        <v>1.0069999999999999</v>
      </c>
      <c r="K841" s="34">
        <v>25.57</v>
      </c>
      <c r="L841" s="34">
        <v>2.2850000000000001</v>
      </c>
      <c r="M841" s="34">
        <v>58.04</v>
      </c>
      <c r="N841" s="34">
        <v>0.63500000000000001</v>
      </c>
      <c r="O841" s="34">
        <v>16.2</v>
      </c>
      <c r="P841" s="34">
        <v>2.29</v>
      </c>
      <c r="Q841" s="34">
        <v>229</v>
      </c>
      <c r="R841" s="34">
        <v>28.6</v>
      </c>
      <c r="S841" s="34">
        <v>28600</v>
      </c>
      <c r="T841" s="34">
        <v>5.14</v>
      </c>
      <c r="U841" s="34">
        <v>195</v>
      </c>
      <c r="V841" s="34">
        <v>57.2</v>
      </c>
    </row>
    <row r="842" spans="1:22">
      <c r="A842" s="42">
        <v>75212</v>
      </c>
      <c r="B842" s="34" t="s">
        <v>1425</v>
      </c>
      <c r="C842" s="158">
        <v>109</v>
      </c>
      <c r="D842" s="34">
        <v>40</v>
      </c>
      <c r="E842" s="166" t="s">
        <v>1402</v>
      </c>
      <c r="F842" s="34">
        <v>50</v>
      </c>
      <c r="G842" s="34" t="s">
        <v>0</v>
      </c>
      <c r="H842" s="34">
        <v>14.3</v>
      </c>
      <c r="I842" s="34">
        <v>143</v>
      </c>
      <c r="J842" s="34">
        <v>1.3680000000000001</v>
      </c>
      <c r="K842" s="34">
        <v>34.74</v>
      </c>
      <c r="L842" s="34">
        <v>2.2850000000000001</v>
      </c>
      <c r="M842" s="34">
        <v>58.04</v>
      </c>
      <c r="N842" s="34">
        <v>0.58499999999999996</v>
      </c>
      <c r="O842" s="34">
        <v>14.9</v>
      </c>
      <c r="P842" s="34">
        <v>1.44</v>
      </c>
      <c r="Q842" s="34">
        <v>144</v>
      </c>
      <c r="R842" s="34">
        <v>20.7</v>
      </c>
      <c r="S842" s="34">
        <v>20700</v>
      </c>
      <c r="T842" s="34">
        <v>9.48</v>
      </c>
      <c r="U842" s="34">
        <v>109</v>
      </c>
      <c r="V842" s="34">
        <v>57.2</v>
      </c>
    </row>
    <row r="843" spans="1:22">
      <c r="A843" s="42">
        <v>75256</v>
      </c>
      <c r="B843" s="34" t="s">
        <v>1426</v>
      </c>
      <c r="C843" s="158">
        <v>254</v>
      </c>
      <c r="D843" s="34">
        <v>26</v>
      </c>
      <c r="E843" s="166" t="s">
        <v>1402</v>
      </c>
      <c r="F843" s="34">
        <v>35</v>
      </c>
      <c r="G843" s="34" t="s">
        <v>0</v>
      </c>
      <c r="H843" s="34">
        <v>9.84</v>
      </c>
      <c r="I843" s="34">
        <v>98.4</v>
      </c>
      <c r="J843" s="34">
        <v>0.91800000000000004</v>
      </c>
      <c r="K843" s="34">
        <v>23.3</v>
      </c>
      <c r="L843" s="34">
        <v>1.605</v>
      </c>
      <c r="M843" s="34">
        <v>40.770000000000003</v>
      </c>
      <c r="N843" s="34">
        <v>0.60499999999999998</v>
      </c>
      <c r="O843" s="34">
        <v>15.4</v>
      </c>
      <c r="P843" s="34">
        <v>1.07</v>
      </c>
      <c r="Q843" s="34">
        <v>107</v>
      </c>
      <c r="R843" s="35">
        <v>10.6</v>
      </c>
      <c r="S843" s="34">
        <v>10600</v>
      </c>
      <c r="T843" s="34">
        <v>4.2699999999999996</v>
      </c>
      <c r="U843" s="34">
        <v>254</v>
      </c>
      <c r="V843" s="34">
        <v>39.9</v>
      </c>
    </row>
    <row r="844" spans="1:22">
      <c r="A844" s="42">
        <v>75260</v>
      </c>
      <c r="B844" s="34" t="s">
        <v>1427</v>
      </c>
      <c r="C844" s="158">
        <v>254</v>
      </c>
      <c r="D844" s="34">
        <v>40</v>
      </c>
      <c r="E844" s="166" t="s">
        <v>1402</v>
      </c>
      <c r="F844" s="34">
        <v>54</v>
      </c>
      <c r="G844" s="34" t="s">
        <v>0</v>
      </c>
      <c r="H844" s="34">
        <v>9.84</v>
      </c>
      <c r="I844" s="34">
        <v>98.4</v>
      </c>
      <c r="J844" s="34">
        <v>0.91800000000000004</v>
      </c>
      <c r="K844" s="34">
        <v>23.3</v>
      </c>
      <c r="L844" s="34">
        <v>1.605</v>
      </c>
      <c r="M844" s="34">
        <v>40.770000000000003</v>
      </c>
      <c r="N844" s="34">
        <v>0.60499999999999998</v>
      </c>
      <c r="O844" s="34">
        <v>15.4</v>
      </c>
      <c r="P844" s="34">
        <v>1.07</v>
      </c>
      <c r="Q844" s="34">
        <v>107</v>
      </c>
      <c r="R844" s="35">
        <v>10.6</v>
      </c>
      <c r="S844" s="34">
        <v>10600</v>
      </c>
      <c r="T844" s="34">
        <v>4.2699999999999996</v>
      </c>
      <c r="U844" s="34">
        <v>254</v>
      </c>
      <c r="V844" s="34">
        <v>39.9</v>
      </c>
    </row>
    <row r="845" spans="1:22">
      <c r="A845" s="42">
        <v>75312</v>
      </c>
      <c r="B845" s="34" t="s">
        <v>1428</v>
      </c>
      <c r="C845" s="158">
        <v>310</v>
      </c>
      <c r="D845" s="34">
        <v>26</v>
      </c>
      <c r="E845" s="166" t="s">
        <v>1402</v>
      </c>
      <c r="F845" s="34">
        <v>19</v>
      </c>
      <c r="G845" s="34" t="s">
        <v>0</v>
      </c>
      <c r="H845" s="34">
        <v>5.67</v>
      </c>
      <c r="I845" s="34">
        <v>56.7</v>
      </c>
      <c r="J845" s="34">
        <v>0.52500000000000002</v>
      </c>
      <c r="K845" s="34">
        <v>13.3</v>
      </c>
      <c r="L845" s="41">
        <v>0.93</v>
      </c>
      <c r="M845" s="34">
        <v>23.7</v>
      </c>
      <c r="N845" s="41">
        <v>0.33</v>
      </c>
      <c r="O845" s="34">
        <v>8.39</v>
      </c>
      <c r="P845" s="34">
        <v>0.317</v>
      </c>
      <c r="Q845" s="34">
        <v>31.7</v>
      </c>
      <c r="R845" s="40">
        <v>1.8</v>
      </c>
      <c r="S845" s="34">
        <v>1800</v>
      </c>
      <c r="T845" s="34">
        <v>1.39</v>
      </c>
      <c r="U845" s="34">
        <v>310</v>
      </c>
      <c r="V845" s="34">
        <v>22.9</v>
      </c>
    </row>
    <row r="846" spans="1:22">
      <c r="A846" s="42">
        <v>75316</v>
      </c>
      <c r="B846" s="34" t="s">
        <v>1429</v>
      </c>
      <c r="C846" s="158">
        <v>310</v>
      </c>
      <c r="D846" s="34">
        <v>40</v>
      </c>
      <c r="E846" s="166" t="s">
        <v>1402</v>
      </c>
      <c r="F846" s="34">
        <v>29</v>
      </c>
      <c r="G846" s="34" t="s">
        <v>0</v>
      </c>
      <c r="H846" s="34">
        <v>5.67</v>
      </c>
      <c r="I846" s="34">
        <v>56.7</v>
      </c>
      <c r="J846" s="34">
        <v>0.52500000000000002</v>
      </c>
      <c r="K846" s="34">
        <v>13.3</v>
      </c>
      <c r="L846" s="41">
        <v>0.93</v>
      </c>
      <c r="M846" s="34">
        <v>23.7</v>
      </c>
      <c r="N846" s="41">
        <v>0.33</v>
      </c>
      <c r="O846" s="34">
        <v>8.39</v>
      </c>
      <c r="P846" s="34">
        <v>0.317</v>
      </c>
      <c r="Q846" s="34">
        <v>31.7</v>
      </c>
      <c r="R846" s="40">
        <v>1.8</v>
      </c>
      <c r="S846" s="34">
        <v>1800</v>
      </c>
      <c r="T846" s="34">
        <v>1.39</v>
      </c>
      <c r="U846" s="34">
        <v>310</v>
      </c>
      <c r="V846" s="34">
        <v>22.9</v>
      </c>
    </row>
    <row r="847" spans="1:22">
      <c r="A847" s="42">
        <v>75326</v>
      </c>
      <c r="B847" s="34" t="s">
        <v>1430</v>
      </c>
      <c r="C847" s="158">
        <v>324</v>
      </c>
      <c r="D847" s="34">
        <v>26</v>
      </c>
      <c r="E847" s="166" t="s">
        <v>1402</v>
      </c>
      <c r="F847" s="34">
        <v>24</v>
      </c>
      <c r="G847" s="34" t="s">
        <v>0</v>
      </c>
      <c r="H847" s="34">
        <v>8.98</v>
      </c>
      <c r="I847" s="34">
        <v>89.800000000000011</v>
      </c>
      <c r="J847" s="34">
        <v>0.84799999999999998</v>
      </c>
      <c r="K847" s="34">
        <v>21.5</v>
      </c>
      <c r="L847" s="34">
        <v>1.4450000000000001</v>
      </c>
      <c r="M847" s="34">
        <v>36.71</v>
      </c>
      <c r="N847" s="34">
        <v>0.44700000000000001</v>
      </c>
      <c r="O847" s="34">
        <v>11.4</v>
      </c>
      <c r="P847" s="34">
        <v>0.67800000000000005</v>
      </c>
      <c r="Q847" s="34">
        <v>67.800000000000011</v>
      </c>
      <c r="R847" s="40">
        <v>6.09</v>
      </c>
      <c r="S847" s="34">
        <v>6090</v>
      </c>
      <c r="T847" s="34">
        <v>3.64</v>
      </c>
      <c r="U847" s="34">
        <v>324</v>
      </c>
      <c r="V847" s="34">
        <v>35.799999999999997</v>
      </c>
    </row>
    <row r="848" spans="1:22">
      <c r="A848" s="42">
        <v>75330</v>
      </c>
      <c r="B848" s="34" t="s">
        <v>1431</v>
      </c>
      <c r="C848" s="158">
        <v>324</v>
      </c>
      <c r="D848" s="34">
        <v>40</v>
      </c>
      <c r="E848" s="166" t="s">
        <v>1402</v>
      </c>
      <c r="F848" s="34">
        <v>37</v>
      </c>
      <c r="G848" s="34" t="s">
        <v>0</v>
      </c>
      <c r="H848" s="34">
        <v>8.98</v>
      </c>
      <c r="I848" s="34">
        <v>89.800000000000011</v>
      </c>
      <c r="J848" s="34">
        <v>0.84799999999999998</v>
      </c>
      <c r="K848" s="34">
        <v>21.5</v>
      </c>
      <c r="L848" s="34">
        <v>1.4450000000000001</v>
      </c>
      <c r="M848" s="34">
        <v>36.71</v>
      </c>
      <c r="N848" s="34">
        <v>0.44700000000000001</v>
      </c>
      <c r="O848" s="34">
        <v>11.4</v>
      </c>
      <c r="P848" s="34">
        <v>0.67800000000000005</v>
      </c>
      <c r="Q848" s="34">
        <v>67.800000000000011</v>
      </c>
      <c r="R848" s="40">
        <v>6.09</v>
      </c>
      <c r="S848" s="34">
        <v>6090</v>
      </c>
      <c r="T848" s="34">
        <v>3.64</v>
      </c>
      <c r="U848" s="34">
        <v>324</v>
      </c>
      <c r="V848" s="34">
        <v>35.799999999999997</v>
      </c>
    </row>
    <row r="849" spans="1:22">
      <c r="A849" s="42">
        <v>75351</v>
      </c>
      <c r="B849" s="34" t="s">
        <v>1432</v>
      </c>
      <c r="C849" s="158">
        <v>350</v>
      </c>
      <c r="D849" s="34">
        <v>60</v>
      </c>
      <c r="E849" s="166" t="s">
        <v>1402</v>
      </c>
      <c r="F849" s="34">
        <v>51</v>
      </c>
      <c r="G849" s="34" t="s">
        <v>0</v>
      </c>
      <c r="H849" s="34">
        <v>5.88</v>
      </c>
      <c r="I849" s="34">
        <v>58.8</v>
      </c>
      <c r="J849" s="34">
        <v>0.54200000000000004</v>
      </c>
      <c r="K849" s="34">
        <v>13.7</v>
      </c>
      <c r="L849" s="34">
        <v>0.95799999999999996</v>
      </c>
      <c r="M849" s="34">
        <v>24.4</v>
      </c>
      <c r="N849" s="41">
        <v>0.38</v>
      </c>
      <c r="O849" s="34">
        <v>9.66</v>
      </c>
      <c r="P849" s="34">
        <v>0.38800000000000001</v>
      </c>
      <c r="Q849" s="34">
        <v>38.800000000000004</v>
      </c>
      <c r="R849" s="40">
        <v>2.2814399999999999</v>
      </c>
      <c r="S849" s="34">
        <v>2280</v>
      </c>
      <c r="T849" s="34">
        <v>1.49</v>
      </c>
      <c r="U849" s="34">
        <v>350</v>
      </c>
      <c r="V849" s="34">
        <v>23.6</v>
      </c>
    </row>
    <row r="850" spans="1:22">
      <c r="A850" s="42">
        <v>75352</v>
      </c>
      <c r="B850" s="34" t="s">
        <v>1433</v>
      </c>
      <c r="C850" s="158">
        <v>350</v>
      </c>
      <c r="D850" s="34">
        <v>26</v>
      </c>
      <c r="E850" s="166" t="s">
        <v>1402</v>
      </c>
      <c r="F850" s="34">
        <v>22</v>
      </c>
      <c r="G850" s="34" t="s">
        <v>0</v>
      </c>
      <c r="H850" s="34">
        <v>5.88</v>
      </c>
      <c r="I850" s="34">
        <v>58.8</v>
      </c>
      <c r="J850" s="34">
        <v>0.54200000000000004</v>
      </c>
      <c r="K850" s="34">
        <v>13.7</v>
      </c>
      <c r="L850" s="34">
        <v>0.95799999999999996</v>
      </c>
      <c r="M850" s="34">
        <v>24.4</v>
      </c>
      <c r="N850" s="41">
        <v>0.38</v>
      </c>
      <c r="O850" s="34">
        <v>9.66</v>
      </c>
      <c r="P850" s="34">
        <v>0.38800000000000001</v>
      </c>
      <c r="Q850" s="34">
        <v>38.800000000000004</v>
      </c>
      <c r="R850" s="40">
        <v>2.2814399999999999</v>
      </c>
      <c r="S850" s="34">
        <v>2280</v>
      </c>
      <c r="T850" s="34">
        <v>1.49</v>
      </c>
      <c r="U850" s="34">
        <v>350</v>
      </c>
      <c r="V850" s="34">
        <v>23.6</v>
      </c>
    </row>
    <row r="851" spans="1:22">
      <c r="A851" s="42">
        <v>75356</v>
      </c>
      <c r="B851" s="34" t="s">
        <v>1434</v>
      </c>
      <c r="C851" s="158">
        <v>350</v>
      </c>
      <c r="D851" s="34">
        <v>40</v>
      </c>
      <c r="E851" s="166" t="s">
        <v>1402</v>
      </c>
      <c r="F851" s="34">
        <v>34</v>
      </c>
      <c r="G851" s="34" t="s">
        <v>0</v>
      </c>
      <c r="H851" s="34">
        <v>5.88</v>
      </c>
      <c r="I851" s="34">
        <v>58.8</v>
      </c>
      <c r="J851" s="34">
        <v>0.54200000000000004</v>
      </c>
      <c r="K851" s="34">
        <v>13.7</v>
      </c>
      <c r="L851" s="34">
        <v>0.95799999999999996</v>
      </c>
      <c r="M851" s="34">
        <v>24.4</v>
      </c>
      <c r="N851" s="41">
        <v>0.38</v>
      </c>
      <c r="O851" s="34">
        <v>9.66</v>
      </c>
      <c r="P851" s="34">
        <v>0.38800000000000001</v>
      </c>
      <c r="Q851" s="34">
        <v>38.800000000000004</v>
      </c>
      <c r="R851" s="40">
        <v>2.2814399999999999</v>
      </c>
      <c r="S851" s="34">
        <v>2280</v>
      </c>
      <c r="T851" s="34">
        <v>1.49</v>
      </c>
      <c r="U851" s="34">
        <v>350</v>
      </c>
      <c r="V851" s="34">
        <v>23.6</v>
      </c>
    </row>
    <row r="852" spans="1:22">
      <c r="A852" s="42">
        <v>75431</v>
      </c>
      <c r="B852" s="34" t="s">
        <v>1435</v>
      </c>
      <c r="C852" s="158">
        <v>438</v>
      </c>
      <c r="D852" s="34">
        <v>40</v>
      </c>
      <c r="E852" s="166" t="s">
        <v>1402</v>
      </c>
      <c r="F852" s="34">
        <v>90</v>
      </c>
      <c r="G852" s="34" t="s">
        <v>0</v>
      </c>
      <c r="H852" s="34">
        <v>10.7</v>
      </c>
      <c r="I852" s="34">
        <v>107</v>
      </c>
      <c r="J852" s="34">
        <v>0.91800000000000004</v>
      </c>
      <c r="K852" s="34">
        <v>23.3</v>
      </c>
      <c r="L852" s="34">
        <v>1.875</v>
      </c>
      <c r="M852" s="34">
        <v>47.63</v>
      </c>
      <c r="N852" s="34">
        <v>0.745</v>
      </c>
      <c r="O852" s="35">
        <v>19</v>
      </c>
      <c r="P852" s="34">
        <v>1.99</v>
      </c>
      <c r="Q852" s="34">
        <v>199</v>
      </c>
      <c r="R852" s="34">
        <v>21.3</v>
      </c>
      <c r="S852" s="34">
        <v>21300</v>
      </c>
      <c r="T852" s="34">
        <v>4.2699999999999996</v>
      </c>
      <c r="U852" s="34">
        <v>438</v>
      </c>
      <c r="V852" s="34">
        <v>46.7</v>
      </c>
    </row>
    <row r="853" spans="1:22">
      <c r="A853" s="42">
        <v>75439</v>
      </c>
      <c r="B853" s="34" t="s">
        <v>1436</v>
      </c>
      <c r="C853" s="158">
        <v>438</v>
      </c>
      <c r="D853" s="34">
        <v>60</v>
      </c>
      <c r="E853" s="166" t="s">
        <v>1402</v>
      </c>
      <c r="F853" s="34">
        <v>135</v>
      </c>
      <c r="G853" s="34" t="s">
        <v>0</v>
      </c>
      <c r="H853" s="34">
        <v>10.7</v>
      </c>
      <c r="I853" s="34">
        <v>107</v>
      </c>
      <c r="J853" s="34">
        <v>0.91800000000000004</v>
      </c>
      <c r="K853" s="34">
        <v>23.3</v>
      </c>
      <c r="L853" s="34">
        <v>1.875</v>
      </c>
      <c r="M853" s="34">
        <v>47.63</v>
      </c>
      <c r="N853" s="34">
        <v>0.745</v>
      </c>
      <c r="O853" s="35">
        <v>19</v>
      </c>
      <c r="P853" s="34">
        <v>1.99</v>
      </c>
      <c r="Q853" s="34">
        <v>199</v>
      </c>
      <c r="R853" s="34">
        <v>21.3</v>
      </c>
      <c r="S853" s="34">
        <v>21300</v>
      </c>
      <c r="T853" s="34">
        <v>4.2699999999999996</v>
      </c>
      <c r="U853" s="34">
        <v>438</v>
      </c>
      <c r="V853" s="34">
        <v>46.7</v>
      </c>
    </row>
    <row r="854" spans="1:22">
      <c r="A854" s="42">
        <v>75440</v>
      </c>
      <c r="B854" s="34" t="s">
        <v>1437</v>
      </c>
      <c r="C854" s="158">
        <v>438</v>
      </c>
      <c r="D854" s="34">
        <v>26</v>
      </c>
      <c r="E854" s="166" t="s">
        <v>1402</v>
      </c>
      <c r="F854" s="34">
        <v>59</v>
      </c>
      <c r="G854" s="34" t="s">
        <v>0</v>
      </c>
      <c r="H854" s="34">
        <v>10.7</v>
      </c>
      <c r="I854" s="34">
        <v>107</v>
      </c>
      <c r="J854" s="34">
        <v>0.91800000000000004</v>
      </c>
      <c r="K854" s="34">
        <v>23.3</v>
      </c>
      <c r="L854" s="34">
        <v>1.875</v>
      </c>
      <c r="M854" s="34">
        <v>47.63</v>
      </c>
      <c r="N854" s="34">
        <v>0.745</v>
      </c>
      <c r="O854" s="35">
        <v>19</v>
      </c>
      <c r="P854" s="34">
        <v>1.99</v>
      </c>
      <c r="Q854" s="34">
        <v>199</v>
      </c>
      <c r="R854" s="34">
        <v>21.3</v>
      </c>
      <c r="S854" s="34">
        <v>21300</v>
      </c>
      <c r="T854" s="34">
        <v>4.2699999999999996</v>
      </c>
      <c r="U854" s="34">
        <v>438</v>
      </c>
      <c r="V854" s="34">
        <v>46.7</v>
      </c>
    </row>
    <row r="855" spans="1:22">
      <c r="A855" s="42">
        <v>75550</v>
      </c>
      <c r="B855" s="34" t="s">
        <v>1438</v>
      </c>
      <c r="C855" s="158">
        <v>548</v>
      </c>
      <c r="D855" s="34">
        <v>26</v>
      </c>
      <c r="E855" s="166" t="s">
        <v>1402</v>
      </c>
      <c r="F855" s="34">
        <v>28</v>
      </c>
      <c r="G855" s="34" t="s">
        <v>0</v>
      </c>
      <c r="H855" s="34">
        <v>8.14</v>
      </c>
      <c r="I855" s="34">
        <v>81.400000000000006</v>
      </c>
      <c r="J855" s="34">
        <v>0.76600000000000001</v>
      </c>
      <c r="K855" s="34">
        <v>19.399999999999999</v>
      </c>
      <c r="L855" s="34">
        <v>1.325</v>
      </c>
      <c r="M855" s="34">
        <v>33.659999999999997</v>
      </c>
      <c r="N855" s="41">
        <v>0.45</v>
      </c>
      <c r="O855" s="34">
        <v>11.5</v>
      </c>
      <c r="P855" s="34">
        <v>0.65600000000000003</v>
      </c>
      <c r="Q855" s="34">
        <v>65.599999999999994</v>
      </c>
      <c r="R855" s="40">
        <v>5.34</v>
      </c>
      <c r="S855" s="34">
        <v>5340</v>
      </c>
      <c r="T855" s="34">
        <v>2.97</v>
      </c>
      <c r="U855" s="34">
        <v>548</v>
      </c>
      <c r="V855" s="34">
        <v>32.799999999999997</v>
      </c>
    </row>
    <row r="856" spans="1:22">
      <c r="A856" s="42">
        <v>75555</v>
      </c>
      <c r="B856" s="34" t="s">
        <v>1439</v>
      </c>
      <c r="C856" s="158">
        <v>548</v>
      </c>
      <c r="D856" s="34">
        <v>40</v>
      </c>
      <c r="E856" s="166" t="s">
        <v>1402</v>
      </c>
      <c r="F856" s="34">
        <v>41</v>
      </c>
      <c r="G856" s="34" t="s">
        <v>0</v>
      </c>
      <c r="H856" s="34">
        <v>8.14</v>
      </c>
      <c r="I856" s="34">
        <v>81.400000000000006</v>
      </c>
      <c r="J856" s="34">
        <v>0.76600000000000001</v>
      </c>
      <c r="K856" s="34">
        <v>19.399999999999999</v>
      </c>
      <c r="L856" s="34">
        <v>1.325</v>
      </c>
      <c r="M856" s="34">
        <v>33.659999999999997</v>
      </c>
      <c r="N856" s="41">
        <v>0.45</v>
      </c>
      <c r="O856" s="34">
        <v>11.5</v>
      </c>
      <c r="P856" s="34">
        <v>0.65600000000000003</v>
      </c>
      <c r="Q856" s="34">
        <v>65.599999999999994</v>
      </c>
      <c r="R856" s="40">
        <v>5.34</v>
      </c>
      <c r="S856" s="34">
        <v>5340</v>
      </c>
      <c r="T856" s="34">
        <v>2.97</v>
      </c>
      <c r="U856" s="34">
        <v>548</v>
      </c>
      <c r="V856" s="34">
        <v>32.799999999999997</v>
      </c>
    </row>
    <row r="857" spans="1:22">
      <c r="A857" s="42">
        <v>75586</v>
      </c>
      <c r="B857" s="34" t="s">
        <v>1440</v>
      </c>
      <c r="C857" s="158">
        <v>585</v>
      </c>
      <c r="D857" s="34">
        <v>60</v>
      </c>
      <c r="E857" s="166" t="s">
        <v>1402</v>
      </c>
      <c r="F857" s="34">
        <v>38</v>
      </c>
      <c r="G857" s="34" t="s">
        <v>0</v>
      </c>
      <c r="H857" s="34">
        <v>8.9499999999999993</v>
      </c>
      <c r="I857" s="34">
        <v>89.5</v>
      </c>
      <c r="J857" s="34">
        <v>0.88800000000000001</v>
      </c>
      <c r="K857" s="34">
        <v>22.5</v>
      </c>
      <c r="L857" s="34">
        <v>1.385</v>
      </c>
      <c r="M857" s="34">
        <v>35.18</v>
      </c>
      <c r="N857" s="34">
        <v>0.38500000000000001</v>
      </c>
      <c r="O857" s="34">
        <v>9.7799999999999994</v>
      </c>
      <c r="P857" s="34">
        <v>0.46400000000000002</v>
      </c>
      <c r="Q857" s="34">
        <v>46.4</v>
      </c>
      <c r="R857" s="40">
        <v>4.1500000000000004</v>
      </c>
      <c r="S857" s="34">
        <v>4150</v>
      </c>
      <c r="T857" s="34">
        <v>3.99</v>
      </c>
      <c r="U857" s="34">
        <v>585</v>
      </c>
      <c r="V857" s="34">
        <v>34.299999999999997</v>
      </c>
    </row>
    <row r="858" spans="1:22">
      <c r="A858" s="42">
        <v>75587</v>
      </c>
      <c r="B858" s="34" t="s">
        <v>1441</v>
      </c>
      <c r="C858" s="158">
        <v>585</v>
      </c>
      <c r="D858" s="34">
        <v>26</v>
      </c>
      <c r="E858" s="166" t="s">
        <v>1402</v>
      </c>
      <c r="F858" s="34">
        <v>16</v>
      </c>
      <c r="G858" s="34" t="s">
        <v>0</v>
      </c>
      <c r="H858" s="34">
        <v>8.9499999999999993</v>
      </c>
      <c r="I858" s="34">
        <v>89.5</v>
      </c>
      <c r="J858" s="34">
        <v>0.88800000000000001</v>
      </c>
      <c r="K858" s="34">
        <v>22.5</v>
      </c>
      <c r="L858" s="34">
        <v>1.385</v>
      </c>
      <c r="M858" s="34">
        <v>35.18</v>
      </c>
      <c r="N858" s="34">
        <v>0.38500000000000001</v>
      </c>
      <c r="O858" s="34">
        <v>9.7799999999999994</v>
      </c>
      <c r="P858" s="34">
        <v>0.46400000000000002</v>
      </c>
      <c r="Q858" s="34">
        <v>46.4</v>
      </c>
      <c r="R858" s="40">
        <v>4.1500000000000004</v>
      </c>
      <c r="S858" s="34">
        <v>4150</v>
      </c>
      <c r="T858" s="34">
        <v>3.99</v>
      </c>
      <c r="U858" s="34">
        <v>585</v>
      </c>
      <c r="V858" s="34">
        <v>34.299999999999997</v>
      </c>
    </row>
    <row r="859" spans="1:22">
      <c r="A859" s="42">
        <v>75591</v>
      </c>
      <c r="B859" s="34" t="s">
        <v>1442</v>
      </c>
      <c r="C859" s="158">
        <v>585</v>
      </c>
      <c r="D859" s="34">
        <v>40</v>
      </c>
      <c r="E859" s="166" t="s">
        <v>1402</v>
      </c>
      <c r="F859" s="34">
        <v>25</v>
      </c>
      <c r="G859" s="34" t="s">
        <v>0</v>
      </c>
      <c r="H859" s="34">
        <v>8.9499999999999993</v>
      </c>
      <c r="I859" s="34">
        <v>89.5</v>
      </c>
      <c r="J859" s="34">
        <v>0.88800000000000001</v>
      </c>
      <c r="K859" s="34">
        <v>22.5</v>
      </c>
      <c r="L859" s="34">
        <v>1.385</v>
      </c>
      <c r="M859" s="34">
        <v>35.18</v>
      </c>
      <c r="N859" s="34">
        <v>0.38500000000000001</v>
      </c>
      <c r="O859" s="34">
        <v>9.7799999999999994</v>
      </c>
      <c r="P859" s="34">
        <v>0.46400000000000002</v>
      </c>
      <c r="Q859" s="34">
        <v>46.4</v>
      </c>
      <c r="R859" s="40">
        <v>4.1500000000000004</v>
      </c>
      <c r="S859" s="34">
        <v>4150</v>
      </c>
      <c r="T859" s="34">
        <v>3.99</v>
      </c>
      <c r="U859" s="34">
        <v>585</v>
      </c>
      <c r="V859" s="34">
        <v>34.299999999999997</v>
      </c>
    </row>
    <row r="860" spans="1:22">
      <c r="A860" s="42">
        <v>75716</v>
      </c>
      <c r="B860" s="34" t="s">
        <v>1443</v>
      </c>
      <c r="C860" s="158">
        <v>715</v>
      </c>
      <c r="D860" s="34">
        <v>60</v>
      </c>
      <c r="E860" s="166" t="s">
        <v>1402</v>
      </c>
      <c r="F860" s="34">
        <v>73</v>
      </c>
      <c r="G860" s="34" t="s">
        <v>0</v>
      </c>
      <c r="H860" s="34">
        <v>12.7</v>
      </c>
      <c r="I860" s="34">
        <v>127</v>
      </c>
      <c r="J860" s="34">
        <v>1.218</v>
      </c>
      <c r="K860" s="34">
        <v>30.93</v>
      </c>
      <c r="L860" s="34">
        <v>2.0350000000000001</v>
      </c>
      <c r="M860" s="34">
        <v>51.69</v>
      </c>
      <c r="N860" s="34">
        <v>0.56500000000000006</v>
      </c>
      <c r="O860" s="34">
        <v>14.4</v>
      </c>
      <c r="P860" s="34">
        <v>1.25</v>
      </c>
      <c r="Q860" s="34">
        <v>125</v>
      </c>
      <c r="R860" s="34">
        <v>15.9</v>
      </c>
      <c r="S860" s="34">
        <v>15900</v>
      </c>
      <c r="T860" s="34">
        <v>7.51</v>
      </c>
      <c r="U860" s="34">
        <v>715</v>
      </c>
      <c r="V860" s="34">
        <v>50.8</v>
      </c>
    </row>
    <row r="861" spans="1:22">
      <c r="A861" s="42">
        <v>75717</v>
      </c>
      <c r="B861" s="34" t="s">
        <v>1444</v>
      </c>
      <c r="C861" s="158">
        <v>715</v>
      </c>
      <c r="D861" s="34">
        <v>26</v>
      </c>
      <c r="E861" s="166" t="s">
        <v>1402</v>
      </c>
      <c r="F861" s="34">
        <v>32</v>
      </c>
      <c r="G861" s="34" t="s">
        <v>0</v>
      </c>
      <c r="H861" s="34">
        <v>12.7</v>
      </c>
      <c r="I861" s="34">
        <v>127</v>
      </c>
      <c r="J861" s="34">
        <v>1.218</v>
      </c>
      <c r="K861" s="34">
        <v>30.93</v>
      </c>
      <c r="L861" s="34">
        <v>2.0350000000000001</v>
      </c>
      <c r="M861" s="34">
        <v>51.69</v>
      </c>
      <c r="N861" s="34">
        <v>0.56500000000000006</v>
      </c>
      <c r="O861" s="34">
        <v>14.4</v>
      </c>
      <c r="P861" s="34">
        <v>1.25</v>
      </c>
      <c r="Q861" s="34">
        <v>125</v>
      </c>
      <c r="R861" s="34">
        <v>15.9</v>
      </c>
      <c r="S861" s="34">
        <v>15900</v>
      </c>
      <c r="T861" s="34">
        <v>7.51</v>
      </c>
      <c r="U861" s="34">
        <v>715</v>
      </c>
      <c r="V861" s="34">
        <v>50.8</v>
      </c>
    </row>
    <row r="862" spans="1:22">
      <c r="A862" s="42">
        <v>75721</v>
      </c>
      <c r="B862" s="34" t="s">
        <v>1445</v>
      </c>
      <c r="C862" s="158">
        <v>715</v>
      </c>
      <c r="D862" s="34">
        <v>40</v>
      </c>
      <c r="E862" s="166" t="s">
        <v>1402</v>
      </c>
      <c r="F862" s="34">
        <v>49</v>
      </c>
      <c r="G862" s="34" t="s">
        <v>0</v>
      </c>
      <c r="H862" s="34">
        <v>12.7</v>
      </c>
      <c r="I862" s="34">
        <v>127</v>
      </c>
      <c r="J862" s="34">
        <v>1.218</v>
      </c>
      <c r="K862" s="34">
        <v>30.93</v>
      </c>
      <c r="L862" s="34">
        <v>2.0350000000000001</v>
      </c>
      <c r="M862" s="34">
        <v>51.69</v>
      </c>
      <c r="N862" s="34">
        <v>0.56500000000000006</v>
      </c>
      <c r="O862" s="34">
        <v>14.4</v>
      </c>
      <c r="P862" s="34">
        <v>1.25</v>
      </c>
      <c r="Q862" s="34">
        <v>125</v>
      </c>
      <c r="R862" s="34">
        <v>15.9</v>
      </c>
      <c r="S862" s="34">
        <v>15900</v>
      </c>
      <c r="T862" s="34">
        <v>7.51</v>
      </c>
      <c r="U862" s="34">
        <v>715</v>
      </c>
      <c r="V862" s="34">
        <v>50.8</v>
      </c>
    </row>
    <row r="863" spans="1:22">
      <c r="A863" s="42">
        <v>75867</v>
      </c>
      <c r="B863" s="34" t="s">
        <v>1446</v>
      </c>
      <c r="C863" s="158">
        <v>866</v>
      </c>
      <c r="D863" s="34">
        <v>60</v>
      </c>
      <c r="E863" s="166" t="s">
        <v>1402</v>
      </c>
      <c r="F863" s="34">
        <v>68</v>
      </c>
      <c r="G863" s="34" t="s">
        <v>0</v>
      </c>
      <c r="H863" s="34">
        <v>19.600000000000001</v>
      </c>
      <c r="I863" s="34">
        <v>196</v>
      </c>
      <c r="J863" s="34">
        <v>1.8979999999999999</v>
      </c>
      <c r="K863" s="40">
        <v>48.2</v>
      </c>
      <c r="L863" s="34">
        <v>3.1080000000000001</v>
      </c>
      <c r="M863" s="34">
        <v>78.95</v>
      </c>
      <c r="N863" s="34">
        <v>0.54500000000000004</v>
      </c>
      <c r="O863" s="34">
        <v>13.9</v>
      </c>
      <c r="P863" s="34">
        <v>1.76</v>
      </c>
      <c r="Q863" s="34">
        <v>176</v>
      </c>
      <c r="R863" s="34">
        <v>34.5</v>
      </c>
      <c r="S863" s="34">
        <v>34500</v>
      </c>
      <c r="T863" s="34">
        <v>18.2</v>
      </c>
      <c r="U863" s="34">
        <v>866</v>
      </c>
      <c r="V863" s="34">
        <v>77.8</v>
      </c>
    </row>
    <row r="864" spans="1:22">
      <c r="A864" s="42">
        <v>75868</v>
      </c>
      <c r="B864" s="34" t="s">
        <v>1447</v>
      </c>
      <c r="C864" s="158">
        <v>866</v>
      </c>
      <c r="D864" s="34">
        <v>26</v>
      </c>
      <c r="E864" s="166" t="s">
        <v>1402</v>
      </c>
      <c r="F864" s="34">
        <v>30</v>
      </c>
      <c r="G864" s="34" t="s">
        <v>0</v>
      </c>
      <c r="H864" s="34">
        <v>19.600000000000001</v>
      </c>
      <c r="I864" s="34">
        <v>196</v>
      </c>
      <c r="J864" s="34">
        <v>1.8979999999999999</v>
      </c>
      <c r="K864" s="40">
        <v>48.2</v>
      </c>
      <c r="L864" s="34">
        <v>3.1080000000000001</v>
      </c>
      <c r="M864" s="34">
        <v>78.95</v>
      </c>
      <c r="N864" s="34">
        <v>0.54500000000000004</v>
      </c>
      <c r="O864" s="34">
        <v>13.9</v>
      </c>
      <c r="P864" s="34">
        <v>1.76</v>
      </c>
      <c r="Q864" s="34">
        <v>176</v>
      </c>
      <c r="R864" s="34">
        <v>34.5</v>
      </c>
      <c r="S864" s="34">
        <v>34500</v>
      </c>
      <c r="T864" s="34">
        <v>18.2</v>
      </c>
      <c r="U864" s="34">
        <v>866</v>
      </c>
      <c r="V864" s="34">
        <v>77.8</v>
      </c>
    </row>
    <row r="865" spans="1:22">
      <c r="A865" s="42">
        <v>75872</v>
      </c>
      <c r="B865" s="34" t="s">
        <v>1448</v>
      </c>
      <c r="C865" s="158">
        <v>866</v>
      </c>
      <c r="D865" s="34">
        <v>40</v>
      </c>
      <c r="E865" s="166" t="s">
        <v>1402</v>
      </c>
      <c r="F865" s="34">
        <v>45</v>
      </c>
      <c r="G865" s="34" t="s">
        <v>0</v>
      </c>
      <c r="H865" s="34">
        <v>19.600000000000001</v>
      </c>
      <c r="I865" s="34">
        <v>196</v>
      </c>
      <c r="J865" s="34">
        <v>1.8979999999999999</v>
      </c>
      <c r="K865" s="40">
        <v>48.2</v>
      </c>
      <c r="L865" s="34">
        <v>3.1080000000000001</v>
      </c>
      <c r="M865" s="34">
        <v>78.95</v>
      </c>
      <c r="N865" s="34">
        <v>0.54500000000000004</v>
      </c>
      <c r="O865" s="34">
        <v>13.9</v>
      </c>
      <c r="P865" s="34">
        <v>1.76</v>
      </c>
      <c r="Q865" s="34">
        <v>176</v>
      </c>
      <c r="R865" s="34">
        <v>34.5</v>
      </c>
      <c r="S865" s="34">
        <v>34500</v>
      </c>
      <c r="T865" s="34">
        <v>18.2</v>
      </c>
      <c r="U865" s="34">
        <v>866</v>
      </c>
      <c r="V865" s="34">
        <v>77.8</v>
      </c>
    </row>
    <row r="866" spans="1:22">
      <c r="A866" s="42">
        <v>75894</v>
      </c>
      <c r="B866" s="34" t="s">
        <v>1449</v>
      </c>
      <c r="C866" s="158">
        <v>930</v>
      </c>
      <c r="D866" s="34">
        <v>60</v>
      </c>
      <c r="E866" s="166" t="s">
        <v>1402</v>
      </c>
      <c r="F866" s="34">
        <v>75</v>
      </c>
      <c r="G866" s="34" t="s">
        <v>0</v>
      </c>
      <c r="H866" s="34">
        <v>6.35</v>
      </c>
      <c r="I866" s="34">
        <v>63.5</v>
      </c>
      <c r="J866" s="34">
        <v>0.55500000000000005</v>
      </c>
      <c r="K866" s="34">
        <v>14.1</v>
      </c>
      <c r="L866" s="41">
        <v>1.0900000000000001</v>
      </c>
      <c r="M866" s="34">
        <v>27.69</v>
      </c>
      <c r="N866" s="41">
        <v>0.47</v>
      </c>
      <c r="O866" s="35">
        <v>12</v>
      </c>
      <c r="P866" s="34">
        <v>0.65400000000000003</v>
      </c>
      <c r="Q866" s="34">
        <v>65.400000000000006</v>
      </c>
      <c r="R866" s="34">
        <v>4.1500000000000004</v>
      </c>
      <c r="S866" s="34">
        <v>4150</v>
      </c>
      <c r="T866" s="34">
        <v>1.56</v>
      </c>
      <c r="U866" s="34">
        <v>930</v>
      </c>
      <c r="V866" s="34">
        <v>26.9</v>
      </c>
    </row>
    <row r="867" spans="1:22">
      <c r="A867" s="42">
        <v>75907</v>
      </c>
      <c r="B867" s="34" t="s">
        <v>1450</v>
      </c>
      <c r="C867" s="158">
        <v>906</v>
      </c>
      <c r="D867" s="34">
        <v>60</v>
      </c>
      <c r="E867" s="166" t="s">
        <v>1402</v>
      </c>
      <c r="F867" s="34">
        <v>85</v>
      </c>
      <c r="G867" s="34" t="s">
        <v>0</v>
      </c>
      <c r="H867" s="34">
        <v>19.600000000000001</v>
      </c>
      <c r="I867" s="34">
        <v>196</v>
      </c>
      <c r="J867" s="34">
        <v>1.8979999999999999</v>
      </c>
      <c r="K867" s="40">
        <v>48.2</v>
      </c>
      <c r="L867" s="34">
        <v>3.1080000000000001</v>
      </c>
      <c r="M867" s="34">
        <v>78.95</v>
      </c>
      <c r="N867" s="41">
        <v>0.67</v>
      </c>
      <c r="O867" s="34">
        <v>17.100000000000001</v>
      </c>
      <c r="P867" s="34">
        <v>2.21</v>
      </c>
      <c r="Q867" s="34">
        <v>221</v>
      </c>
      <c r="R867" s="34">
        <v>43.4</v>
      </c>
      <c r="S867" s="34">
        <v>43400</v>
      </c>
      <c r="T867" s="34">
        <v>18.2</v>
      </c>
      <c r="U867" s="34">
        <v>906</v>
      </c>
      <c r="V867" s="34">
        <v>77.8</v>
      </c>
    </row>
    <row r="868" spans="1:22">
      <c r="A868" s="42">
        <v>75908</v>
      </c>
      <c r="B868" s="34" t="s">
        <v>1451</v>
      </c>
      <c r="C868" s="158">
        <v>906</v>
      </c>
      <c r="D868" s="34">
        <v>26</v>
      </c>
      <c r="E868" s="166" t="s">
        <v>1402</v>
      </c>
      <c r="F868" s="34">
        <v>37</v>
      </c>
      <c r="G868" s="34" t="s">
        <v>0</v>
      </c>
      <c r="H868" s="34">
        <v>19.600000000000001</v>
      </c>
      <c r="I868" s="34">
        <v>196</v>
      </c>
      <c r="J868" s="34">
        <v>1.8979999999999999</v>
      </c>
      <c r="K868" s="40">
        <v>48.2</v>
      </c>
      <c r="L868" s="34">
        <v>3.1080000000000001</v>
      </c>
      <c r="M868" s="34">
        <v>78.95</v>
      </c>
      <c r="N868" s="41">
        <v>0.67</v>
      </c>
      <c r="O868" s="34">
        <v>17.100000000000001</v>
      </c>
      <c r="P868" s="34">
        <v>2.21</v>
      </c>
      <c r="Q868" s="34">
        <v>221</v>
      </c>
      <c r="R868" s="34">
        <v>43.4</v>
      </c>
      <c r="S868" s="34">
        <v>43400</v>
      </c>
      <c r="T868" s="34">
        <v>18.2</v>
      </c>
      <c r="U868" s="34">
        <v>906</v>
      </c>
      <c r="V868" s="34">
        <v>77.8</v>
      </c>
    </row>
    <row r="869" spans="1:22">
      <c r="A869" s="42">
        <v>75912</v>
      </c>
      <c r="B869" s="34" t="s">
        <v>1452</v>
      </c>
      <c r="C869" s="158">
        <v>906</v>
      </c>
      <c r="D869" s="34">
        <v>40</v>
      </c>
      <c r="E869" s="166" t="s">
        <v>1402</v>
      </c>
      <c r="F869" s="34">
        <v>57</v>
      </c>
      <c r="G869" s="34" t="s">
        <v>0</v>
      </c>
      <c r="H869" s="34">
        <v>19.600000000000001</v>
      </c>
      <c r="I869" s="34">
        <v>196</v>
      </c>
      <c r="J869" s="34">
        <v>1.8979999999999999</v>
      </c>
      <c r="K869" s="40">
        <v>48.2</v>
      </c>
      <c r="L869" s="34">
        <v>3.1080000000000001</v>
      </c>
      <c r="M869" s="34">
        <v>78.95</v>
      </c>
      <c r="N869" s="41">
        <v>0.67</v>
      </c>
      <c r="O869" s="34">
        <v>17.100000000000001</v>
      </c>
      <c r="P869" s="34">
        <v>2.21</v>
      </c>
      <c r="Q869" s="34">
        <v>221</v>
      </c>
      <c r="R869" s="34">
        <v>43.4</v>
      </c>
      <c r="S869" s="34">
        <v>43400</v>
      </c>
      <c r="T869" s="34">
        <v>18.2</v>
      </c>
      <c r="U869" s="34">
        <v>906</v>
      </c>
      <c r="V869" s="34">
        <v>77.8</v>
      </c>
    </row>
    <row r="870" spans="1:22">
      <c r="A870" s="42">
        <v>75932</v>
      </c>
      <c r="B870" s="34" t="s">
        <v>1453</v>
      </c>
      <c r="C870" s="158">
        <v>930</v>
      </c>
      <c r="D870" s="34">
        <v>26</v>
      </c>
      <c r="E870" s="166" t="s">
        <v>1402</v>
      </c>
      <c r="F870" s="34">
        <v>32</v>
      </c>
      <c r="G870" s="34" t="s">
        <v>0</v>
      </c>
      <c r="H870" s="34">
        <v>6.35</v>
      </c>
      <c r="I870" s="34">
        <v>63.5</v>
      </c>
      <c r="J870" s="34">
        <v>0.55500000000000005</v>
      </c>
      <c r="K870" s="34">
        <v>14.1</v>
      </c>
      <c r="L870" s="41">
        <v>1.0900000000000001</v>
      </c>
      <c r="M870" s="34">
        <v>27.69</v>
      </c>
      <c r="N870" s="41">
        <v>0.47</v>
      </c>
      <c r="O870" s="35">
        <v>12</v>
      </c>
      <c r="P870" s="34">
        <v>0.65400000000000003</v>
      </c>
      <c r="Q870" s="34">
        <v>65.400000000000006</v>
      </c>
      <c r="R870" s="34">
        <v>4.1500000000000004</v>
      </c>
      <c r="S870" s="34">
        <v>4150</v>
      </c>
      <c r="T870" s="34">
        <v>1.56</v>
      </c>
      <c r="U870" s="34">
        <v>930</v>
      </c>
      <c r="V870" s="34">
        <v>26.9</v>
      </c>
    </row>
    <row r="871" spans="1:22">
      <c r="A871" s="42">
        <v>75936</v>
      </c>
      <c r="B871" s="34" t="s">
        <v>1454</v>
      </c>
      <c r="C871" s="158">
        <v>930</v>
      </c>
      <c r="D871" s="34">
        <v>40</v>
      </c>
      <c r="E871" s="166" t="s">
        <v>1402</v>
      </c>
      <c r="F871" s="34">
        <v>50</v>
      </c>
      <c r="G871" s="34" t="s">
        <v>0</v>
      </c>
      <c r="H871" s="34">
        <v>6.35</v>
      </c>
      <c r="I871" s="34">
        <v>63.5</v>
      </c>
      <c r="J871" s="34">
        <v>0.55500000000000005</v>
      </c>
      <c r="K871" s="34">
        <v>14.1</v>
      </c>
      <c r="L871" s="41">
        <v>1.0900000000000001</v>
      </c>
      <c r="M871" s="34">
        <v>27.69</v>
      </c>
      <c r="N871" s="41">
        <v>0.47</v>
      </c>
      <c r="O871" s="35">
        <v>12</v>
      </c>
      <c r="P871" s="34">
        <v>0.65400000000000003</v>
      </c>
      <c r="Q871" s="34">
        <v>65.400000000000006</v>
      </c>
      <c r="R871" s="34">
        <v>4.1500000000000004</v>
      </c>
      <c r="S871" s="34">
        <v>4150</v>
      </c>
      <c r="T871" s="34">
        <v>1.56</v>
      </c>
      <c r="U871" s="34">
        <v>930</v>
      </c>
      <c r="V871" s="34">
        <v>26.9</v>
      </c>
    </row>
    <row r="872" spans="1:22">
      <c r="A872" s="36">
        <v>75166</v>
      </c>
      <c r="B872" s="37" t="s">
        <v>1455</v>
      </c>
      <c r="C872" s="159">
        <v>165</v>
      </c>
      <c r="D872" s="37">
        <v>40</v>
      </c>
      <c r="E872" s="166" t="s">
        <v>1402</v>
      </c>
      <c r="F872" s="37">
        <v>120</v>
      </c>
      <c r="G872" s="37" t="s">
        <v>0</v>
      </c>
      <c r="H872" s="37">
        <v>41.2</v>
      </c>
      <c r="I872" s="37">
        <v>412</v>
      </c>
      <c r="J872" s="37">
        <v>3.9769999999999999</v>
      </c>
      <c r="K872" s="38">
        <v>101</v>
      </c>
      <c r="L872" s="37">
        <v>6.5549999999999997</v>
      </c>
      <c r="M872" s="38">
        <v>166.5</v>
      </c>
      <c r="N872" s="37">
        <v>1.3049999999999999</v>
      </c>
      <c r="O872" s="39">
        <v>33.15</v>
      </c>
      <c r="P872" s="37">
        <v>9.8699999999999992</v>
      </c>
      <c r="Q872" s="37">
        <v>987</v>
      </c>
      <c r="R872" s="37">
        <v>407</v>
      </c>
      <c r="S872" s="37">
        <v>407000</v>
      </c>
      <c r="T872" s="37">
        <v>80.3</v>
      </c>
      <c r="U872" s="34">
        <v>165</v>
      </c>
      <c r="V872" s="34">
        <v>165.1</v>
      </c>
    </row>
    <row r="873" spans="1:22">
      <c r="A873" s="34">
        <v>75338</v>
      </c>
      <c r="B873" s="34" t="s">
        <v>1456</v>
      </c>
      <c r="C873" s="159">
        <v>337</v>
      </c>
      <c r="D873" s="34">
        <v>40</v>
      </c>
      <c r="E873" s="166" t="s">
        <v>1402</v>
      </c>
      <c r="F873" s="34">
        <v>105</v>
      </c>
      <c r="G873" s="37" t="s">
        <v>0</v>
      </c>
      <c r="H873" s="37">
        <v>32.4</v>
      </c>
      <c r="I873" s="37">
        <v>324</v>
      </c>
      <c r="J873" s="37">
        <v>3.0390000000000001</v>
      </c>
      <c r="K873" s="37">
        <v>77.19</v>
      </c>
      <c r="L873" s="37">
        <v>5.274</v>
      </c>
      <c r="M873" s="38">
        <v>134</v>
      </c>
      <c r="N873" s="37">
        <v>1.0549999999999999</v>
      </c>
      <c r="O873" s="39">
        <v>26.8</v>
      </c>
      <c r="P873" s="37">
        <v>6.78</v>
      </c>
      <c r="Q873" s="37">
        <v>678</v>
      </c>
      <c r="R873" s="37">
        <v>220</v>
      </c>
      <c r="S873" s="37">
        <v>220000</v>
      </c>
      <c r="T873" s="37">
        <v>47.1</v>
      </c>
      <c r="U873" s="34">
        <v>337</v>
      </c>
      <c r="V873" s="34">
        <v>132.6</v>
      </c>
    </row>
    <row r="874" spans="1:22">
      <c r="A874" s="34">
        <v>75339</v>
      </c>
      <c r="B874" s="34" t="s">
        <v>1457</v>
      </c>
      <c r="C874" s="159">
        <v>337</v>
      </c>
      <c r="D874" s="34">
        <v>60</v>
      </c>
      <c r="E874" s="166" t="s">
        <v>1402</v>
      </c>
      <c r="F874" s="34">
        <v>158</v>
      </c>
      <c r="G874" s="37" t="s">
        <v>0</v>
      </c>
      <c r="H874" s="37">
        <v>32.4</v>
      </c>
      <c r="I874" s="37">
        <v>324</v>
      </c>
      <c r="J874" s="37">
        <v>3.0390000000000001</v>
      </c>
      <c r="K874" s="37">
        <v>77.19</v>
      </c>
      <c r="L874" s="37">
        <v>5.274</v>
      </c>
      <c r="M874" s="38">
        <v>134</v>
      </c>
      <c r="N874" s="37">
        <v>1.0549999999999999</v>
      </c>
      <c r="O874" s="39">
        <v>26.8</v>
      </c>
      <c r="P874" s="37">
        <v>6.78</v>
      </c>
      <c r="Q874" s="37">
        <v>678</v>
      </c>
      <c r="R874" s="37">
        <v>220</v>
      </c>
      <c r="S874" s="37">
        <v>220000</v>
      </c>
      <c r="T874" s="37">
        <v>47.1</v>
      </c>
      <c r="U874" s="34">
        <v>337</v>
      </c>
      <c r="V874" s="34">
        <v>132.6</v>
      </c>
    </row>
    <row r="875" spans="1:22">
      <c r="A875" s="34">
        <v>75072</v>
      </c>
      <c r="B875" s="34" t="s">
        <v>1458</v>
      </c>
      <c r="C875" s="158" t="s">
        <v>935</v>
      </c>
      <c r="D875" s="34">
        <v>60</v>
      </c>
      <c r="E875" s="166" t="s">
        <v>1402</v>
      </c>
      <c r="F875" s="34">
        <v>143</v>
      </c>
      <c r="G875" s="37" t="s">
        <v>0</v>
      </c>
      <c r="H875" s="34">
        <v>15.8</v>
      </c>
      <c r="I875" s="34">
        <v>158</v>
      </c>
      <c r="J875" s="34">
        <v>1.3660000000000001</v>
      </c>
      <c r="K875" s="34">
        <v>34.700000000000003</v>
      </c>
      <c r="L875" s="34">
        <v>2.7320000000000002</v>
      </c>
      <c r="M875" s="34">
        <v>69.400000000000006</v>
      </c>
      <c r="N875" s="34">
        <v>0.84299999999999997</v>
      </c>
      <c r="O875" s="34">
        <v>21.4</v>
      </c>
      <c r="P875" s="34">
        <v>3.14</v>
      </c>
      <c r="Q875" s="34">
        <v>314</v>
      </c>
      <c r="R875" s="34">
        <v>49.7</v>
      </c>
      <c r="S875" s="34">
        <v>49700</v>
      </c>
      <c r="T875" s="34">
        <v>9.4499999999999993</v>
      </c>
      <c r="U875" s="34">
        <v>70</v>
      </c>
      <c r="V875" s="34" t="e">
        <v>#N/A</v>
      </c>
    </row>
    <row r="876" spans="1:22">
      <c r="A876" s="34">
        <v>75073</v>
      </c>
      <c r="B876" s="34" t="s">
        <v>1459</v>
      </c>
      <c r="C876" s="158" t="s">
        <v>935</v>
      </c>
      <c r="D876" s="34">
        <v>40</v>
      </c>
      <c r="E876" s="166" t="s">
        <v>1402</v>
      </c>
      <c r="F876" s="34">
        <v>95</v>
      </c>
      <c r="G876" s="37" t="s">
        <v>0</v>
      </c>
      <c r="H876" s="34">
        <v>15.8</v>
      </c>
      <c r="I876" s="34">
        <v>158</v>
      </c>
      <c r="J876" s="34">
        <v>1.3660000000000001</v>
      </c>
      <c r="K876" s="34">
        <v>34.700000000000003</v>
      </c>
      <c r="L876" s="34">
        <v>2.7320000000000002</v>
      </c>
      <c r="M876" s="34">
        <v>69.400000000000006</v>
      </c>
      <c r="N876" s="34">
        <v>0.84299999999999997</v>
      </c>
      <c r="O876" s="34">
        <v>21.4</v>
      </c>
      <c r="P876" s="34">
        <v>3.14</v>
      </c>
      <c r="Q876" s="34">
        <v>314</v>
      </c>
      <c r="R876" s="34">
        <v>49.7</v>
      </c>
      <c r="S876" s="34">
        <v>49700</v>
      </c>
      <c r="T876" s="34">
        <v>9.4499999999999993</v>
      </c>
      <c r="U876" s="34">
        <v>70</v>
      </c>
      <c r="V876" s="34" t="e">
        <v>#N/A</v>
      </c>
    </row>
    <row r="877" spans="1:22">
      <c r="A877" s="34">
        <v>75074</v>
      </c>
      <c r="B877" s="34" t="s">
        <v>1460</v>
      </c>
      <c r="C877" s="158" t="s">
        <v>935</v>
      </c>
      <c r="D877" s="34">
        <v>26</v>
      </c>
      <c r="E877" s="166" t="s">
        <v>1402</v>
      </c>
      <c r="F877" s="34">
        <v>62</v>
      </c>
      <c r="G877" s="37" t="s">
        <v>0</v>
      </c>
      <c r="H877" s="34">
        <v>15.8</v>
      </c>
      <c r="I877" s="34">
        <v>158</v>
      </c>
      <c r="J877" s="34">
        <v>1.3660000000000001</v>
      </c>
      <c r="K877" s="34">
        <v>34.700000000000003</v>
      </c>
      <c r="L877" s="34">
        <v>2.7320000000000002</v>
      </c>
      <c r="M877" s="34">
        <v>69.400000000000006</v>
      </c>
      <c r="N877" s="34">
        <v>0.84299999999999997</v>
      </c>
      <c r="O877" s="34">
        <v>21.4</v>
      </c>
      <c r="P877" s="34">
        <v>3.14</v>
      </c>
      <c r="Q877" s="34">
        <v>314</v>
      </c>
      <c r="R877" s="34">
        <v>49.7</v>
      </c>
      <c r="S877" s="34">
        <v>49700</v>
      </c>
      <c r="T877" s="34">
        <v>9.4499999999999993</v>
      </c>
      <c r="U877" s="34">
        <v>70</v>
      </c>
      <c r="V877" s="34" t="e">
        <v>#N/A</v>
      </c>
    </row>
  </sheetData>
  <autoFilter ref="B1:T818">
    <filterColumn colId="3">
      <filters>
        <filter val="Xflux"/>
      </filters>
    </filterColumn>
    <filterColumn colId="5">
      <filters>
        <filter val="Toroid"/>
      </filters>
    </filterColumn>
  </autoFilter>
  <sortState ref="A2:T800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121"/>
  <sheetViews>
    <sheetView topLeftCell="AA1" zoomScale="80" zoomScaleNormal="80" workbookViewId="0">
      <selection activeCell="AS7" sqref="AS7:AS8"/>
    </sheetView>
  </sheetViews>
  <sheetFormatPr defaultColWidth="12.28515625" defaultRowHeight="15"/>
  <cols>
    <col min="1" max="16" width="12.28515625" style="241" hidden="1" customWidth="1"/>
    <col min="17" max="17" width="15.140625" style="241" hidden="1" customWidth="1"/>
    <col min="18" max="24" width="12.28515625" style="241" hidden="1" customWidth="1"/>
    <col min="25" max="25" width="22.85546875" style="241" hidden="1" customWidth="1"/>
    <col min="26" max="26" width="12.28515625" style="241" hidden="1" customWidth="1"/>
    <col min="27" max="27" width="12.28515625" style="241" customWidth="1"/>
    <col min="28" max="33" width="12.28515625" style="241"/>
    <col min="34" max="34" width="11.140625" style="241" customWidth="1"/>
    <col min="35" max="35" width="10.7109375" style="241" customWidth="1"/>
    <col min="36" max="36" width="13.140625" style="241" customWidth="1"/>
    <col min="37" max="37" width="15.85546875" style="241" customWidth="1"/>
    <col min="38" max="38" width="4.7109375" style="241" customWidth="1"/>
    <col min="39" max="39" width="19.7109375" style="241" customWidth="1"/>
    <col min="40" max="40" width="4.42578125" style="241" customWidth="1"/>
    <col min="41" max="45" width="12.28515625" style="241"/>
    <col min="46" max="46" width="12.28515625" style="312"/>
    <col min="47" max="16384" width="12.28515625" style="241"/>
  </cols>
  <sheetData>
    <row r="1" spans="2:49" ht="15.75" thickBot="1">
      <c r="G1" s="400" t="s">
        <v>21</v>
      </c>
      <c r="H1" s="401"/>
      <c r="I1" s="402"/>
      <c r="J1" s="403" t="s">
        <v>1101</v>
      </c>
      <c r="K1" s="404"/>
      <c r="L1" s="405"/>
      <c r="N1" s="377" t="s">
        <v>796</v>
      </c>
      <c r="O1" s="377"/>
      <c r="P1" s="377"/>
      <c r="S1" s="377" t="s">
        <v>798</v>
      </c>
      <c r="T1" s="377"/>
      <c r="U1" s="377"/>
      <c r="X1" s="90"/>
      <c r="Y1" s="90"/>
      <c r="Z1" s="90"/>
      <c r="AA1" s="90"/>
      <c r="AB1" s="90"/>
      <c r="AC1" s="233"/>
      <c r="AD1" s="83"/>
      <c r="AE1" s="233"/>
      <c r="AF1" s="91"/>
      <c r="AG1" s="92"/>
      <c r="AH1" s="93"/>
      <c r="AI1" s="93"/>
      <c r="AJ1" s="93"/>
      <c r="AK1" s="90"/>
      <c r="AL1" s="396"/>
      <c r="AM1" s="396"/>
      <c r="AN1" s="396"/>
      <c r="AO1" s="90"/>
      <c r="AP1" s="396"/>
      <c r="AQ1" s="396"/>
      <c r="AR1" s="396"/>
      <c r="AS1" s="396"/>
      <c r="AT1" s="94"/>
      <c r="AU1" s="90"/>
      <c r="AV1" s="90"/>
      <c r="AW1" s="90"/>
    </row>
    <row r="2" spans="2:49" ht="28.5" customHeight="1">
      <c r="B2" s="376" t="s">
        <v>779</v>
      </c>
      <c r="C2" s="376"/>
      <c r="D2" s="376"/>
      <c r="G2" s="242"/>
      <c r="H2" s="243"/>
      <c r="I2" s="244"/>
      <c r="J2" s="245"/>
      <c r="K2" s="246"/>
      <c r="L2" s="247"/>
      <c r="N2" s="374" t="s">
        <v>785</v>
      </c>
      <c r="O2" s="374"/>
      <c r="P2" s="374"/>
      <c r="S2" s="374" t="s">
        <v>785</v>
      </c>
      <c r="T2" s="374"/>
      <c r="U2" s="374"/>
      <c r="X2" s="90"/>
      <c r="Y2" s="90"/>
      <c r="Z2" s="90"/>
      <c r="AA2" s="90"/>
      <c r="AB2" s="95"/>
      <c r="AC2" s="232"/>
      <c r="AD2" s="409" t="s">
        <v>1162</v>
      </c>
      <c r="AE2" s="413"/>
      <c r="AF2" s="96"/>
      <c r="AG2" s="97"/>
      <c r="AH2" s="397" t="s">
        <v>1163</v>
      </c>
      <c r="AI2" s="398"/>
      <c r="AJ2" s="399"/>
      <c r="AK2" s="97"/>
      <c r="AL2" s="397" t="s">
        <v>1164</v>
      </c>
      <c r="AM2" s="398"/>
      <c r="AN2" s="399"/>
      <c r="AO2" s="97"/>
      <c r="AP2" s="408" t="s">
        <v>1165</v>
      </c>
      <c r="AQ2" s="409"/>
      <c r="AR2" s="409"/>
      <c r="AS2" s="409"/>
      <c r="AT2" s="410"/>
      <c r="AU2" s="98"/>
      <c r="AV2" s="90"/>
      <c r="AW2" s="90"/>
    </row>
    <row r="3" spans="2:49" ht="33.75" customHeight="1" thickBot="1">
      <c r="B3" s="368" t="s">
        <v>780</v>
      </c>
      <c r="C3" s="369"/>
      <c r="D3" s="369"/>
      <c r="E3" s="248">
        <f>AE13</f>
        <v>9.6000000000000002E-2</v>
      </c>
      <c r="G3" s="242"/>
      <c r="H3" s="243"/>
      <c r="I3" s="244"/>
      <c r="J3" s="245"/>
      <c r="K3" s="246"/>
      <c r="L3" s="247"/>
      <c r="N3" s="361" t="s">
        <v>786</v>
      </c>
      <c r="O3" s="361"/>
      <c r="P3" s="361"/>
      <c r="Q3" s="248">
        <f>AM4</f>
        <v>55930</v>
      </c>
      <c r="S3" s="361" t="s">
        <v>786</v>
      </c>
      <c r="T3" s="361"/>
      <c r="U3" s="361"/>
      <c r="V3" s="248">
        <v>77351</v>
      </c>
      <c r="X3" s="90"/>
      <c r="Y3" s="90"/>
      <c r="Z3" s="90"/>
      <c r="AA3" s="90"/>
      <c r="AB3" s="95"/>
      <c r="AC3" s="99"/>
      <c r="AD3" s="414" t="s">
        <v>1157</v>
      </c>
      <c r="AE3" s="415"/>
      <c r="AF3" s="100"/>
      <c r="AG3" s="97"/>
      <c r="AH3" s="422" t="s">
        <v>1385</v>
      </c>
      <c r="AI3" s="423"/>
      <c r="AJ3" s="424"/>
      <c r="AK3" s="97"/>
      <c r="AL3" s="418" t="s">
        <v>1158</v>
      </c>
      <c r="AM3" s="419"/>
      <c r="AN3" s="420"/>
      <c r="AO3" s="97"/>
      <c r="AP3" s="101"/>
      <c r="AQ3" s="437" t="s">
        <v>1389</v>
      </c>
      <c r="AR3" s="438"/>
      <c r="AS3" s="439"/>
      <c r="AT3" s="103"/>
      <c r="AU3" s="98"/>
      <c r="AV3" s="90"/>
      <c r="AW3" s="90"/>
    </row>
    <row r="4" spans="2:49" ht="24" thickBot="1">
      <c r="B4" s="368" t="s">
        <v>944</v>
      </c>
      <c r="C4" s="369"/>
      <c r="D4" s="370"/>
      <c r="E4" s="249">
        <f>AE5</f>
        <v>8.33</v>
      </c>
      <c r="G4" s="242"/>
      <c r="H4" s="243"/>
      <c r="I4" s="244"/>
      <c r="J4" s="245"/>
      <c r="K4" s="246"/>
      <c r="L4" s="247"/>
      <c r="N4" s="361" t="s">
        <v>799</v>
      </c>
      <c r="O4" s="361"/>
      <c r="P4" s="361"/>
      <c r="Q4" s="248">
        <f>AE16</f>
        <v>1</v>
      </c>
      <c r="S4" s="361" t="s">
        <v>799</v>
      </c>
      <c r="T4" s="361"/>
      <c r="U4" s="361"/>
      <c r="V4" s="248">
        <v>1</v>
      </c>
      <c r="X4" s="90"/>
      <c r="Y4" s="90"/>
      <c r="Z4" s="90"/>
      <c r="AA4" s="90"/>
      <c r="AB4" s="95"/>
      <c r="AC4" s="84"/>
      <c r="AD4" s="108"/>
      <c r="AE4" s="90"/>
      <c r="AF4" s="100"/>
      <c r="AG4" s="97"/>
      <c r="AH4" s="446">
        <f>E15</f>
        <v>7.344121175999998</v>
      </c>
      <c r="AI4" s="447"/>
      <c r="AJ4" s="448"/>
      <c r="AK4" s="97"/>
      <c r="AL4" s="106"/>
      <c r="AM4" s="81">
        <v>55930</v>
      </c>
      <c r="AN4" s="105"/>
      <c r="AO4" s="97"/>
      <c r="AP4" s="387" t="s">
        <v>1191</v>
      </c>
      <c r="AQ4" s="388"/>
      <c r="AR4" s="107"/>
      <c r="AS4" s="390">
        <f>Q9</f>
        <v>8.9675290115748735E-2</v>
      </c>
      <c r="AT4" s="421" t="s">
        <v>1169</v>
      </c>
      <c r="AU4" s="98"/>
      <c r="AV4" s="90"/>
      <c r="AW4" s="90"/>
    </row>
    <row r="5" spans="2:49" ht="24" thickBot="1">
      <c r="B5" s="371" t="s">
        <v>822</v>
      </c>
      <c r="C5" s="372"/>
      <c r="D5" s="372"/>
      <c r="E5" s="248">
        <f>E6/2/1.732</f>
        <v>0.24047344110854502</v>
      </c>
      <c r="G5" s="242"/>
      <c r="H5" s="243"/>
      <c r="I5" s="244"/>
      <c r="J5" s="245"/>
      <c r="K5" s="246"/>
      <c r="L5" s="247"/>
      <c r="N5" s="361" t="s">
        <v>654</v>
      </c>
      <c r="O5" s="361"/>
      <c r="P5" s="361"/>
      <c r="Q5" s="250" t="str">
        <f>VLOOKUP(Q3,'Powder Core Detail'!$A$2:$T$985,5,FALSE)</f>
        <v>MPP</v>
      </c>
      <c r="S5" s="361" t="s">
        <v>654</v>
      </c>
      <c r="T5" s="361"/>
      <c r="U5" s="361"/>
      <c r="V5" s="250" t="str">
        <f>VLOOKUP(V3,'Powder Core Detail'!$A$2:$T$985,5,FALSE)</f>
        <v>Kool Mu</v>
      </c>
      <c r="X5" s="90"/>
      <c r="Y5" s="90"/>
      <c r="Z5" s="90"/>
      <c r="AA5" s="90"/>
      <c r="AB5" s="95"/>
      <c r="AC5" s="87" t="s">
        <v>1171</v>
      </c>
      <c r="AD5" s="104"/>
      <c r="AE5" s="81">
        <v>8.33</v>
      </c>
      <c r="AF5" s="112" t="s">
        <v>1166</v>
      </c>
      <c r="AG5" s="97"/>
      <c r="AH5" s="251"/>
      <c r="AI5" s="252"/>
      <c r="AJ5" s="253"/>
      <c r="AK5" s="97"/>
      <c r="AL5" s="110"/>
      <c r="AM5" s="92"/>
      <c r="AN5" s="111"/>
      <c r="AO5" s="97"/>
      <c r="AP5" s="389"/>
      <c r="AQ5" s="388"/>
      <c r="AR5" s="107"/>
      <c r="AS5" s="391"/>
      <c r="AT5" s="407"/>
      <c r="AU5" s="98"/>
      <c r="AV5" s="90"/>
      <c r="AW5" s="90"/>
    </row>
    <row r="6" spans="2:49" ht="16.5" customHeight="1" thickBot="1">
      <c r="B6" s="371" t="s">
        <v>823</v>
      </c>
      <c r="C6" s="372"/>
      <c r="D6" s="372"/>
      <c r="E6" s="248">
        <f>AE7</f>
        <v>0.83299999999999996</v>
      </c>
      <c r="G6" s="242"/>
      <c r="H6" s="243"/>
      <c r="I6" s="244"/>
      <c r="J6" s="245"/>
      <c r="K6" s="246"/>
      <c r="L6" s="247"/>
      <c r="N6" s="371" t="s">
        <v>787</v>
      </c>
      <c r="O6" s="372"/>
      <c r="P6" s="373"/>
      <c r="Q6" s="250">
        <f>VLOOKUP(Q3,'Powder Core Detail'!$A$2:$T$985,4,FALSE)</f>
        <v>125</v>
      </c>
      <c r="S6" s="371" t="s">
        <v>787</v>
      </c>
      <c r="T6" s="372"/>
      <c r="U6" s="373"/>
      <c r="V6" s="250">
        <f>VLOOKUP(V3,'Powder Core Detail'!$A$2:$T$985,4,FALSE)</f>
        <v>60</v>
      </c>
      <c r="X6" s="90"/>
      <c r="Y6" s="90"/>
      <c r="Z6" s="90"/>
      <c r="AA6" s="90"/>
      <c r="AB6" s="95"/>
      <c r="AC6" s="84"/>
      <c r="AD6" s="108"/>
      <c r="AE6" s="109"/>
      <c r="AF6" s="100"/>
      <c r="AG6" s="97"/>
      <c r="AH6" s="425" t="s">
        <v>1386</v>
      </c>
      <c r="AI6" s="426"/>
      <c r="AJ6" s="427"/>
      <c r="AK6" s="97"/>
      <c r="AL6" s="440" t="s">
        <v>1390</v>
      </c>
      <c r="AM6" s="441"/>
      <c r="AN6" s="442"/>
      <c r="AO6" s="97"/>
      <c r="AP6" s="88"/>
      <c r="AQ6" s="113"/>
      <c r="AR6" s="114"/>
      <c r="AS6" s="115"/>
      <c r="AT6" s="103"/>
      <c r="AU6" s="98"/>
      <c r="AV6" s="90"/>
      <c r="AW6" s="90"/>
    </row>
    <row r="7" spans="2:49" ht="15" customHeight="1" thickBot="1">
      <c r="B7" s="371" t="s">
        <v>781</v>
      </c>
      <c r="C7" s="372"/>
      <c r="D7" s="372"/>
      <c r="E7" s="248">
        <f>AE10</f>
        <v>100</v>
      </c>
      <c r="G7" s="242"/>
      <c r="H7" s="243"/>
      <c r="I7" s="244"/>
      <c r="J7" s="245"/>
      <c r="K7" s="246"/>
      <c r="L7" s="247"/>
      <c r="N7" s="371" t="s">
        <v>797</v>
      </c>
      <c r="O7" s="372"/>
      <c r="P7" s="373"/>
      <c r="Q7" s="250">
        <f>(VLOOKUP(Q3,'Powder Core Detail'!$A$2:$T$985,6,FALSE))*Q4</f>
        <v>157</v>
      </c>
      <c r="S7" s="371" t="s">
        <v>797</v>
      </c>
      <c r="T7" s="372"/>
      <c r="U7" s="373"/>
      <c r="V7" s="250">
        <f>(VLOOKUP(V3,'Powder Core Detail'!$A$2:$T$985,6,FALSE))*V4</f>
        <v>51</v>
      </c>
      <c r="X7" s="90"/>
      <c r="Y7" s="90"/>
      <c r="Z7" s="90"/>
      <c r="AA7" s="90"/>
      <c r="AB7" s="95"/>
      <c r="AC7" s="85" t="s">
        <v>1167</v>
      </c>
      <c r="AD7" s="116"/>
      <c r="AE7" s="416">
        <v>0.83299999999999996</v>
      </c>
      <c r="AF7" s="411" t="s">
        <v>1170</v>
      </c>
      <c r="AG7" s="97"/>
      <c r="AH7" s="428"/>
      <c r="AI7" s="429"/>
      <c r="AJ7" s="430"/>
      <c r="AK7" s="97"/>
      <c r="AL7" s="110"/>
      <c r="AM7" s="92"/>
      <c r="AN7" s="111"/>
      <c r="AO7" s="97"/>
      <c r="AP7" s="392" t="s">
        <v>1192</v>
      </c>
      <c r="AQ7" s="388"/>
      <c r="AR7" s="107"/>
      <c r="AS7" s="393">
        <f>Q12</f>
        <v>0.27694800000000003</v>
      </c>
      <c r="AT7" s="421" t="s">
        <v>1169</v>
      </c>
      <c r="AU7" s="98"/>
      <c r="AV7" s="90"/>
      <c r="AW7" s="90"/>
    </row>
    <row r="8" spans="2:49" ht="15" customHeight="1" thickBot="1">
      <c r="B8" s="371" t="s">
        <v>993</v>
      </c>
      <c r="C8" s="372"/>
      <c r="D8" s="373"/>
      <c r="E8" s="248">
        <f>AE18</f>
        <v>8.33</v>
      </c>
      <c r="G8" s="242"/>
      <c r="H8" s="243"/>
      <c r="I8" s="244"/>
      <c r="J8" s="245"/>
      <c r="K8" s="246"/>
      <c r="L8" s="247"/>
      <c r="N8" s="371" t="s">
        <v>995</v>
      </c>
      <c r="O8" s="372"/>
      <c r="P8" s="373"/>
      <c r="Q8" s="254">
        <f>IF(E8=0,"No Value",(Q43*Q54)*Q49^2/10^6)</f>
        <v>9.6163763394335466E-2</v>
      </c>
      <c r="S8" s="371" t="s">
        <v>995</v>
      </c>
      <c r="T8" s="372"/>
      <c r="U8" s="373"/>
      <c r="V8" s="254">
        <f>IF(E8=0,"No Value",(V43*V54)*V49^2/10^6)</f>
        <v>195.30330823388618</v>
      </c>
      <c r="X8" s="90"/>
      <c r="Y8" s="90"/>
      <c r="Z8" s="90"/>
      <c r="AA8" s="90"/>
      <c r="AB8" s="95"/>
      <c r="AC8" s="86"/>
      <c r="AD8" s="116"/>
      <c r="AE8" s="417"/>
      <c r="AF8" s="412"/>
      <c r="AG8" s="97"/>
      <c r="AH8" s="255"/>
      <c r="AI8" s="256"/>
      <c r="AJ8" s="257"/>
      <c r="AK8" s="97"/>
      <c r="AL8" s="110"/>
      <c r="AM8" s="81">
        <v>13</v>
      </c>
      <c r="AN8" s="111"/>
      <c r="AO8" s="97"/>
      <c r="AP8" s="389"/>
      <c r="AQ8" s="388"/>
      <c r="AR8" s="107"/>
      <c r="AS8" s="394"/>
      <c r="AT8" s="407"/>
      <c r="AU8" s="98"/>
      <c r="AV8" s="90"/>
      <c r="AW8" s="90"/>
    </row>
    <row r="9" spans="2:49" ht="16.5" thickBot="1">
      <c r="B9" s="361" t="s">
        <v>929</v>
      </c>
      <c r="C9" s="361"/>
      <c r="D9" s="361"/>
      <c r="E9" s="248"/>
      <c r="G9" s="242"/>
      <c r="H9" s="243"/>
      <c r="I9" s="244"/>
      <c r="J9" s="245"/>
      <c r="K9" s="246"/>
      <c r="L9" s="247"/>
      <c r="N9" s="368" t="s">
        <v>941</v>
      </c>
      <c r="O9" s="369"/>
      <c r="P9" s="370"/>
      <c r="Q9" s="254">
        <f>(Q43*Q51)*Q49^2/10^6</f>
        <v>8.9675290115748735E-2</v>
      </c>
      <c r="S9" s="368" t="s">
        <v>941</v>
      </c>
      <c r="T9" s="369"/>
      <c r="U9" s="370"/>
      <c r="V9" s="254">
        <f>(V43*V51)*V49^2/10^6</f>
        <v>215.32184430328903</v>
      </c>
      <c r="X9" s="90"/>
      <c r="Y9" s="90"/>
      <c r="Z9" s="90"/>
      <c r="AA9" s="90"/>
      <c r="AB9" s="95"/>
      <c r="AC9" s="84"/>
      <c r="AD9" s="108"/>
      <c r="AE9" s="109"/>
      <c r="AF9" s="100"/>
      <c r="AG9" s="97"/>
      <c r="AH9" s="255"/>
      <c r="AI9" s="256"/>
      <c r="AJ9" s="257"/>
      <c r="AK9" s="97"/>
      <c r="AL9" s="110"/>
      <c r="AM9" s="220" t="s">
        <v>1184</v>
      </c>
      <c r="AN9" s="111"/>
      <c r="AO9" s="97"/>
      <c r="AP9" s="88"/>
      <c r="AQ9" s="113"/>
      <c r="AR9" s="114"/>
      <c r="AS9" s="115"/>
      <c r="AT9" s="103"/>
      <c r="AU9" s="98"/>
      <c r="AV9" s="90"/>
      <c r="AW9" s="90"/>
    </row>
    <row r="10" spans="2:49" ht="15" customHeight="1" thickBot="1">
      <c r="B10" s="361" t="s">
        <v>996</v>
      </c>
      <c r="C10" s="361"/>
      <c r="D10" s="361"/>
      <c r="E10" s="248">
        <v>25</v>
      </c>
      <c r="G10" s="258"/>
      <c r="H10" s="259"/>
      <c r="I10" s="260"/>
      <c r="J10" s="261"/>
      <c r="K10" s="262"/>
      <c r="L10" s="263"/>
      <c r="N10" s="361" t="s">
        <v>943</v>
      </c>
      <c r="O10" s="361"/>
      <c r="P10" s="361"/>
      <c r="Q10" s="254">
        <f>(Q43*Q50)*Q49^2/10^6</f>
        <v>9.6163763394335466E-2</v>
      </c>
      <c r="S10" s="361" t="s">
        <v>943</v>
      </c>
      <c r="T10" s="361"/>
      <c r="U10" s="361"/>
      <c r="V10" s="254">
        <f>(V43*V50)*V49^2/10^6</f>
        <v>195.30330823388618</v>
      </c>
      <c r="X10" s="90"/>
      <c r="Y10" s="90"/>
      <c r="Z10" s="90"/>
      <c r="AA10" s="90"/>
      <c r="AB10" s="95"/>
      <c r="AC10" s="87" t="s">
        <v>1172</v>
      </c>
      <c r="AD10" s="104"/>
      <c r="AE10" s="81">
        <v>100</v>
      </c>
      <c r="AF10" s="117" t="s">
        <v>1168</v>
      </c>
      <c r="AG10" s="97"/>
      <c r="AH10" s="255"/>
      <c r="AI10" s="256"/>
      <c r="AJ10" s="257"/>
      <c r="AK10" s="97"/>
      <c r="AL10" s="99"/>
      <c r="AM10" s="90"/>
      <c r="AN10" s="100"/>
      <c r="AO10" s="97"/>
      <c r="AP10" s="392" t="s">
        <v>1185</v>
      </c>
      <c r="AQ10" s="388"/>
      <c r="AR10" s="95"/>
      <c r="AS10" s="393">
        <f>Q8</f>
        <v>9.6163763394335466E-2</v>
      </c>
      <c r="AT10" s="421" t="s">
        <v>1169</v>
      </c>
      <c r="AU10" s="98"/>
      <c r="AV10" s="90"/>
      <c r="AW10" s="90"/>
    </row>
    <row r="11" spans="2:49" ht="15" customHeight="1" thickBot="1">
      <c r="B11" s="361" t="s">
        <v>1155</v>
      </c>
      <c r="C11" s="361"/>
      <c r="D11" s="361"/>
      <c r="E11" s="248">
        <f>AE16</f>
        <v>1</v>
      </c>
      <c r="N11" s="368" t="s">
        <v>942</v>
      </c>
      <c r="O11" s="369"/>
      <c r="P11" s="370"/>
      <c r="Q11" s="254">
        <f>(Q43*Q52)*Q49^2/10^6</f>
        <v>0.10317546558171994</v>
      </c>
      <c r="S11" s="368" t="s">
        <v>942</v>
      </c>
      <c r="T11" s="369"/>
      <c r="U11" s="370"/>
      <c r="V11" s="254">
        <f>(V43*V52)*V49^2/10^6</f>
        <v>176.26128608883081</v>
      </c>
      <c r="X11" s="90"/>
      <c r="Y11" s="90"/>
      <c r="Z11" s="90"/>
      <c r="AA11" s="90"/>
      <c r="AB11" s="95"/>
      <c r="AC11" s="84"/>
      <c r="AD11" s="108"/>
      <c r="AE11" s="118"/>
      <c r="AF11" s="100"/>
      <c r="AG11" s="97"/>
      <c r="AH11" s="255"/>
      <c r="AI11" s="256"/>
      <c r="AJ11" s="257"/>
      <c r="AK11" s="97"/>
      <c r="AL11" s="99"/>
      <c r="AM11" s="90"/>
      <c r="AN11" s="100"/>
      <c r="AO11" s="97"/>
      <c r="AP11" s="389"/>
      <c r="AQ11" s="388"/>
      <c r="AR11" s="95"/>
      <c r="AS11" s="394"/>
      <c r="AT11" s="407"/>
      <c r="AU11" s="98"/>
      <c r="AV11" s="90"/>
      <c r="AW11" s="90"/>
    </row>
    <row r="12" spans="2:49" ht="16.5" thickBot="1">
      <c r="N12" s="361" t="s">
        <v>811</v>
      </c>
      <c r="O12" s="361"/>
      <c r="P12" s="361"/>
      <c r="Q12" s="254">
        <f>(Q7)*Q49^2/10^6</f>
        <v>0.27694800000000003</v>
      </c>
      <c r="S12" s="361" t="s">
        <v>811</v>
      </c>
      <c r="T12" s="361"/>
      <c r="U12" s="361"/>
      <c r="V12" s="254">
        <f>(V7)*V49^2/10^6</f>
        <v>5.5538999999999998E-2</v>
      </c>
      <c r="X12" s="90"/>
      <c r="Y12" s="90"/>
      <c r="Z12" s="90"/>
      <c r="AA12" s="90"/>
      <c r="AB12" s="95"/>
      <c r="AC12" s="84"/>
      <c r="AD12" s="108"/>
      <c r="AE12" s="233"/>
      <c r="AF12" s="100"/>
      <c r="AG12" s="97"/>
      <c r="AH12" s="255"/>
      <c r="AI12" s="256"/>
      <c r="AJ12" s="257"/>
      <c r="AK12" s="97"/>
      <c r="AL12" s="431" t="s">
        <v>654</v>
      </c>
      <c r="AM12" s="432"/>
      <c r="AN12" s="433"/>
      <c r="AO12" s="97"/>
      <c r="AP12" s="231"/>
      <c r="AQ12" s="230"/>
      <c r="AR12" s="95"/>
      <c r="AS12" s="264"/>
      <c r="AT12" s="229"/>
      <c r="AU12" s="98"/>
      <c r="AV12" s="90"/>
      <c r="AW12" s="90"/>
    </row>
    <row r="13" spans="2:49" ht="15.75" customHeight="1" thickBot="1">
      <c r="N13" s="368" t="s">
        <v>978</v>
      </c>
      <c r="O13" s="369"/>
      <c r="P13" s="370"/>
      <c r="Q13" s="254">
        <f>(Q7*Q53)*Q49^2/10^6</f>
        <v>5.6573123110550044E-2</v>
      </c>
      <c r="S13" s="368" t="s">
        <v>978</v>
      </c>
      <c r="T13" s="369"/>
      <c r="U13" s="370"/>
      <c r="V13" s="254">
        <f>(V7*V53)*V49^2/10^6</f>
        <v>455.1242831930083</v>
      </c>
      <c r="X13" s="90"/>
      <c r="Y13" s="90"/>
      <c r="Z13" s="90"/>
      <c r="AA13" s="90"/>
      <c r="AB13" s="95"/>
      <c r="AC13" s="87" t="s">
        <v>1173</v>
      </c>
      <c r="AD13" s="104"/>
      <c r="AE13" s="81">
        <v>9.6000000000000002E-2</v>
      </c>
      <c r="AF13" s="117" t="s">
        <v>1169</v>
      </c>
      <c r="AG13" s="97"/>
      <c r="AH13" s="265"/>
      <c r="AI13" s="266"/>
      <c r="AJ13" s="267"/>
      <c r="AK13" s="97"/>
      <c r="AL13" s="365" t="str">
        <f>Q5</f>
        <v>MPP</v>
      </c>
      <c r="AM13" s="366"/>
      <c r="AN13" s="367"/>
      <c r="AO13" s="97"/>
      <c r="AP13" s="387" t="s">
        <v>821</v>
      </c>
      <c r="AQ13" s="436"/>
      <c r="AR13" s="90"/>
      <c r="AS13" s="268">
        <f>Q15</f>
        <v>2.9255254497164079E-2</v>
      </c>
      <c r="AT13" s="117" t="s">
        <v>1177</v>
      </c>
      <c r="AU13" s="98"/>
      <c r="AV13" s="90"/>
      <c r="AW13" s="90"/>
    </row>
    <row r="14" spans="2:49" ht="16.5" thickBot="1">
      <c r="B14" s="269"/>
      <c r="C14" s="269" t="s">
        <v>782</v>
      </c>
      <c r="D14" s="269"/>
      <c r="G14" s="381" t="s">
        <v>298</v>
      </c>
      <c r="H14" s="382"/>
      <c r="I14" s="383"/>
      <c r="J14" s="384" t="s">
        <v>1132</v>
      </c>
      <c r="K14" s="385"/>
      <c r="L14" s="386"/>
      <c r="N14" s="368" t="s">
        <v>988</v>
      </c>
      <c r="O14" s="369"/>
      <c r="P14" s="370"/>
      <c r="Q14" s="270">
        <f>0.292*(Q22^1.065)*Q94/Q45</f>
        <v>1.6104504562085784</v>
      </c>
      <c r="S14" s="368" t="s">
        <v>988</v>
      </c>
      <c r="T14" s="369"/>
      <c r="U14" s="370"/>
      <c r="V14" s="270">
        <f>0.292*(V22^1.065)*V94/V45</f>
        <v>0.7980950127515094</v>
      </c>
      <c r="X14" s="90"/>
      <c r="Y14" s="90"/>
      <c r="Z14" s="90"/>
      <c r="AA14" s="90"/>
      <c r="AB14" s="95"/>
      <c r="AC14" s="84"/>
      <c r="AD14" s="108"/>
      <c r="AE14" s="118"/>
      <c r="AF14" s="100"/>
      <c r="AG14" s="97"/>
      <c r="AH14" s="217"/>
      <c r="AI14" s="218"/>
      <c r="AJ14" s="219"/>
      <c r="AK14" s="98"/>
      <c r="AL14" s="431" t="s">
        <v>1383</v>
      </c>
      <c r="AM14" s="432"/>
      <c r="AN14" s="433"/>
      <c r="AO14" s="95"/>
      <c r="AP14" s="119"/>
      <c r="AQ14" s="120"/>
      <c r="AR14" s="90"/>
      <c r="AS14" s="121"/>
      <c r="AT14" s="103"/>
      <c r="AU14" s="98"/>
      <c r="AV14" s="90"/>
      <c r="AW14" s="90"/>
    </row>
    <row r="15" spans="2:49" ht="15" customHeight="1" thickBot="1">
      <c r="B15" s="378" t="s">
        <v>926</v>
      </c>
      <c r="C15" s="379"/>
      <c r="D15" s="380"/>
      <c r="E15" s="271">
        <f>E3*E16^2</f>
        <v>7.344121175999998</v>
      </c>
      <c r="G15" s="272"/>
      <c r="H15" s="273"/>
      <c r="I15" s="274"/>
      <c r="J15" s="275"/>
      <c r="K15" s="276"/>
      <c r="L15" s="277"/>
      <c r="N15" s="361" t="s">
        <v>821</v>
      </c>
      <c r="O15" s="361"/>
      <c r="P15" s="361"/>
      <c r="Q15" s="270">
        <f>(Q62*Q46)/1000</f>
        <v>2.9255254497164079E-2</v>
      </c>
      <c r="S15" s="361" t="s">
        <v>821</v>
      </c>
      <c r="T15" s="361"/>
      <c r="U15" s="361"/>
      <c r="V15" s="270">
        <f>(V62*V46)/1000</f>
        <v>2.9551886363588579E-2</v>
      </c>
      <c r="X15" s="90"/>
      <c r="Y15" s="90"/>
      <c r="Z15" s="90"/>
      <c r="AA15" s="90"/>
      <c r="AB15" s="95"/>
      <c r="AC15" s="84"/>
      <c r="AD15" s="108"/>
      <c r="AE15" s="233"/>
      <c r="AF15" s="100"/>
      <c r="AG15" s="97"/>
      <c r="AH15" s="90"/>
      <c r="AI15" s="90"/>
      <c r="AJ15" s="90"/>
      <c r="AK15" s="98"/>
      <c r="AL15" s="365">
        <f>Q65</f>
        <v>27.69</v>
      </c>
      <c r="AM15" s="366"/>
      <c r="AN15" s="367"/>
      <c r="AO15" s="95"/>
      <c r="AP15" s="387" t="s">
        <v>819</v>
      </c>
      <c r="AQ15" s="436"/>
      <c r="AR15" s="95"/>
      <c r="AS15" s="268">
        <f>Q16</f>
        <v>1.0467690591497989</v>
      </c>
      <c r="AT15" s="117" t="s">
        <v>1177</v>
      </c>
      <c r="AU15" s="98"/>
      <c r="AV15" s="90"/>
      <c r="AW15" s="90"/>
    </row>
    <row r="16" spans="2:49" ht="15" customHeight="1" thickBot="1">
      <c r="B16" s="378" t="s">
        <v>984</v>
      </c>
      <c r="C16" s="379"/>
      <c r="D16" s="380"/>
      <c r="E16" s="278">
        <f>IF(E4=0,E6/2,E4+(0.5*E6))</f>
        <v>8.7464999999999993</v>
      </c>
      <c r="G16" s="272"/>
      <c r="H16" s="273"/>
      <c r="I16" s="274"/>
      <c r="J16" s="275"/>
      <c r="K16" s="276"/>
      <c r="L16" s="277"/>
      <c r="N16" s="361" t="s">
        <v>819</v>
      </c>
      <c r="O16" s="361"/>
      <c r="P16" s="361"/>
      <c r="Q16" s="270">
        <f>E4^2*Q38/1000+E5^2*Q39/1000</f>
        <v>1.0467690591497989</v>
      </c>
      <c r="S16" s="361" t="s">
        <v>819</v>
      </c>
      <c r="T16" s="361"/>
      <c r="U16" s="361"/>
      <c r="V16" s="270" t="e">
        <f>IF(V29=1,#REF!+#REF!,#REF!+#REF!)</f>
        <v>#REF!</v>
      </c>
      <c r="X16" s="90"/>
      <c r="Y16" s="90"/>
      <c r="Z16" s="90"/>
      <c r="AA16" s="90"/>
      <c r="AB16" s="95"/>
      <c r="AC16" s="84" t="s">
        <v>1156</v>
      </c>
      <c r="AD16" s="104"/>
      <c r="AE16" s="81">
        <v>1</v>
      </c>
      <c r="AF16" s="279"/>
      <c r="AG16" s="97"/>
      <c r="AH16" s="90"/>
      <c r="AI16" s="90"/>
      <c r="AJ16" s="90"/>
      <c r="AK16" s="98"/>
      <c r="AL16" s="431" t="s">
        <v>1461</v>
      </c>
      <c r="AM16" s="432"/>
      <c r="AN16" s="433"/>
      <c r="AO16" s="95"/>
      <c r="AP16" s="119"/>
      <c r="AQ16" s="120"/>
      <c r="AR16" s="95"/>
      <c r="AS16" s="90"/>
      <c r="AT16" s="117"/>
      <c r="AU16" s="98"/>
      <c r="AV16" s="90"/>
      <c r="AW16" s="90"/>
    </row>
    <row r="17" spans="2:49" ht="15.75" thickBot="1">
      <c r="B17" s="368" t="s">
        <v>985</v>
      </c>
      <c r="C17" s="369"/>
      <c r="D17" s="370"/>
      <c r="E17" s="278">
        <f>IF(E4=0,E6/2,E4-(0.5*E6))</f>
        <v>7.9135</v>
      </c>
      <c r="G17" s="272"/>
      <c r="H17" s="273"/>
      <c r="I17" s="274"/>
      <c r="J17" s="275"/>
      <c r="K17" s="276"/>
      <c r="L17" s="277"/>
      <c r="N17" s="361" t="s">
        <v>820</v>
      </c>
      <c r="O17" s="361"/>
      <c r="P17" s="361"/>
      <c r="Q17" s="270">
        <f>Q15+Q16</f>
        <v>1.0760243136469629</v>
      </c>
      <c r="S17" s="361" t="s">
        <v>820</v>
      </c>
      <c r="T17" s="361"/>
      <c r="U17" s="361"/>
      <c r="V17" s="270" t="e">
        <f>V15+V16</f>
        <v>#REF!</v>
      </c>
      <c r="X17" s="90"/>
      <c r="Y17" s="90"/>
      <c r="Z17" s="90"/>
      <c r="AA17" s="90"/>
      <c r="AB17" s="95"/>
      <c r="AC17" s="99"/>
      <c r="AD17" s="98"/>
      <c r="AE17" s="127"/>
      <c r="AF17" s="100"/>
      <c r="AG17" s="163"/>
      <c r="AH17" s="90"/>
      <c r="AI17" s="90"/>
      <c r="AJ17" s="90"/>
      <c r="AK17" s="98"/>
      <c r="AL17" s="365">
        <f>Q66</f>
        <v>14.1</v>
      </c>
      <c r="AM17" s="366"/>
      <c r="AN17" s="367"/>
      <c r="AO17" s="95"/>
      <c r="AP17" s="88" t="s">
        <v>1159</v>
      </c>
      <c r="AQ17" s="113"/>
      <c r="AR17" s="95"/>
      <c r="AS17" s="268">
        <f>Q17</f>
        <v>1.0760243136469629</v>
      </c>
      <c r="AT17" s="117" t="s">
        <v>1177</v>
      </c>
      <c r="AU17" s="98"/>
      <c r="AV17" s="90"/>
      <c r="AW17" s="90"/>
    </row>
    <row r="18" spans="2:49" ht="33.75" customHeight="1" thickBot="1">
      <c r="B18" s="368" t="s">
        <v>986</v>
      </c>
      <c r="C18" s="369"/>
      <c r="D18" s="370"/>
      <c r="E18" s="250">
        <f>E4</f>
        <v>8.33</v>
      </c>
      <c r="G18" s="272"/>
      <c r="H18" s="273"/>
      <c r="I18" s="274"/>
      <c r="J18" s="275"/>
      <c r="K18" s="276"/>
      <c r="L18" s="277"/>
      <c r="N18" s="361" t="s">
        <v>818</v>
      </c>
      <c r="O18" s="361"/>
      <c r="P18" s="361"/>
      <c r="Q18" s="280">
        <f>Q33*Q49/Q44</f>
        <v>0.76461538461538447</v>
      </c>
      <c r="S18" s="361" t="s">
        <v>818</v>
      </c>
      <c r="T18" s="361"/>
      <c r="U18" s="361"/>
      <c r="V18" s="280">
        <f>V33*V49/V44</f>
        <v>7.3751677852348996</v>
      </c>
      <c r="X18" s="90"/>
      <c r="Y18" s="90"/>
      <c r="Z18" s="90"/>
      <c r="AA18" s="90"/>
      <c r="AB18" s="95"/>
      <c r="AC18" s="85" t="s">
        <v>1174</v>
      </c>
      <c r="AD18" s="116"/>
      <c r="AE18" s="82">
        <v>8.33</v>
      </c>
      <c r="AF18" s="117" t="s">
        <v>1166</v>
      </c>
      <c r="AG18" s="98"/>
      <c r="AH18" s="90"/>
      <c r="AI18" s="90"/>
      <c r="AJ18" s="90"/>
      <c r="AK18" s="90"/>
      <c r="AL18" s="431" t="s">
        <v>1462</v>
      </c>
      <c r="AM18" s="432"/>
      <c r="AN18" s="433"/>
      <c r="AO18" s="95"/>
      <c r="AP18" s="119"/>
      <c r="AQ18" s="120"/>
      <c r="AR18" s="90"/>
      <c r="AS18" s="121"/>
      <c r="AT18" s="103"/>
      <c r="AU18" s="98"/>
      <c r="AV18" s="90"/>
      <c r="AW18" s="90"/>
    </row>
    <row r="19" spans="2:49" ht="15.75" thickBot="1">
      <c r="B19" s="368" t="s">
        <v>987</v>
      </c>
      <c r="C19" s="369"/>
      <c r="D19" s="370"/>
      <c r="E19" s="281">
        <f>(E4*SQRT(2))+(E6/2)</f>
        <v>12.196898974567882</v>
      </c>
      <c r="G19" s="272"/>
      <c r="H19" s="273"/>
      <c r="I19" s="274"/>
      <c r="J19" s="275"/>
      <c r="K19" s="276"/>
      <c r="L19" s="277"/>
      <c r="N19" s="361" t="s">
        <v>1001</v>
      </c>
      <c r="O19" s="361"/>
      <c r="P19" s="361"/>
      <c r="Q19" s="270">
        <f>Q38</f>
        <v>15.054175764208781</v>
      </c>
      <c r="S19" s="361" t="s">
        <v>992</v>
      </c>
      <c r="T19" s="361"/>
      <c r="U19" s="361"/>
      <c r="V19" s="270">
        <f>V38</f>
        <v>-2.3551093934894318</v>
      </c>
      <c r="X19" s="90"/>
      <c r="Y19" s="90"/>
      <c r="Z19" s="90"/>
      <c r="AA19" s="90"/>
      <c r="AB19" s="95"/>
      <c r="AC19" s="99"/>
      <c r="AD19" s="98"/>
      <c r="AE19" s="92"/>
      <c r="AF19" s="100"/>
      <c r="AG19" s="98"/>
      <c r="AH19" s="126"/>
      <c r="AI19" s="126"/>
      <c r="AJ19" s="126"/>
      <c r="AK19" s="90"/>
      <c r="AL19" s="365">
        <f>Q67/AE16</f>
        <v>12</v>
      </c>
      <c r="AM19" s="366"/>
      <c r="AN19" s="367"/>
      <c r="AO19" s="95"/>
      <c r="AP19" s="89" t="s">
        <v>1176</v>
      </c>
      <c r="AQ19" s="113"/>
      <c r="AR19" s="95"/>
      <c r="AS19" s="282">
        <f>Q20</f>
        <v>14.87728827994704</v>
      </c>
      <c r="AT19" s="216" t="s">
        <v>1175</v>
      </c>
      <c r="AU19" s="98"/>
      <c r="AV19" s="90"/>
      <c r="AW19" s="90"/>
    </row>
    <row r="20" spans="2:49" ht="16.5" thickBot="1">
      <c r="B20" s="361" t="s">
        <v>980</v>
      </c>
      <c r="C20" s="361"/>
      <c r="D20" s="361"/>
      <c r="E20" s="250">
        <f>E8</f>
        <v>8.33</v>
      </c>
      <c r="G20" s="272"/>
      <c r="H20" s="273"/>
      <c r="I20" s="274"/>
      <c r="J20" s="275"/>
      <c r="K20" s="276"/>
      <c r="L20" s="277"/>
      <c r="N20" s="361" t="s">
        <v>854</v>
      </c>
      <c r="O20" s="361"/>
      <c r="P20" s="361"/>
      <c r="Q20" s="283">
        <f>(Q17*1000/Q40)^0.833</f>
        <v>14.87728827994704</v>
      </c>
      <c r="S20" s="361" t="s">
        <v>854</v>
      </c>
      <c r="T20" s="361"/>
      <c r="U20" s="361"/>
      <c r="V20" s="283" t="e">
        <f>V21-E10</f>
        <v>#REF!</v>
      </c>
      <c r="X20" s="90"/>
      <c r="Y20" s="90"/>
      <c r="Z20" s="90"/>
      <c r="AA20" s="90"/>
      <c r="AB20" s="95"/>
      <c r="AC20" s="137" t="s">
        <v>1176</v>
      </c>
      <c r="AD20" s="212"/>
      <c r="AE20" s="81">
        <v>80</v>
      </c>
      <c r="AF20" s="213" t="s">
        <v>1175</v>
      </c>
      <c r="AG20" s="98"/>
      <c r="AH20" s="90"/>
      <c r="AI20" s="90"/>
      <c r="AJ20" s="90"/>
      <c r="AK20" s="90"/>
      <c r="AL20" s="431" t="s">
        <v>1387</v>
      </c>
      <c r="AM20" s="432"/>
      <c r="AN20" s="433"/>
      <c r="AO20" s="95"/>
      <c r="AP20" s="119"/>
      <c r="AQ20" s="120"/>
      <c r="AR20" s="90"/>
      <c r="AS20" s="121"/>
      <c r="AT20" s="103"/>
      <c r="AU20" s="98"/>
      <c r="AV20" s="90"/>
      <c r="AW20" s="90"/>
    </row>
    <row r="21" spans="2:49" ht="15.75" thickBot="1">
      <c r="B21" s="361" t="s">
        <v>1100</v>
      </c>
      <c r="C21" s="361"/>
      <c r="D21" s="361"/>
      <c r="E21" s="250">
        <v>6</v>
      </c>
      <c r="G21" s="272"/>
      <c r="H21" s="273"/>
      <c r="I21" s="274"/>
      <c r="J21" s="275"/>
      <c r="K21" s="276"/>
      <c r="L21" s="277"/>
      <c r="N21" s="368" t="s">
        <v>982</v>
      </c>
      <c r="O21" s="369"/>
      <c r="P21" s="370"/>
      <c r="Q21" s="283">
        <f>Q20+$E$10</f>
        <v>39.877288279947038</v>
      </c>
      <c r="S21" s="368" t="s">
        <v>982</v>
      </c>
      <c r="T21" s="369"/>
      <c r="U21" s="370"/>
      <c r="V21" s="283" t="e">
        <f>IF(V29=1,#REF!,#REF!)</f>
        <v>#REF!</v>
      </c>
      <c r="X21" s="90"/>
      <c r="Y21" s="90"/>
      <c r="Z21" s="90"/>
      <c r="AA21" s="90"/>
      <c r="AB21" s="95"/>
      <c r="AC21" s="284"/>
      <c r="AD21" s="285"/>
      <c r="AE21" s="286"/>
      <c r="AF21" s="287"/>
      <c r="AG21" s="98"/>
      <c r="AH21" s="90"/>
      <c r="AI21" s="90"/>
      <c r="AJ21" s="90"/>
      <c r="AK21" s="90"/>
      <c r="AL21" s="434">
        <f>Q6</f>
        <v>125</v>
      </c>
      <c r="AM21" s="369"/>
      <c r="AN21" s="435"/>
      <c r="AO21" s="95"/>
      <c r="AP21" s="88" t="s">
        <v>855</v>
      </c>
      <c r="AQ21" s="113"/>
      <c r="AR21" s="107"/>
      <c r="AS21" s="288">
        <f>Q49</f>
        <v>42</v>
      </c>
      <c r="AT21" s="117"/>
      <c r="AU21" s="98"/>
      <c r="AV21" s="90"/>
      <c r="AW21" s="90"/>
    </row>
    <row r="22" spans="2:49" ht="15.75">
      <c r="G22" s="272"/>
      <c r="H22" s="273"/>
      <c r="I22" s="274"/>
      <c r="J22" s="275"/>
      <c r="K22" s="276"/>
      <c r="L22" s="277"/>
      <c r="N22" s="361" t="s">
        <v>855</v>
      </c>
      <c r="O22" s="361"/>
      <c r="P22" s="361"/>
      <c r="Q22" s="250">
        <f>Q49</f>
        <v>42</v>
      </c>
      <c r="S22" s="361" t="s">
        <v>855</v>
      </c>
      <c r="T22" s="361"/>
      <c r="U22" s="361"/>
      <c r="V22" s="250">
        <f>V49</f>
        <v>33</v>
      </c>
      <c r="X22" s="90"/>
      <c r="Y22" s="90"/>
      <c r="Z22" s="90"/>
      <c r="AA22" s="90"/>
      <c r="AB22" s="95"/>
      <c r="AC22" s="214"/>
      <c r="AD22" s="215"/>
      <c r="AE22" s="214"/>
      <c r="AF22" s="214"/>
      <c r="AG22" s="98"/>
      <c r="AH22" s="90"/>
      <c r="AI22" s="90"/>
      <c r="AJ22" s="90"/>
      <c r="AK22" s="90"/>
      <c r="AL22" s="431" t="s">
        <v>1463</v>
      </c>
      <c r="AM22" s="432"/>
      <c r="AN22" s="433"/>
      <c r="AO22" s="95"/>
      <c r="AP22" s="88"/>
      <c r="AQ22" s="113"/>
      <c r="AR22" s="114"/>
      <c r="AS22" s="128"/>
      <c r="AT22" s="103"/>
      <c r="AU22" s="98"/>
      <c r="AV22" s="90"/>
      <c r="AW22" s="90"/>
    </row>
    <row r="23" spans="2:49" ht="15.75" thickBot="1">
      <c r="G23" s="289"/>
      <c r="H23" s="290"/>
      <c r="I23" s="291"/>
      <c r="J23" s="292"/>
      <c r="K23" s="293"/>
      <c r="L23" s="294"/>
      <c r="N23" s="371" t="s">
        <v>827</v>
      </c>
      <c r="O23" s="372"/>
      <c r="P23" s="373"/>
      <c r="Q23" s="250">
        <f>COUNTIF(Q73:Q76,"&gt;0")</f>
        <v>3</v>
      </c>
      <c r="S23" s="371" t="s">
        <v>827</v>
      </c>
      <c r="T23" s="372"/>
      <c r="U23" s="373"/>
      <c r="V23" s="250">
        <f>COUNTIF(V73:V76,"&gt;0")</f>
        <v>1</v>
      </c>
      <c r="X23" s="90"/>
      <c r="Y23" s="90"/>
      <c r="Z23" s="90"/>
      <c r="AA23" s="90"/>
      <c r="AB23" s="90"/>
      <c r="AC23" s="90"/>
      <c r="AD23" s="98"/>
      <c r="AE23" s="90"/>
      <c r="AF23" s="90"/>
      <c r="AG23" s="90"/>
      <c r="AH23" s="90"/>
      <c r="AI23" s="90"/>
      <c r="AJ23" s="90"/>
      <c r="AK23" s="90"/>
      <c r="AL23" s="443">
        <f>Q7/Q4</f>
        <v>157</v>
      </c>
      <c r="AM23" s="444"/>
      <c r="AN23" s="445"/>
      <c r="AO23" s="95"/>
      <c r="AP23" s="88"/>
      <c r="AQ23" s="113"/>
      <c r="AR23" s="114"/>
      <c r="AS23" s="113"/>
      <c r="AT23" s="103"/>
      <c r="AU23" s="98"/>
      <c r="AV23" s="90"/>
      <c r="AW23" s="90"/>
    </row>
    <row r="24" spans="2:49" ht="15.75" thickBot="1">
      <c r="N24" s="362" t="s">
        <v>928</v>
      </c>
      <c r="O24" s="362"/>
      <c r="P24" s="362"/>
      <c r="Q24" s="295">
        <f>(2*E9*Q29)+(Q81*Q29)</f>
        <v>2293.4808092977692</v>
      </c>
      <c r="S24" s="362" t="s">
        <v>928</v>
      </c>
      <c r="T24" s="362"/>
      <c r="U24" s="362"/>
      <c r="V24" s="296">
        <f>(2*E9*V29)+(V81*V29)</f>
        <v>-12969.028798478306</v>
      </c>
      <c r="X24" s="90"/>
      <c r="Y24" s="90"/>
      <c r="Z24" s="90"/>
      <c r="AA24" s="90"/>
      <c r="AB24" s="90"/>
      <c r="AC24" s="90"/>
      <c r="AD24" s="98"/>
      <c r="AE24" s="90"/>
      <c r="AF24" s="90"/>
      <c r="AG24" s="90"/>
      <c r="AH24" s="90"/>
      <c r="AI24" s="90"/>
      <c r="AJ24" s="90"/>
      <c r="AK24" s="90"/>
      <c r="AL24" s="93"/>
      <c r="AM24" s="93"/>
      <c r="AN24" s="93"/>
      <c r="AO24" s="95"/>
      <c r="AP24" s="89" t="s">
        <v>1180</v>
      </c>
      <c r="AQ24" s="113"/>
      <c r="AR24" s="107"/>
      <c r="AS24" s="297">
        <f>Q18</f>
        <v>0.76461538461538447</v>
      </c>
      <c r="AT24" s="117"/>
      <c r="AU24" s="98"/>
      <c r="AV24" s="90"/>
      <c r="AW24" s="90"/>
    </row>
    <row r="25" spans="2:49" ht="15.75" thickBot="1">
      <c r="N25" s="298"/>
      <c r="O25" s="298"/>
      <c r="P25" s="298"/>
      <c r="Q25" s="299"/>
      <c r="S25" s="300"/>
      <c r="T25" s="300"/>
      <c r="U25" s="300"/>
      <c r="V25" s="299"/>
      <c r="X25" s="90"/>
      <c r="Y25" s="90"/>
      <c r="Z25" s="90"/>
      <c r="AA25" s="90"/>
      <c r="AB25" s="90"/>
      <c r="AC25" s="130" t="s">
        <v>1186</v>
      </c>
      <c r="AD25" s="131"/>
      <c r="AE25" s="131"/>
      <c r="AF25" s="132"/>
      <c r="AG25" s="132"/>
      <c r="AH25" s="132"/>
      <c r="AI25" s="132"/>
      <c r="AJ25" s="132"/>
      <c r="AK25" s="132"/>
      <c r="AL25" s="345"/>
      <c r="AM25" s="345"/>
      <c r="AN25" s="236"/>
      <c r="AO25" s="97"/>
      <c r="AP25" s="88"/>
      <c r="AQ25" s="113"/>
      <c r="AR25" s="114"/>
      <c r="AS25" s="128"/>
      <c r="AT25" s="103"/>
      <c r="AU25" s="98"/>
      <c r="AV25" s="90"/>
      <c r="AW25" s="90"/>
    </row>
    <row r="26" spans="2:49">
      <c r="N26" s="301"/>
      <c r="O26" s="301"/>
      <c r="P26" s="301"/>
      <c r="Q26" s="299"/>
      <c r="S26" s="302"/>
      <c r="T26" s="302"/>
      <c r="U26" s="302"/>
      <c r="X26" s="90"/>
      <c r="Y26" s="90"/>
      <c r="Z26" s="90"/>
      <c r="AA26" s="90"/>
      <c r="AB26" s="90"/>
      <c r="AC26" s="133" t="s">
        <v>1187</v>
      </c>
      <c r="AD26" s="134"/>
      <c r="AE26" s="134"/>
      <c r="AF26" s="92"/>
      <c r="AG26" s="92"/>
      <c r="AH26" s="134"/>
      <c r="AI26" s="134"/>
      <c r="AJ26" s="134"/>
      <c r="AK26" s="134"/>
      <c r="AL26" s="90"/>
      <c r="AM26" s="90"/>
      <c r="AN26" s="235"/>
      <c r="AO26" s="97"/>
      <c r="AP26" s="392" t="s">
        <v>1181</v>
      </c>
      <c r="AQ26" s="388"/>
      <c r="AR26" s="107"/>
      <c r="AS26" s="393">
        <f>Q19</f>
        <v>15.054175764208781</v>
      </c>
      <c r="AT26" s="406" t="s">
        <v>1178</v>
      </c>
      <c r="AU26" s="98"/>
      <c r="AV26" s="90"/>
      <c r="AW26" s="90"/>
    </row>
    <row r="27" spans="2:49" ht="15.75" thickBot="1">
      <c r="N27" s="363" t="s">
        <v>800</v>
      </c>
      <c r="O27" s="363"/>
      <c r="P27" s="363"/>
      <c r="S27" s="363" t="s">
        <v>800</v>
      </c>
      <c r="T27" s="363"/>
      <c r="U27" s="363"/>
      <c r="X27" s="90"/>
      <c r="Y27" s="90"/>
      <c r="Z27" s="90"/>
      <c r="AA27" s="90"/>
      <c r="AB27" s="90"/>
      <c r="AC27" s="133" t="s">
        <v>1188</v>
      </c>
      <c r="AD27" s="134"/>
      <c r="AE27" s="134"/>
      <c r="AF27" s="135"/>
      <c r="AG27" s="134"/>
      <c r="AH27" s="134"/>
      <c r="AI27" s="134"/>
      <c r="AJ27" s="134"/>
      <c r="AK27" s="134"/>
      <c r="AL27" s="90"/>
      <c r="AM27" s="90"/>
      <c r="AN27" s="235"/>
      <c r="AO27" s="97"/>
      <c r="AP27" s="389"/>
      <c r="AQ27" s="388"/>
      <c r="AR27" s="107"/>
      <c r="AS27" s="395"/>
      <c r="AT27" s="407"/>
      <c r="AU27" s="98"/>
      <c r="AV27" s="90"/>
      <c r="AW27" s="90"/>
    </row>
    <row r="28" spans="2:49" ht="16.5" customHeight="1" thickBot="1">
      <c r="N28" s="368" t="s">
        <v>783</v>
      </c>
      <c r="O28" s="369"/>
      <c r="P28" s="370"/>
      <c r="Q28" s="303">
        <f>AM8</f>
        <v>13</v>
      </c>
      <c r="S28" s="368" t="s">
        <v>783</v>
      </c>
      <c r="T28" s="369"/>
      <c r="U28" s="370"/>
      <c r="V28" s="248">
        <v>7</v>
      </c>
      <c r="X28" s="90"/>
      <c r="Y28" s="90"/>
      <c r="Z28" s="90"/>
      <c r="AA28" s="90"/>
      <c r="AB28" s="90"/>
      <c r="AC28" s="133" t="s">
        <v>1189</v>
      </c>
      <c r="AD28" s="134"/>
      <c r="AE28" s="134"/>
      <c r="AF28" s="135"/>
      <c r="AG28" s="134"/>
      <c r="AH28" s="134"/>
      <c r="AI28" s="134"/>
      <c r="AJ28" s="134"/>
      <c r="AK28" s="134"/>
      <c r="AL28" s="93"/>
      <c r="AM28" s="93"/>
      <c r="AN28" s="347"/>
      <c r="AO28" s="97"/>
      <c r="AP28" s="344"/>
      <c r="AQ28" s="343"/>
      <c r="AR28" s="107"/>
      <c r="AS28" s="121"/>
      <c r="AT28" s="342"/>
      <c r="AU28" s="98"/>
      <c r="AV28" s="90"/>
      <c r="AW28" s="90"/>
    </row>
    <row r="29" spans="2:49" ht="15" customHeight="1">
      <c r="N29" s="368" t="s">
        <v>784</v>
      </c>
      <c r="O29" s="369"/>
      <c r="P29" s="370"/>
      <c r="Q29" s="248">
        <f>IF(AS38=0,1,AS38)</f>
        <v>1</v>
      </c>
      <c r="S29" s="368" t="s">
        <v>784</v>
      </c>
      <c r="T29" s="369"/>
      <c r="U29" s="370"/>
      <c r="V29" s="248">
        <v>3</v>
      </c>
      <c r="X29" s="90"/>
      <c r="Y29" s="90"/>
      <c r="Z29" s="90"/>
      <c r="AA29" s="90"/>
      <c r="AB29" s="90"/>
      <c r="AC29" s="133" t="s">
        <v>1190</v>
      </c>
      <c r="AD29" s="134"/>
      <c r="AE29" s="134"/>
      <c r="AF29" s="135"/>
      <c r="AG29" s="134"/>
      <c r="AH29" s="134"/>
      <c r="AI29" s="134"/>
      <c r="AJ29" s="134"/>
      <c r="AK29" s="134"/>
      <c r="AL29" s="135"/>
      <c r="AM29" s="135"/>
      <c r="AN29" s="346"/>
      <c r="AO29" s="97"/>
      <c r="AP29" s="387" t="s">
        <v>1464</v>
      </c>
      <c r="AQ29" s="388"/>
      <c r="AR29" s="107"/>
      <c r="AS29" s="393">
        <f>Q24</f>
        <v>2293.4808092977692</v>
      </c>
      <c r="AT29" s="342"/>
      <c r="AU29" s="98"/>
      <c r="AV29" s="90"/>
      <c r="AW29" s="90"/>
    </row>
    <row r="30" spans="2:49" ht="15.75" thickBot="1">
      <c r="N30" s="368" t="s">
        <v>1007</v>
      </c>
      <c r="O30" s="369"/>
      <c r="P30" s="370"/>
      <c r="Q30" s="281">
        <f>66.3/SQRT(E7*1000)</f>
        <v>0.20965900886916353</v>
      </c>
      <c r="S30" s="368" t="s">
        <v>1005</v>
      </c>
      <c r="T30" s="369"/>
      <c r="U30" s="370"/>
      <c r="V30" s="281">
        <f>66.3/SQRT(E7*1000)</f>
        <v>0.20965900886916353</v>
      </c>
      <c r="X30" s="90"/>
      <c r="Y30" s="90"/>
      <c r="Z30" s="90"/>
      <c r="AA30" s="90"/>
      <c r="AB30" s="90"/>
      <c r="AC30" s="133"/>
      <c r="AD30" s="134"/>
      <c r="AE30" s="134"/>
      <c r="AF30" s="135"/>
      <c r="AG30" s="134"/>
      <c r="AH30" s="134"/>
      <c r="AI30" s="134"/>
      <c r="AJ30" s="134"/>
      <c r="AK30" s="134"/>
      <c r="AL30" s="90"/>
      <c r="AM30" s="90"/>
      <c r="AN30" s="235"/>
      <c r="AO30" s="97"/>
      <c r="AP30" s="389"/>
      <c r="AQ30" s="388"/>
      <c r="AR30" s="107"/>
      <c r="AS30" s="395"/>
      <c r="AT30" s="356" t="s">
        <v>1179</v>
      </c>
      <c r="AU30" s="98"/>
      <c r="AV30" s="90"/>
      <c r="AW30" s="90"/>
    </row>
    <row r="31" spans="2:49" ht="15.75" thickBot="1">
      <c r="N31" s="368" t="s">
        <v>1009</v>
      </c>
      <c r="O31" s="369"/>
      <c r="P31" s="370"/>
      <c r="Q31" s="305">
        <f>VLOOKUP(Q28, 'Wire Table'!$A$4:$N$47,14,FALSE)</f>
        <v>0.91439999999999988</v>
      </c>
      <c r="S31" s="368" t="s">
        <v>1006</v>
      </c>
      <c r="T31" s="369"/>
      <c r="U31" s="370"/>
      <c r="V31" s="305">
        <f>VLOOKUP(V28, 'Wire Table'!$A$4:$N$47,14,FALSE)</f>
        <v>1.8326100000000001</v>
      </c>
      <c r="X31" s="90"/>
      <c r="Y31" s="90"/>
      <c r="Z31" s="90"/>
      <c r="AA31" s="90"/>
      <c r="AB31" s="90"/>
      <c r="AC31" s="133" t="s">
        <v>1388</v>
      </c>
      <c r="AD31" s="134"/>
      <c r="AE31" s="134"/>
      <c r="AF31" s="135"/>
      <c r="AG31" s="134"/>
      <c r="AH31" s="134"/>
      <c r="AI31" s="134"/>
      <c r="AJ31" s="134"/>
      <c r="AK31" s="134"/>
      <c r="AL31" s="90"/>
      <c r="AM31" s="90"/>
      <c r="AN31" s="235"/>
      <c r="AO31" s="97"/>
      <c r="AP31" s="119"/>
      <c r="AQ31" s="120"/>
      <c r="AR31" s="90"/>
      <c r="AS31" s="121"/>
      <c r="AT31" s="103"/>
      <c r="AU31" s="98"/>
      <c r="AV31" s="90"/>
      <c r="AW31" s="90"/>
    </row>
    <row r="32" spans="2:49" ht="15.75" thickBot="1">
      <c r="N32" s="371" t="s">
        <v>801</v>
      </c>
      <c r="O32" s="372"/>
      <c r="P32" s="373"/>
      <c r="Q32" s="250">
        <f>VLOOKUP(Q28, 'Wire Table'!$A$4:$J$47,5,FALSE)</f>
        <v>2.8399999999999998E-2</v>
      </c>
      <c r="S32" s="371" t="s">
        <v>801</v>
      </c>
      <c r="T32" s="372"/>
      <c r="U32" s="373"/>
      <c r="V32" s="250">
        <f>VLOOKUP(V28, 'Wire Table'!$A$4:$J$47,5,FALSE)</f>
        <v>0.111</v>
      </c>
      <c r="X32" s="90"/>
      <c r="Y32" s="90"/>
      <c r="Z32" s="90"/>
      <c r="AA32" s="90"/>
      <c r="AB32" s="90"/>
      <c r="AC32" s="133"/>
      <c r="AD32" s="134"/>
      <c r="AE32" s="134"/>
      <c r="AF32" s="135"/>
      <c r="AG32" s="134"/>
      <c r="AH32" s="134"/>
      <c r="AI32" s="134"/>
      <c r="AJ32" s="134"/>
      <c r="AK32" s="134"/>
      <c r="AL32" s="90"/>
      <c r="AM32" s="90"/>
      <c r="AN32" s="235"/>
      <c r="AO32" s="95"/>
      <c r="AP32" s="89" t="s">
        <v>1182</v>
      </c>
      <c r="AQ32" s="113"/>
      <c r="AR32" s="95"/>
      <c r="AS32" s="304">
        <f>Q120</f>
        <v>40.240417258999997</v>
      </c>
      <c r="AT32" s="117" t="s">
        <v>1179</v>
      </c>
      <c r="AU32" s="98"/>
      <c r="AV32" s="90"/>
      <c r="AW32" s="90"/>
    </row>
    <row r="33" spans="3:49" ht="15.75" thickBot="1">
      <c r="N33" s="368" t="s">
        <v>803</v>
      </c>
      <c r="O33" s="369"/>
      <c r="P33" s="370"/>
      <c r="Q33" s="250">
        <f>Q32*Q29</f>
        <v>2.8399999999999998E-2</v>
      </c>
      <c r="S33" s="368" t="s">
        <v>803</v>
      </c>
      <c r="T33" s="369"/>
      <c r="U33" s="370"/>
      <c r="V33" s="250">
        <f>V32*V29</f>
        <v>0.33300000000000002</v>
      </c>
      <c r="X33" s="90"/>
      <c r="Y33" s="90"/>
      <c r="Z33" s="90"/>
      <c r="AA33" s="90"/>
      <c r="AB33" s="90"/>
      <c r="AC33" s="133" t="s">
        <v>1394</v>
      </c>
      <c r="AD33" s="134"/>
      <c r="AE33" s="134"/>
      <c r="AF33" s="135"/>
      <c r="AG33" s="134"/>
      <c r="AH33" s="134"/>
      <c r="AI33" s="134"/>
      <c r="AJ33" s="134"/>
      <c r="AK33" s="134"/>
      <c r="AL33" s="90"/>
      <c r="AM33" s="90"/>
      <c r="AN33" s="235"/>
      <c r="AO33" s="95"/>
      <c r="AP33" s="119"/>
      <c r="AQ33" s="120"/>
      <c r="AR33" s="90"/>
      <c r="AS33" s="121"/>
      <c r="AT33" s="103"/>
      <c r="AU33" s="98"/>
      <c r="AV33" s="90"/>
      <c r="AW33" s="90"/>
    </row>
    <row r="34" spans="3:49" ht="15.75" thickBot="1">
      <c r="N34" s="361" t="s">
        <v>999</v>
      </c>
      <c r="O34" s="361"/>
      <c r="P34" s="361"/>
      <c r="Q34" s="250">
        <f>VLOOKUP(Q28, 'Wire Table'!$A$4:$J$47,2,FALSE)</f>
        <v>5184</v>
      </c>
      <c r="S34" s="361" t="s">
        <v>999</v>
      </c>
      <c r="T34" s="361"/>
      <c r="U34" s="361"/>
      <c r="V34" s="250">
        <f>VLOOKUP(V28, 'Wire Table'!$A$4:$J$47,2,FALSE)</f>
        <v>20820</v>
      </c>
      <c r="X34" s="90"/>
      <c r="Y34" s="90"/>
      <c r="Z34" s="90"/>
      <c r="AA34" s="90"/>
      <c r="AB34" s="90"/>
      <c r="AC34" s="133"/>
      <c r="AD34" s="134"/>
      <c r="AE34" s="134"/>
      <c r="AF34" s="135"/>
      <c r="AG34" s="134"/>
      <c r="AH34" s="134"/>
      <c r="AI34" s="134"/>
      <c r="AJ34" s="134"/>
      <c r="AK34" s="134"/>
      <c r="AL34" s="134"/>
      <c r="AM34" s="134"/>
      <c r="AN34" s="136"/>
      <c r="AO34" s="95"/>
      <c r="AP34" s="89" t="s">
        <v>1183</v>
      </c>
      <c r="AQ34" s="113"/>
      <c r="AR34" s="95"/>
      <c r="AS34" s="304">
        <f>Q121</f>
        <v>24.550417258999992</v>
      </c>
      <c r="AT34" s="117" t="s">
        <v>1179</v>
      </c>
      <c r="AU34" s="98"/>
      <c r="AV34" s="90"/>
      <c r="AW34" s="95"/>
    </row>
    <row r="35" spans="3:49" ht="15.75" thickBot="1">
      <c r="C35" s="306"/>
      <c r="D35" s="306"/>
      <c r="E35" s="306"/>
      <c r="N35" s="368" t="s">
        <v>1002</v>
      </c>
      <c r="O35" s="369"/>
      <c r="P35" s="370"/>
      <c r="Q35" s="250">
        <f>10.371/Q34*3.281/Q29</f>
        <v>6.5638987268518516E-3</v>
      </c>
      <c r="S35" s="368" t="s">
        <v>1000</v>
      </c>
      <c r="T35" s="369"/>
      <c r="U35" s="370"/>
      <c r="V35" s="250">
        <f>10.371/V34*3.281/V29</f>
        <v>5.447846781940442E-4</v>
      </c>
      <c r="X35" s="90"/>
      <c r="Y35" s="90"/>
      <c r="Z35" s="90"/>
      <c r="AA35" s="90"/>
      <c r="AB35" s="90"/>
      <c r="AC35" s="133" t="s">
        <v>1391</v>
      </c>
      <c r="AD35" s="134"/>
      <c r="AE35" s="134"/>
      <c r="AF35" s="135"/>
      <c r="AG35" s="134"/>
      <c r="AH35" s="134"/>
      <c r="AI35" s="134"/>
      <c r="AJ35" s="134"/>
      <c r="AK35" s="134"/>
      <c r="AL35" s="134"/>
      <c r="AM35" s="134"/>
      <c r="AN35" s="136"/>
      <c r="AO35" s="95"/>
      <c r="AP35" s="119"/>
      <c r="AQ35" s="120"/>
      <c r="AR35" s="90"/>
      <c r="AS35" s="127"/>
      <c r="AT35" s="103"/>
      <c r="AU35" s="98"/>
      <c r="AV35" s="90"/>
      <c r="AW35" s="95"/>
    </row>
    <row r="36" spans="3:49" ht="15.75" thickBot="1">
      <c r="C36" s="306"/>
      <c r="D36" s="306"/>
      <c r="E36" s="306"/>
      <c r="N36" s="368" t="s">
        <v>1003</v>
      </c>
      <c r="O36" s="369"/>
      <c r="P36" s="370"/>
      <c r="Q36" s="250">
        <f>Q35/1000</f>
        <v>6.5638987268518515E-6</v>
      </c>
      <c r="S36" s="368" t="s">
        <v>997</v>
      </c>
      <c r="T36" s="369"/>
      <c r="U36" s="370"/>
      <c r="V36" s="250">
        <f>V35/1000</f>
        <v>5.447846781940442E-7</v>
      </c>
      <c r="X36" s="90"/>
      <c r="Y36" s="90"/>
      <c r="Z36" s="90"/>
      <c r="AA36" s="90"/>
      <c r="AB36" s="90"/>
      <c r="AC36" s="133" t="s">
        <v>1400</v>
      </c>
      <c r="AD36" s="134"/>
      <c r="AE36" s="134"/>
      <c r="AF36" s="135"/>
      <c r="AG36" s="134"/>
      <c r="AH36" s="134"/>
      <c r="AI36" s="134"/>
      <c r="AJ36" s="134"/>
      <c r="AK36" s="134"/>
      <c r="AL36" s="134"/>
      <c r="AM36" s="134"/>
      <c r="AN36" s="136"/>
      <c r="AO36" s="90"/>
      <c r="AP36" s="88" t="s">
        <v>805</v>
      </c>
      <c r="AQ36" s="113"/>
      <c r="AR36" s="95"/>
      <c r="AS36" s="81">
        <v>42</v>
      </c>
      <c r="AT36" s="117"/>
      <c r="AU36" s="90"/>
      <c r="AV36" s="90"/>
      <c r="AW36" s="95"/>
    </row>
    <row r="37" spans="3:49" ht="15.75" thickBot="1">
      <c r="C37" s="302"/>
      <c r="D37" s="302"/>
      <c r="E37" s="307"/>
      <c r="F37" s="306"/>
      <c r="G37" s="306"/>
      <c r="H37" s="306"/>
      <c r="I37" s="306"/>
      <c r="J37" s="306"/>
      <c r="K37" s="306"/>
      <c r="L37" s="306"/>
      <c r="M37" s="308"/>
      <c r="N37" s="368" t="s">
        <v>802</v>
      </c>
      <c r="O37" s="369"/>
      <c r="P37" s="370"/>
      <c r="Q37" s="296">
        <f>Q82</f>
        <v>54.606685935661169</v>
      </c>
      <c r="S37" s="368" t="s">
        <v>802</v>
      </c>
      <c r="T37" s="369"/>
      <c r="U37" s="370"/>
      <c r="V37" s="296">
        <f>V82</f>
        <v>-131.00029089372026</v>
      </c>
      <c r="X37" s="90"/>
      <c r="Y37" s="90"/>
      <c r="Z37" s="90"/>
      <c r="AA37" s="90"/>
      <c r="AB37" s="90"/>
      <c r="AC37" s="133" t="s">
        <v>1392</v>
      </c>
      <c r="AD37" s="134"/>
      <c r="AE37" s="134"/>
      <c r="AF37" s="135"/>
      <c r="AG37" s="134"/>
      <c r="AH37" s="134"/>
      <c r="AI37" s="134"/>
      <c r="AJ37" s="134"/>
      <c r="AK37" s="149"/>
      <c r="AL37" s="134"/>
      <c r="AM37" s="134"/>
      <c r="AN37" s="136"/>
      <c r="AO37" s="90"/>
      <c r="AP37" s="197"/>
      <c r="AQ37" s="92"/>
      <c r="AR37" s="92"/>
      <c r="AS37" s="92"/>
      <c r="AT37" s="193"/>
      <c r="AU37" s="90"/>
      <c r="AV37" s="90"/>
      <c r="AW37" s="95"/>
    </row>
    <row r="38" spans="3:49" ht="15.75" thickBot="1">
      <c r="C38" s="302"/>
      <c r="D38" s="302"/>
      <c r="E38" s="302"/>
      <c r="F38" s="306"/>
      <c r="G38" s="306"/>
      <c r="H38" s="306"/>
      <c r="I38" s="306"/>
      <c r="J38" s="306"/>
      <c r="K38" s="306"/>
      <c r="L38" s="306"/>
      <c r="M38" s="308"/>
      <c r="N38" s="361" t="s">
        <v>1004</v>
      </c>
      <c r="O38" s="361"/>
      <c r="P38" s="361"/>
      <c r="Q38" s="281">
        <f>Q37*Q49*Q36*1000</f>
        <v>15.054175764208781</v>
      </c>
      <c r="S38" s="361" t="s">
        <v>1004</v>
      </c>
      <c r="T38" s="361"/>
      <c r="U38" s="361"/>
      <c r="V38" s="281">
        <f>V37*V49*V36*1000</f>
        <v>-2.3551093934894318</v>
      </c>
      <c r="X38" s="90"/>
      <c r="Y38" s="90"/>
      <c r="Z38" s="90"/>
      <c r="AA38" s="90"/>
      <c r="AB38" s="90"/>
      <c r="AC38" s="133"/>
      <c r="AD38" s="134"/>
      <c r="AE38" s="134"/>
      <c r="AF38" s="135"/>
      <c r="AG38" s="134"/>
      <c r="AH38" s="134"/>
      <c r="AI38" s="134"/>
      <c r="AJ38" s="134"/>
      <c r="AK38" s="134"/>
      <c r="AL38" s="134"/>
      <c r="AM38" s="134"/>
      <c r="AN38" s="136"/>
      <c r="AO38" s="90"/>
      <c r="AP38" s="198" t="s">
        <v>1339</v>
      </c>
      <c r="AQ38" s="90"/>
      <c r="AR38" s="90"/>
      <c r="AS38" s="81">
        <v>1</v>
      </c>
      <c r="AT38" s="194"/>
      <c r="AU38" s="90"/>
      <c r="AV38" s="90"/>
      <c r="AW38" s="95"/>
    </row>
    <row r="39" spans="3:49" ht="15.75" thickBot="1">
      <c r="C39" s="302"/>
      <c r="D39" s="302"/>
      <c r="E39" s="302"/>
      <c r="F39" s="306"/>
      <c r="G39" s="306"/>
      <c r="H39" s="306"/>
      <c r="I39" s="306"/>
      <c r="J39" s="306"/>
      <c r="K39" s="306"/>
      <c r="L39" s="306"/>
      <c r="M39" s="308"/>
      <c r="N39" s="361" t="s">
        <v>1300</v>
      </c>
      <c r="O39" s="361"/>
      <c r="P39" s="361"/>
      <c r="Q39" s="281">
        <f>Q38*2.5</f>
        <v>37.635439410521954</v>
      </c>
      <c r="S39" s="250"/>
      <c r="T39" s="250"/>
      <c r="U39" s="250"/>
      <c r="V39" s="281"/>
      <c r="X39" s="90"/>
      <c r="Y39" s="90"/>
      <c r="Z39" s="90"/>
      <c r="AA39" s="90"/>
      <c r="AB39" s="90"/>
      <c r="AC39" s="133" t="s">
        <v>1393</v>
      </c>
      <c r="AD39" s="134"/>
      <c r="AE39" s="134"/>
      <c r="AF39" s="135"/>
      <c r="AG39" s="134"/>
      <c r="AH39" s="134"/>
      <c r="AI39" s="134"/>
      <c r="AJ39" s="134"/>
      <c r="AK39" s="134"/>
      <c r="AL39" s="134"/>
      <c r="AM39" s="134"/>
      <c r="AN39" s="136"/>
      <c r="AO39" s="90"/>
      <c r="AP39" s="122"/>
      <c r="AQ39" s="123"/>
      <c r="AR39" s="123"/>
      <c r="AS39" s="123"/>
      <c r="AT39" s="199"/>
      <c r="AU39" s="90"/>
      <c r="AV39" s="90"/>
      <c r="AW39" s="95"/>
    </row>
    <row r="40" spans="3:49" ht="17.25">
      <c r="C40" s="302"/>
      <c r="D40" s="302"/>
      <c r="E40" s="302"/>
      <c r="F40" s="306"/>
      <c r="G40" s="306"/>
      <c r="H40" s="306"/>
      <c r="I40" s="306"/>
      <c r="J40" s="306"/>
      <c r="K40" s="306"/>
      <c r="L40" s="306"/>
      <c r="M40" s="308"/>
      <c r="N40" s="361" t="s">
        <v>824</v>
      </c>
      <c r="O40" s="361"/>
      <c r="P40" s="361"/>
      <c r="Q40" s="250">
        <f>0.01*(Q91)</f>
        <v>42.094999999999999</v>
      </c>
      <c r="S40" s="361" t="s">
        <v>824</v>
      </c>
      <c r="T40" s="361"/>
      <c r="U40" s="361"/>
      <c r="V40" s="250">
        <f>0.01*(V91)</f>
        <v>172.77852348993292</v>
      </c>
      <c r="X40" s="90"/>
      <c r="Y40" s="90"/>
      <c r="Z40" s="90"/>
      <c r="AA40" s="90"/>
      <c r="AB40" s="90"/>
      <c r="AC40" s="150"/>
      <c r="AD40" s="151"/>
      <c r="AE40" s="151"/>
      <c r="AF40" s="152"/>
      <c r="AG40" s="134"/>
      <c r="AH40" s="134"/>
      <c r="AI40" s="134"/>
      <c r="AJ40" s="134"/>
      <c r="AK40" s="134"/>
      <c r="AL40" s="134"/>
      <c r="AM40" s="134"/>
      <c r="AN40" s="136"/>
      <c r="AO40" s="90"/>
      <c r="AP40" s="92"/>
      <c r="AQ40" s="92"/>
      <c r="AR40" s="92"/>
      <c r="AS40" s="92"/>
      <c r="AT40" s="138"/>
      <c r="AU40" s="90"/>
      <c r="AV40" s="90"/>
      <c r="AW40" s="95"/>
    </row>
    <row r="41" spans="3:49"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N41" s="368" t="s">
        <v>805</v>
      </c>
      <c r="O41" s="369"/>
      <c r="P41" s="370"/>
      <c r="Q41" s="248">
        <f>AS36</f>
        <v>42</v>
      </c>
      <c r="S41" s="368" t="s">
        <v>805</v>
      </c>
      <c r="T41" s="369"/>
      <c r="U41" s="370"/>
      <c r="V41" s="248">
        <v>33</v>
      </c>
      <c r="X41" s="90"/>
      <c r="Y41" s="90"/>
      <c r="Z41" s="90"/>
      <c r="AA41" s="90"/>
      <c r="AB41" s="90"/>
      <c r="AC41" s="154"/>
      <c r="AD41" s="155"/>
      <c r="AE41" s="155"/>
      <c r="AF41" s="155"/>
      <c r="AG41" s="155"/>
      <c r="AH41" s="155"/>
      <c r="AI41" s="155"/>
      <c r="AJ41" s="155"/>
      <c r="AK41" s="155"/>
      <c r="AL41" s="349"/>
      <c r="AM41" s="349"/>
      <c r="AN41" s="350"/>
      <c r="AO41" s="98"/>
      <c r="AP41" s="90"/>
      <c r="AQ41" s="90"/>
      <c r="AR41" s="90"/>
      <c r="AS41" s="90"/>
      <c r="AT41" s="139"/>
      <c r="AU41" s="90"/>
      <c r="AV41" s="90"/>
      <c r="AW41" s="95"/>
    </row>
    <row r="42" spans="3:49"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N42" s="309"/>
      <c r="O42" s="309"/>
      <c r="P42" s="309"/>
      <c r="S42" s="309"/>
      <c r="T42" s="309"/>
      <c r="U42" s="309"/>
      <c r="X42" s="90"/>
      <c r="Y42" s="90"/>
      <c r="Z42" s="90"/>
      <c r="AA42" s="90"/>
      <c r="AB42" s="95"/>
      <c r="AC42" s="92"/>
      <c r="AD42" s="92"/>
      <c r="AE42" s="92"/>
      <c r="AF42" s="92"/>
      <c r="AG42" s="93"/>
      <c r="AH42" s="93"/>
      <c r="AI42" s="93"/>
      <c r="AJ42" s="93"/>
      <c r="AK42" s="348"/>
      <c r="AL42" s="352"/>
      <c r="AM42" s="131"/>
      <c r="AN42" s="353"/>
      <c r="AO42" s="98"/>
      <c r="AP42" s="90"/>
      <c r="AQ42" s="90"/>
      <c r="AR42" s="90"/>
      <c r="AS42" s="90"/>
      <c r="AT42" s="139"/>
      <c r="AU42" s="90"/>
      <c r="AV42" s="90"/>
      <c r="AW42" s="95"/>
    </row>
    <row r="43" spans="3:49" ht="17.25" customHeight="1">
      <c r="F43" s="302"/>
      <c r="G43" s="302"/>
      <c r="H43" s="302"/>
      <c r="I43" s="302"/>
      <c r="J43" s="302"/>
      <c r="K43" s="302"/>
      <c r="L43" s="302"/>
      <c r="N43" s="371" t="s">
        <v>795</v>
      </c>
      <c r="O43" s="372"/>
      <c r="P43" s="373"/>
      <c r="Q43" s="250">
        <f>Q7*0.92</f>
        <v>144.44</v>
      </c>
      <c r="S43" s="371" t="s">
        <v>795</v>
      </c>
      <c r="T43" s="372"/>
      <c r="U43" s="373"/>
      <c r="V43" s="250">
        <f>V7*0.92</f>
        <v>46.92</v>
      </c>
      <c r="X43" s="90"/>
      <c r="Y43" s="90"/>
      <c r="Z43" s="90"/>
      <c r="AA43" s="90"/>
      <c r="AB43" s="95"/>
      <c r="AC43" s="90"/>
      <c r="AD43" s="90"/>
      <c r="AE43" s="90"/>
      <c r="AF43" s="90"/>
      <c r="AG43" s="90"/>
      <c r="AH43" s="90"/>
      <c r="AI43" s="90"/>
      <c r="AJ43" s="90"/>
      <c r="AK43" s="90"/>
      <c r="AL43" s="354"/>
      <c r="AM43" s="134"/>
      <c r="AN43" s="355"/>
      <c r="AO43" s="98"/>
      <c r="AP43" s="90"/>
      <c r="AQ43" s="90"/>
      <c r="AR43" s="90"/>
      <c r="AS43" s="90"/>
      <c r="AT43" s="139"/>
      <c r="AU43" s="90"/>
      <c r="AV43" s="90"/>
      <c r="AW43" s="95"/>
    </row>
    <row r="44" spans="3:49" ht="17.25" customHeight="1">
      <c r="F44" s="302"/>
      <c r="G44" s="302"/>
      <c r="H44" s="302"/>
      <c r="I44" s="302"/>
      <c r="J44" s="302"/>
      <c r="K44" s="302"/>
      <c r="L44" s="302"/>
      <c r="N44" s="371" t="s">
        <v>789</v>
      </c>
      <c r="O44" s="372"/>
      <c r="P44" s="373"/>
      <c r="Q44" s="250">
        <f>VLOOKUP(Q3,'Powder Core Detail'!$A$2:$T$985,20,FALSE)</f>
        <v>1.56</v>
      </c>
      <c r="S44" s="371" t="s">
        <v>789</v>
      </c>
      <c r="T44" s="372"/>
      <c r="U44" s="373"/>
      <c r="V44" s="250">
        <f>VLOOKUP(V3,'Powder Core Detail'!$A$2:$T$985,20,FALSE)</f>
        <v>1.49</v>
      </c>
      <c r="X44" s="90"/>
      <c r="Y44" s="90"/>
      <c r="Z44" s="90"/>
      <c r="AA44" s="90"/>
      <c r="AB44" s="95"/>
      <c r="AC44" s="90"/>
      <c r="AD44" s="90"/>
      <c r="AE44" s="90"/>
      <c r="AF44" s="90"/>
      <c r="AG44" s="90"/>
      <c r="AH44" s="90"/>
      <c r="AI44" s="90"/>
      <c r="AJ44" s="90"/>
      <c r="AK44" s="90"/>
      <c r="AL44" s="354"/>
      <c r="AM44" s="134"/>
      <c r="AN44" s="355"/>
      <c r="AO44" s="98"/>
      <c r="AP44" s="90"/>
      <c r="AQ44" s="90"/>
      <c r="AR44" s="90"/>
      <c r="AS44" s="90"/>
      <c r="AT44" s="139"/>
      <c r="AU44" s="90"/>
      <c r="AV44" s="90"/>
      <c r="AW44" s="95"/>
    </row>
    <row r="45" spans="3:49" ht="15" customHeight="1">
      <c r="N45" s="371" t="s">
        <v>788</v>
      </c>
      <c r="O45" s="372"/>
      <c r="P45" s="373"/>
      <c r="Q45" s="250">
        <f>VLOOKUP(Q3,'Powder Core Detail'!$A$2:$T$985,8,FALSE)</f>
        <v>6.35</v>
      </c>
      <c r="S45" s="371" t="s">
        <v>788</v>
      </c>
      <c r="T45" s="372"/>
      <c r="U45" s="373"/>
      <c r="V45" s="250">
        <f>VLOOKUP(V3,'Powder Core Detail'!$A$2:$T$985,8,FALSE)</f>
        <v>5.88</v>
      </c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8"/>
      <c r="AP45" s="90"/>
      <c r="AQ45" s="90"/>
      <c r="AR45" s="90"/>
      <c r="AS45" s="90"/>
      <c r="AT45" s="139"/>
      <c r="AU45" s="90"/>
      <c r="AV45" s="90"/>
      <c r="AW45" s="95"/>
    </row>
    <row r="46" spans="3:49" ht="15" customHeight="1">
      <c r="N46" s="371" t="s">
        <v>790</v>
      </c>
      <c r="O46" s="372"/>
      <c r="P46" s="373"/>
      <c r="Q46" s="250">
        <f>(VLOOKUP(Q3,'Powder Core Detail'!$A$2:$T$985,18,FALSE))*Q4</f>
        <v>4.1500000000000004</v>
      </c>
      <c r="S46" s="371" t="s">
        <v>790</v>
      </c>
      <c r="T46" s="372"/>
      <c r="U46" s="373"/>
      <c r="V46" s="250">
        <f>(VLOOKUP(V3,'Powder Core Detail'!$A$2:$T$985,18,FALSE))*V4</f>
        <v>2.2814399999999999</v>
      </c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134"/>
      <c r="AM46" s="134"/>
      <c r="AN46" s="351"/>
      <c r="AO46" s="90"/>
      <c r="AP46" s="90"/>
      <c r="AQ46" s="90"/>
      <c r="AR46" s="90"/>
      <c r="AS46" s="90"/>
      <c r="AT46" s="139"/>
      <c r="AU46" s="90"/>
      <c r="AV46" s="90"/>
      <c r="AW46" s="95"/>
    </row>
    <row r="47" spans="3:49" ht="15" customHeight="1">
      <c r="N47" s="361" t="s">
        <v>804</v>
      </c>
      <c r="O47" s="361"/>
      <c r="P47" s="361"/>
      <c r="Q47" s="250">
        <f>IF(Q41=0,ROUNDUP(SQRT((E3*10^6)/Q43),0),Q41)</f>
        <v>42</v>
      </c>
      <c r="S47" s="361" t="s">
        <v>804</v>
      </c>
      <c r="T47" s="361"/>
      <c r="U47" s="361"/>
      <c r="V47" s="250">
        <f>IF(V41=0,ROUNDUP(SQRT((E3*10^6)/V43),0),V41)</f>
        <v>33</v>
      </c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139"/>
      <c r="AU47" s="90"/>
      <c r="AV47" s="90"/>
      <c r="AW47" s="95"/>
    </row>
    <row r="48" spans="3:49" ht="15" customHeight="1">
      <c r="N48" s="361" t="s">
        <v>945</v>
      </c>
      <c r="O48" s="361"/>
      <c r="P48" s="361"/>
      <c r="Q48" s="333">
        <f>0.01*(1/(Q97+Q98*(Q113^Q99)))</f>
        <v>0.37742041746628102</v>
      </c>
      <c r="S48" s="361" t="s">
        <v>945</v>
      </c>
      <c r="T48" s="361"/>
      <c r="U48" s="361"/>
      <c r="V48" s="310">
        <f>V97+(V98*V113)+(V99*V113^2)+(V100*V113^3)+(V101*V113^4)</f>
        <v>3822.2907254730944</v>
      </c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139"/>
      <c r="AU48" s="90"/>
      <c r="AV48" s="90"/>
      <c r="AW48" s="95"/>
    </row>
    <row r="49" spans="14:49" ht="15" customHeight="1">
      <c r="N49" s="361" t="s">
        <v>810</v>
      </c>
      <c r="O49" s="361"/>
      <c r="P49" s="361"/>
      <c r="Q49" s="334">
        <f>IF(Q41=0,ROUNDUP(Q47/Q48,0),Q41)</f>
        <v>42</v>
      </c>
      <c r="S49" s="361" t="s">
        <v>810</v>
      </c>
      <c r="T49" s="361"/>
      <c r="U49" s="361"/>
      <c r="V49" s="250">
        <f>IF(V41=0,ROUNDUP(V47/V48,0),V41)</f>
        <v>33</v>
      </c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139"/>
      <c r="AU49" s="90"/>
      <c r="AV49" s="90"/>
      <c r="AW49" s="95"/>
    </row>
    <row r="50" spans="14:49" ht="15" customHeight="1">
      <c r="N50" s="361" t="s">
        <v>946</v>
      </c>
      <c r="O50" s="361"/>
      <c r="P50" s="361"/>
      <c r="Q50" s="333">
        <f>0.01*(1/(Q97+Q98*(Q115^Q99)))</f>
        <v>0.37742041746628102</v>
      </c>
      <c r="S50" s="361" t="s">
        <v>946</v>
      </c>
      <c r="T50" s="361"/>
      <c r="U50" s="361"/>
      <c r="V50" s="310">
        <f>V97+(V98*V115)+(V99*V115^2)+(V100*V115^3)+(V101*V115^4)</f>
        <v>3822.2907254730944</v>
      </c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139"/>
      <c r="AU50" s="90"/>
      <c r="AV50" s="90"/>
      <c r="AW50" s="95"/>
    </row>
    <row r="51" spans="14:49" ht="15" customHeight="1">
      <c r="N51" s="368" t="s">
        <v>970</v>
      </c>
      <c r="O51" s="369"/>
      <c r="P51" s="370"/>
      <c r="Q51" s="333">
        <f>0.01*(1/(Q97+Q98*(Q111^Q99)))</f>
        <v>0.35195466813322962</v>
      </c>
      <c r="S51" s="368" t="s">
        <v>970</v>
      </c>
      <c r="T51" s="369"/>
      <c r="U51" s="370"/>
      <c r="V51" s="310">
        <f>V97+(V98*V111)+(V99*V111^2)+(V100*V111^3)+(V101*V111^4)</f>
        <v>4214.0744870875897</v>
      </c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139"/>
      <c r="AU51" s="90"/>
      <c r="AV51" s="90"/>
      <c r="AW51" s="95"/>
    </row>
    <row r="52" spans="14:49" ht="15" customHeight="1">
      <c r="N52" s="361" t="s">
        <v>971</v>
      </c>
      <c r="O52" s="361"/>
      <c r="P52" s="361"/>
      <c r="Q52" s="333">
        <f>0.01*(1/(Q97+Q98*(Q112^Q99)))</f>
        <v>0.40493971863859524</v>
      </c>
      <c r="S52" s="361" t="s">
        <v>971</v>
      </c>
      <c r="T52" s="361"/>
      <c r="U52" s="361"/>
      <c r="V52" s="310">
        <f>V97+(V98*V112)+(V99*V112^2)+(V100*V112^3)+(V101*V112^4)</f>
        <v>3449.6183662720127</v>
      </c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139"/>
      <c r="AU52" s="90"/>
      <c r="AV52" s="90"/>
      <c r="AW52" s="95"/>
    </row>
    <row r="53" spans="14:49" ht="15" customHeight="1">
      <c r="N53" s="361" t="s">
        <v>972</v>
      </c>
      <c r="O53" s="361"/>
      <c r="P53" s="361"/>
      <c r="Q53" s="333">
        <f>0.01*(1/(Q97+Q98*(Q114^Q99)))</f>
        <v>0.20427344884436804</v>
      </c>
      <c r="S53" s="361" t="s">
        <v>972</v>
      </c>
      <c r="T53" s="361"/>
      <c r="U53" s="361"/>
      <c r="V53" s="310">
        <f>V97+(V98*V114)+(V99*V114^2)+(V100*V114^3)+(V101*V114^4)</f>
        <v>8194.6791118494803</v>
      </c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139"/>
      <c r="AU53" s="90"/>
      <c r="AV53" s="90"/>
      <c r="AW53" s="95"/>
    </row>
    <row r="54" spans="14:49" ht="15" customHeight="1">
      <c r="N54" s="361" t="s">
        <v>994</v>
      </c>
      <c r="O54" s="361"/>
      <c r="P54" s="361"/>
      <c r="Q54" s="333">
        <f>0.01*(1/(Q97+Q98*(Q116^Q99)))</f>
        <v>0.37742041746628102</v>
      </c>
      <c r="S54" s="361" t="s">
        <v>994</v>
      </c>
      <c r="T54" s="361"/>
      <c r="U54" s="361"/>
      <c r="V54" s="310">
        <f>V97+(V98*V116)+(V99*V116^2)+(V100*V116^3)+(V101*V116^4)</f>
        <v>3822.2907254730944</v>
      </c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139"/>
      <c r="AU54" s="90"/>
      <c r="AV54" s="90"/>
      <c r="AW54" s="95"/>
    </row>
    <row r="55" spans="14:49" ht="15" customHeight="1">
      <c r="N55" s="364" t="s">
        <v>806</v>
      </c>
      <c r="O55" s="364"/>
      <c r="P55" s="364"/>
      <c r="Q55" s="299"/>
      <c r="S55" s="364" t="s">
        <v>806</v>
      </c>
      <c r="T55" s="364"/>
      <c r="U55" s="364"/>
      <c r="V55" s="299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139"/>
      <c r="AU55" s="90"/>
      <c r="AV55" s="90"/>
      <c r="AW55" s="95"/>
    </row>
    <row r="56" spans="14:49" ht="15" customHeight="1">
      <c r="N56" s="361" t="s">
        <v>812</v>
      </c>
      <c r="O56" s="361"/>
      <c r="P56" s="361"/>
      <c r="Q56" s="250">
        <f>(Q49/Q45)*(E16)</f>
        <v>57.850866141732283</v>
      </c>
      <c r="S56" s="361" t="s">
        <v>812</v>
      </c>
      <c r="T56" s="361"/>
      <c r="U56" s="361"/>
      <c r="V56" s="250">
        <f>(V49/V45)*(E16)</f>
        <v>49.087499999999999</v>
      </c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139"/>
      <c r="AU56" s="90"/>
      <c r="AV56" s="90"/>
      <c r="AW56" s="95"/>
    </row>
    <row r="57" spans="14:49" ht="15" customHeight="1">
      <c r="N57" s="361" t="s">
        <v>813</v>
      </c>
      <c r="O57" s="361"/>
      <c r="P57" s="361"/>
      <c r="Q57" s="250">
        <f>(Q49/Q45)*(E17)</f>
        <v>52.34125984251969</v>
      </c>
      <c r="S57" s="361" t="s">
        <v>813</v>
      </c>
      <c r="T57" s="361"/>
      <c r="U57" s="361"/>
      <c r="V57" s="250">
        <f>(V49/V45)*(E17)</f>
        <v>44.412500000000001</v>
      </c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139"/>
      <c r="AU57" s="90"/>
      <c r="AV57" s="90"/>
      <c r="AW57" s="95"/>
    </row>
    <row r="58" spans="14:49" ht="15" customHeight="1">
      <c r="N58" s="368" t="s">
        <v>983</v>
      </c>
      <c r="O58" s="369"/>
      <c r="P58" s="370"/>
      <c r="Q58" s="250">
        <f>ABS(Q57)</f>
        <v>52.34125984251969</v>
      </c>
      <c r="S58" s="368" t="s">
        <v>983</v>
      </c>
      <c r="T58" s="369"/>
      <c r="U58" s="370"/>
      <c r="V58" s="250">
        <f>ABS(V57)</f>
        <v>44.412500000000001</v>
      </c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139"/>
      <c r="AU58" s="90"/>
      <c r="AV58" s="90"/>
      <c r="AW58" s="95"/>
    </row>
    <row r="59" spans="14:49" ht="15" customHeight="1">
      <c r="N59" s="361" t="s">
        <v>814</v>
      </c>
      <c r="O59" s="361"/>
      <c r="P59" s="361"/>
      <c r="Q59" s="311">
        <f>((Q102+(Q103*Q56)+(Q104*Q56^2))/(1+(Q105*Q56)+(Q106*Q56^2)))^Q107</f>
        <v>0.55911120757232535</v>
      </c>
      <c r="S59" s="361" t="s">
        <v>814</v>
      </c>
      <c r="T59" s="361"/>
      <c r="U59" s="361"/>
      <c r="V59" s="311">
        <f>((V102+(V103*V111)+(V104*V111^2))/(1+(V105*V111)+(V106*V111^2)))^V107</f>
        <v>0.35123321369578536</v>
      </c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139"/>
      <c r="AU59" s="90"/>
      <c r="AV59" s="90"/>
      <c r="AW59" s="95"/>
    </row>
    <row r="60" spans="14:49" ht="15" customHeight="1">
      <c r="N60" s="361" t="s">
        <v>815</v>
      </c>
      <c r="O60" s="361"/>
      <c r="P60" s="361"/>
      <c r="Q60" s="311">
        <f>IF(Q57&lt;0,-(((Q102+(Q103*Q58)+(Q104*Q58^2))/(1+(Q105*Q58)+(Q106*Q58^2)))^Q107),((Q102+(Q103*Q57)+(Q104*Q57^2))/(1+(Q105*Q57)+(Q106*Q57^2)))^Q107)</f>
        <v>0.53615146148516113</v>
      </c>
      <c r="S60" s="361" t="s">
        <v>815</v>
      </c>
      <c r="T60" s="361"/>
      <c r="U60" s="361"/>
      <c r="V60" s="311">
        <f>IF(V57&lt;0,-(((V102+(V103*V58)+(V104*V58^2))/(1+(V105*V58)+(V106*V58^2)))^V107),((V102+(V103*V57)+(V104*V57^2))/(1+(V105*V57)+(V106*V57^2)))^V107)</f>
        <v>0.32408284754354544</v>
      </c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139"/>
      <c r="AU60" s="90"/>
      <c r="AV60" s="90"/>
      <c r="AW60" s="95"/>
    </row>
    <row r="61" spans="14:49" ht="15" customHeight="1">
      <c r="N61" s="361" t="s">
        <v>816</v>
      </c>
      <c r="O61" s="361"/>
      <c r="P61" s="361"/>
      <c r="Q61" s="305">
        <f>(Q59-Q60)/2</f>
        <v>1.1479873043582112E-2</v>
      </c>
      <c r="S61" s="361" t="s">
        <v>816</v>
      </c>
      <c r="T61" s="361"/>
      <c r="U61" s="361"/>
      <c r="V61" s="305">
        <f>(V59-V60)/2</f>
        <v>1.3575183076119962E-2</v>
      </c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139"/>
      <c r="AU61" s="90"/>
      <c r="AV61" s="90"/>
      <c r="AW61" s="95"/>
    </row>
    <row r="62" spans="14:49" ht="15" customHeight="1">
      <c r="N62" s="368" t="s">
        <v>817</v>
      </c>
      <c r="O62" s="369"/>
      <c r="P62" s="369"/>
      <c r="Q62" s="335">
        <f>IF($Q$5="75",R108*(Q61^R109)*($E$7^R110),Q108*(Q61^Q109)*($E$7^Q110))</f>
        <v>7.0494589149792954</v>
      </c>
      <c r="S62" s="368" t="s">
        <v>817</v>
      </c>
      <c r="T62" s="369"/>
      <c r="U62" s="369"/>
      <c r="V62" s="311">
        <f>V108*(V61^V109)*($E$7^V110)</f>
        <v>12.953172717050888</v>
      </c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139"/>
      <c r="AU62" s="90"/>
      <c r="AV62" s="90"/>
      <c r="AW62" s="95"/>
    </row>
    <row r="63" spans="14:49">
      <c r="N63" s="377"/>
      <c r="O63" s="377"/>
      <c r="P63" s="377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139"/>
      <c r="AU63" s="90"/>
      <c r="AV63" s="90"/>
      <c r="AW63" s="95"/>
    </row>
    <row r="64" spans="14:49">
      <c r="N64" s="374" t="s">
        <v>825</v>
      </c>
      <c r="O64" s="374"/>
      <c r="P64" s="374"/>
      <c r="S64" s="374"/>
      <c r="T64" s="374"/>
      <c r="U64" s="374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139"/>
      <c r="AU64" s="90"/>
      <c r="AV64" s="90"/>
      <c r="AW64" s="95"/>
    </row>
    <row r="65" spans="14:49">
      <c r="N65" s="361" t="s">
        <v>831</v>
      </c>
      <c r="O65" s="361"/>
      <c r="P65" s="361"/>
      <c r="Q65" s="250">
        <f>VLOOKUP(Q3,'Powder Core Detail'!$A$2:$T$985,13,FALSE)</f>
        <v>27.69</v>
      </c>
      <c r="S65" s="368" t="s">
        <v>831</v>
      </c>
      <c r="T65" s="369"/>
      <c r="U65" s="370"/>
      <c r="V65" s="250">
        <f>VLOOKUP(V3,'Powder Core Detail'!$A$2:$T$985,13,FALSE)</f>
        <v>24.4</v>
      </c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139"/>
      <c r="AU65" s="90"/>
      <c r="AV65" s="90"/>
      <c r="AW65" s="95"/>
    </row>
    <row r="66" spans="14:49">
      <c r="N66" s="361" t="s">
        <v>832</v>
      </c>
      <c r="O66" s="361"/>
      <c r="P66" s="361"/>
      <c r="Q66" s="250">
        <f>VLOOKUP(Q3,'Powder Core Detail'!$A$2:$T$985,11,FALSE)</f>
        <v>14.1</v>
      </c>
      <c r="S66" s="368" t="s">
        <v>832</v>
      </c>
      <c r="T66" s="369"/>
      <c r="U66" s="370"/>
      <c r="V66" s="250">
        <f>VLOOKUP(V3,'Powder Core Detail'!$A$2:$T$985,11,FALSE)</f>
        <v>13.7</v>
      </c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139"/>
      <c r="AU66" s="90"/>
      <c r="AV66" s="90"/>
      <c r="AW66" s="95"/>
    </row>
    <row r="67" spans="14:49">
      <c r="N67" s="361" t="s">
        <v>850</v>
      </c>
      <c r="O67" s="361"/>
      <c r="P67" s="361"/>
      <c r="Q67" s="250">
        <f>Q4*(VLOOKUP(Q3,'Powder Core Detail'!$A$2:$T$985,15,FALSE))</f>
        <v>12</v>
      </c>
      <c r="S67" s="368" t="s">
        <v>833</v>
      </c>
      <c r="T67" s="369"/>
      <c r="U67" s="370"/>
      <c r="V67" s="250">
        <f>V4*(VLOOKUP(V3,'Powder Core Detail'!$A$2:$T$985,15,FALSE))</f>
        <v>9.66</v>
      </c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139"/>
      <c r="AU67" s="90"/>
      <c r="AV67" s="90"/>
      <c r="AW67" s="95"/>
    </row>
    <row r="68" spans="14:49">
      <c r="N68" s="361" t="s">
        <v>834</v>
      </c>
      <c r="O68" s="361"/>
      <c r="P68" s="361"/>
      <c r="Q68" s="250">
        <f>100*(VLOOKUP(Q3,'Powder Core Detail'!$A$2:$T$985,20,FALSE))</f>
        <v>156</v>
      </c>
      <c r="S68" s="368" t="s">
        <v>834</v>
      </c>
      <c r="T68" s="369"/>
      <c r="U68" s="370"/>
      <c r="V68" s="250">
        <f>100*(VLOOKUP(V3,'Powder Core Detail'!$A$2:$T$985,20,FALSE))</f>
        <v>149</v>
      </c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139"/>
      <c r="AU68" s="90"/>
      <c r="AV68" s="90"/>
      <c r="AW68" s="95"/>
    </row>
    <row r="69" spans="14:49">
      <c r="N69" s="361" t="s">
        <v>826</v>
      </c>
      <c r="O69" s="361"/>
      <c r="P69" s="361"/>
      <c r="Q69" s="250">
        <f>Q65-Q66+(2*Q67)</f>
        <v>37.590000000000003</v>
      </c>
      <c r="S69" s="368" t="s">
        <v>826</v>
      </c>
      <c r="T69" s="369"/>
      <c r="U69" s="370"/>
      <c r="V69" s="250">
        <f>V65-V66+(2*V67)</f>
        <v>30.02</v>
      </c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139"/>
      <c r="AU69" s="90"/>
      <c r="AV69" s="90"/>
      <c r="AW69" s="95"/>
    </row>
    <row r="70" spans="14:49">
      <c r="N70" s="361" t="s">
        <v>828</v>
      </c>
      <c r="O70" s="361"/>
      <c r="P70" s="361"/>
      <c r="Q70" s="250">
        <f>2*PI()*((Q66/2)-(Q71/2))</f>
        <v>38.322471770106851</v>
      </c>
      <c r="S70" s="368" t="s">
        <v>828</v>
      </c>
      <c r="T70" s="369"/>
      <c r="U70" s="370"/>
      <c r="V70" s="250">
        <f>2*PI()*((V66/2)-(V71/2))</f>
        <v>22.583521021926586</v>
      </c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139"/>
      <c r="AU70" s="90"/>
      <c r="AV70" s="90"/>
      <c r="AW70" s="95"/>
    </row>
    <row r="71" spans="14:49">
      <c r="N71" s="361" t="s">
        <v>829</v>
      </c>
      <c r="O71" s="361"/>
      <c r="P71" s="361"/>
      <c r="Q71" s="250">
        <f>SQRT((4*Q33*100)/PI())</f>
        <v>1.9015783725757562</v>
      </c>
      <c r="S71" s="368" t="s">
        <v>829</v>
      </c>
      <c r="T71" s="369"/>
      <c r="U71" s="370"/>
      <c r="V71" s="250">
        <f>SQRT((4*V33*100)/PI())</f>
        <v>6.5114419938813031</v>
      </c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139"/>
      <c r="AU71" s="90"/>
      <c r="AV71" s="90"/>
      <c r="AW71" s="95"/>
    </row>
    <row r="72" spans="14:49">
      <c r="N72" s="361" t="s">
        <v>830</v>
      </c>
      <c r="O72" s="361"/>
      <c r="P72" s="361"/>
      <c r="Q72" s="250">
        <f>ROUNDDOWN(Q70/Q71,0)</f>
        <v>20</v>
      </c>
      <c r="S72" s="368" t="s">
        <v>830</v>
      </c>
      <c r="T72" s="369"/>
      <c r="U72" s="370"/>
      <c r="V72" s="250">
        <f>ROUNDDOWN(V70/V71,0)</f>
        <v>3</v>
      </c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139"/>
      <c r="AU72" s="90"/>
      <c r="AV72" s="90"/>
      <c r="AW72" s="95"/>
    </row>
    <row r="73" spans="14:49">
      <c r="N73" s="361" t="s">
        <v>835</v>
      </c>
      <c r="O73" s="361"/>
      <c r="P73" s="361"/>
      <c r="Q73" s="250">
        <f>IF(Q72&gt;Q49, Q49,Q72)</f>
        <v>20</v>
      </c>
      <c r="S73" s="368" t="s">
        <v>835</v>
      </c>
      <c r="T73" s="369"/>
      <c r="U73" s="370"/>
      <c r="V73" s="250">
        <f>IF(V72&gt;V49, V49,V72)</f>
        <v>3</v>
      </c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139"/>
      <c r="AU73" s="90"/>
      <c r="AV73" s="90"/>
      <c r="AW73" s="95"/>
    </row>
    <row r="74" spans="14:49">
      <c r="N74" s="361" t="s">
        <v>836</v>
      </c>
      <c r="O74" s="361"/>
      <c r="P74" s="361"/>
      <c r="Q74" s="250">
        <f>IF(Q49-(Q73)&lt;=0,0,IF(Q49-(Q73)&gt;=Q73-6,Q73-6,(Q49-(Q73))))</f>
        <v>14</v>
      </c>
      <c r="S74" s="368" t="s">
        <v>836</v>
      </c>
      <c r="T74" s="369"/>
      <c r="U74" s="370"/>
      <c r="V74" s="250">
        <f>IF(V49-(V73)&lt;=0,0,IF(V49-(V73)&gt;=V73-6,V73-6,(V49-(V73))))</f>
        <v>-3</v>
      </c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139"/>
      <c r="AU74" s="90"/>
      <c r="AV74" s="90"/>
      <c r="AW74" s="95"/>
    </row>
    <row r="75" spans="14:49">
      <c r="N75" s="361" t="s">
        <v>837</v>
      </c>
      <c r="O75" s="361"/>
      <c r="P75" s="361"/>
      <c r="Q75" s="250">
        <f>IF(Q49-(Q74+Q73)&lt;=0,0,IF(Q49-(Q74+Q73)&gt;=Q74-6,Q74-6,(Q49-(Q73+Q74))))</f>
        <v>8</v>
      </c>
      <c r="S75" s="368" t="s">
        <v>837</v>
      </c>
      <c r="T75" s="369"/>
      <c r="U75" s="370"/>
      <c r="V75" s="250">
        <f>IF(V49-(V74+V73)&lt;=0,0,IF(V49-(V74+V73)&gt;=V74-6,V74-6,(V49-(V73+V74))))</f>
        <v>-9</v>
      </c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139"/>
      <c r="AU75" s="90"/>
      <c r="AV75" s="90"/>
      <c r="AW75" s="95"/>
    </row>
    <row r="76" spans="14:49">
      <c r="N76" s="361" t="s">
        <v>838</v>
      </c>
      <c r="O76" s="361"/>
      <c r="P76" s="361"/>
      <c r="Q76" s="250">
        <f>IF(Q49-(Q75+Q74+Q73)&lt;=0,0,IF(Q49-(Q75+Q74+Q73)&gt;=Q75-6,Q75-6,(Q49-(Q74+Q75+Q73))))</f>
        <v>0</v>
      </c>
      <c r="S76" s="368" t="s">
        <v>838</v>
      </c>
      <c r="T76" s="369"/>
      <c r="U76" s="370"/>
      <c r="V76" s="250">
        <f>IF(V49-(V75+V74+V73)&lt;=0,0,IF(V49-(V75+V74+V73)&gt;=V75-6,V75-6,(V49-(V74+V75+V73))))</f>
        <v>-15</v>
      </c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139"/>
      <c r="AU76" s="90"/>
      <c r="AV76" s="90"/>
      <c r="AW76" s="95"/>
    </row>
    <row r="77" spans="14:49">
      <c r="N77" s="361" t="s">
        <v>842</v>
      </c>
      <c r="O77" s="361"/>
      <c r="P77" s="361"/>
      <c r="Q77" s="296">
        <f>Q69+(8*Q71/2)</f>
        <v>45.196313490303027</v>
      </c>
      <c r="S77" s="368" t="s">
        <v>842</v>
      </c>
      <c r="T77" s="369"/>
      <c r="U77" s="370"/>
      <c r="V77" s="250">
        <f>V69+(8*V71/2)</f>
        <v>56.065767975525212</v>
      </c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139"/>
      <c r="AU77" s="90"/>
      <c r="AV77" s="90"/>
      <c r="AW77" s="95"/>
    </row>
    <row r="78" spans="14:49">
      <c r="N78" s="361" t="s">
        <v>839</v>
      </c>
      <c r="O78" s="361"/>
      <c r="P78" s="361"/>
      <c r="Q78" s="296">
        <f>Q69+8*((Q71/2)+(SQRT(3)*(Q71/2)))</f>
        <v>58.37083491380443</v>
      </c>
      <c r="S78" s="368" t="s">
        <v>839</v>
      </c>
      <c r="T78" s="369"/>
      <c r="U78" s="370"/>
      <c r="V78" s="250">
        <f>V69+8*((V71/2)+(SQRT(3)*(V71/2)))</f>
        <v>101.17836143128525</v>
      </c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139"/>
      <c r="AU78" s="90"/>
      <c r="AV78" s="90"/>
      <c r="AW78" s="95"/>
    </row>
    <row r="79" spans="14:49">
      <c r="N79" s="361" t="s">
        <v>840</v>
      </c>
      <c r="O79" s="361"/>
      <c r="P79" s="361"/>
      <c r="Q79" s="296">
        <f>Q69+(8*(Q71/2)+(16*(SQRT(3)*(Q71/2))))</f>
        <v>71.545356337305833</v>
      </c>
      <c r="S79" s="368" t="s">
        <v>840</v>
      </c>
      <c r="T79" s="369"/>
      <c r="U79" s="370"/>
      <c r="V79" s="250">
        <f>V69+(8*(V71/2)+(16*(SQRT(3)*(V71/2))))</f>
        <v>146.2909548870453</v>
      </c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139"/>
      <c r="AU79" s="90"/>
      <c r="AV79" s="90"/>
      <c r="AW79" s="95"/>
    </row>
    <row r="80" spans="14:49">
      <c r="N80" s="361" t="s">
        <v>841</v>
      </c>
      <c r="O80" s="361"/>
      <c r="P80" s="361"/>
      <c r="Q80" s="296">
        <f>Q69+(8*(Q71/2)+(24*(SQRT(3)*(Q71/2))))</f>
        <v>84.719877760807222</v>
      </c>
      <c r="S80" s="368" t="s">
        <v>841</v>
      </c>
      <c r="T80" s="369"/>
      <c r="U80" s="370"/>
      <c r="V80" s="250">
        <f>V69+(8*(V71/2)+(24*(SQRT(3)*(V71/2))))</f>
        <v>191.40354834280535</v>
      </c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139"/>
      <c r="AU80" s="90"/>
      <c r="AV80" s="90"/>
      <c r="AW80" s="95"/>
    </row>
    <row r="81" spans="14:49">
      <c r="N81" s="361" t="s">
        <v>843</v>
      </c>
      <c r="O81" s="361"/>
      <c r="P81" s="361"/>
      <c r="Q81" s="296">
        <f>(Q73*Q77)+(Q74*Q78)+(Q75*Q79)+(Q76*Q80)</f>
        <v>2293.4808092977692</v>
      </c>
      <c r="S81" s="368" t="s">
        <v>843</v>
      </c>
      <c r="T81" s="369"/>
      <c r="U81" s="370"/>
      <c r="V81" s="250">
        <f>(V73*V77)+(V74*V78)+(V75*V79)+(V76*V80)</f>
        <v>-4323.0095994927688</v>
      </c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139"/>
      <c r="AU81" s="90"/>
      <c r="AV81" s="90"/>
      <c r="AW81" s="95"/>
    </row>
    <row r="82" spans="14:49">
      <c r="N82" s="361" t="s">
        <v>802</v>
      </c>
      <c r="O82" s="361"/>
      <c r="P82" s="361"/>
      <c r="Q82" s="296">
        <f>Q81/Q49</f>
        <v>54.606685935661169</v>
      </c>
      <c r="S82" s="368" t="s">
        <v>802</v>
      </c>
      <c r="T82" s="369"/>
      <c r="U82" s="370"/>
      <c r="V82" s="250">
        <f>V81/V49</f>
        <v>-131.00029089372026</v>
      </c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139"/>
      <c r="AU82" s="90"/>
      <c r="AV82" s="90"/>
      <c r="AW82" s="95"/>
    </row>
    <row r="83" spans="14:49">
      <c r="N83" s="361" t="s">
        <v>930</v>
      </c>
      <c r="O83" s="361"/>
      <c r="P83" s="361"/>
      <c r="Q83" s="250">
        <f>VLOOKUP(Q28, 'Wire Table'!$A$4:$K$47,11,FALSE)</f>
        <v>62.9</v>
      </c>
      <c r="S83" s="361" t="s">
        <v>930</v>
      </c>
      <c r="T83" s="361"/>
      <c r="U83" s="361"/>
      <c r="V83" s="250">
        <f>VLOOKUP(V28, 'Wire Table'!$A$4:$K$47,11,FALSE)</f>
        <v>15.75</v>
      </c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139"/>
      <c r="AU83" s="90"/>
      <c r="AV83" s="90"/>
      <c r="AW83" s="95"/>
    </row>
    <row r="84" spans="14:49">
      <c r="N84" s="361" t="s">
        <v>931</v>
      </c>
      <c r="O84" s="361"/>
      <c r="P84" s="361"/>
      <c r="Q84" s="296">
        <f>(Q24/304.8)/Q83</f>
        <v>0.11962708008888881</v>
      </c>
      <c r="S84" s="361" t="s">
        <v>931</v>
      </c>
      <c r="T84" s="361"/>
      <c r="U84" s="361"/>
      <c r="V84" s="296">
        <f>(V24/304.8)/V83</f>
        <v>-2.7015433067696342</v>
      </c>
      <c r="X84" s="90"/>
      <c r="Y84" s="90"/>
      <c r="Z84" s="90"/>
      <c r="AA84" s="90"/>
      <c r="AB84" s="90"/>
      <c r="AC84" s="90"/>
      <c r="AD84" s="90"/>
      <c r="AE84" s="93"/>
      <c r="AF84" s="93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139"/>
      <c r="AU84" s="90"/>
      <c r="AV84" s="90"/>
      <c r="AW84" s="95"/>
    </row>
    <row r="85" spans="14:49">
      <c r="N85" s="306"/>
      <c r="O85" s="306"/>
      <c r="P85" s="306"/>
      <c r="X85" s="90"/>
      <c r="Y85" s="90"/>
      <c r="Z85" s="90"/>
      <c r="AA85" s="90"/>
      <c r="AB85" s="90"/>
      <c r="AG85" s="93"/>
      <c r="AH85" s="93"/>
      <c r="AI85" s="93"/>
      <c r="AJ85" s="93"/>
      <c r="AK85" s="93"/>
      <c r="AL85" s="90"/>
      <c r="AM85" s="90"/>
      <c r="AN85" s="90"/>
      <c r="AO85" s="90"/>
      <c r="AP85" s="90"/>
      <c r="AQ85" s="90"/>
      <c r="AR85" s="90"/>
      <c r="AS85" s="90"/>
      <c r="AT85" s="139"/>
      <c r="AU85" s="90"/>
      <c r="AV85" s="90"/>
      <c r="AW85" s="95"/>
    </row>
    <row r="86" spans="14:49">
      <c r="N86" s="374" t="s">
        <v>844</v>
      </c>
      <c r="O86" s="374"/>
      <c r="P86" s="374"/>
      <c r="S86" s="374" t="s">
        <v>844</v>
      </c>
      <c r="T86" s="374"/>
      <c r="U86" s="374"/>
      <c r="X86" s="90"/>
      <c r="Y86" s="90"/>
      <c r="Z86" s="90"/>
      <c r="AA86" s="90"/>
      <c r="AB86" s="90"/>
      <c r="AL86" s="90"/>
      <c r="AM86" s="90"/>
      <c r="AN86" s="90"/>
      <c r="AO86" s="90"/>
      <c r="AP86" s="90"/>
      <c r="AQ86" s="90"/>
      <c r="AR86" s="90"/>
      <c r="AS86" s="90"/>
      <c r="AT86" s="139"/>
      <c r="AU86" s="90"/>
      <c r="AV86" s="90"/>
      <c r="AW86" s="95"/>
    </row>
    <row r="87" spans="14:49">
      <c r="N87" s="361" t="s">
        <v>658</v>
      </c>
      <c r="O87" s="361"/>
      <c r="P87" s="361"/>
      <c r="Q87" s="250">
        <f>VLOOKUP(Q3,'Powder Core Detail'!$A$2:$T$985,3,FALSE)</f>
        <v>930</v>
      </c>
      <c r="S87" s="361" t="s">
        <v>658</v>
      </c>
      <c r="T87" s="361"/>
      <c r="U87" s="361"/>
      <c r="V87" s="250">
        <f>VLOOKUP(V3,'Powder Core Detail'!$A$2:$T$985,3,FALSE)</f>
        <v>350</v>
      </c>
      <c r="X87" s="90"/>
      <c r="Y87" s="90"/>
      <c r="Z87" s="90"/>
      <c r="AA87" s="90"/>
      <c r="AB87" s="90"/>
      <c r="AL87" s="90"/>
      <c r="AM87" s="90"/>
      <c r="AN87" s="90"/>
      <c r="AO87" s="93"/>
      <c r="AP87" s="90"/>
      <c r="AQ87" s="90"/>
      <c r="AR87" s="90"/>
      <c r="AS87" s="90"/>
      <c r="AT87" s="139"/>
      <c r="AU87" s="93"/>
      <c r="AV87" s="93"/>
      <c r="AW87" s="140"/>
    </row>
    <row r="88" spans="14:49">
      <c r="N88" s="361" t="s">
        <v>848</v>
      </c>
      <c r="O88" s="361"/>
      <c r="P88" s="361"/>
      <c r="Q88" s="250">
        <f>VLOOKUP(--Q87,'Surface Area'!$A$2:$F$37,6,FALSE)</f>
        <v>4209.5</v>
      </c>
      <c r="S88" s="361" t="s">
        <v>848</v>
      </c>
      <c r="T88" s="361"/>
      <c r="U88" s="361"/>
      <c r="V88" s="250">
        <f>VLOOKUP(--V87,'Surface Area'!$A$2:$G$37,7,FALSE)</f>
        <v>17277.852348993292</v>
      </c>
      <c r="AL88" s="90"/>
      <c r="AM88" s="90"/>
      <c r="AN88" s="90"/>
      <c r="AP88" s="90"/>
      <c r="AQ88" s="90"/>
      <c r="AR88" s="90"/>
      <c r="AS88" s="90"/>
      <c r="AT88" s="139"/>
    </row>
    <row r="89" spans="14:49">
      <c r="N89" s="361" t="s">
        <v>849</v>
      </c>
      <c r="O89" s="361"/>
      <c r="P89" s="361"/>
      <c r="Q89" s="296">
        <f>(Q90*PI()*(Q65+Q66))</f>
        <v>1575.4458839222095</v>
      </c>
      <c r="S89" s="361" t="s">
        <v>849</v>
      </c>
      <c r="T89" s="361"/>
      <c r="U89" s="361"/>
      <c r="V89" s="296">
        <f>(V90*PI()*(V65+V66))</f>
        <v>1156.2506097831088</v>
      </c>
      <c r="AL89" s="90"/>
      <c r="AM89" s="90"/>
      <c r="AN89" s="90"/>
      <c r="AP89" s="90"/>
      <c r="AQ89" s="90"/>
      <c r="AR89" s="90"/>
      <c r="AS89" s="90"/>
      <c r="AT89" s="139"/>
    </row>
    <row r="90" spans="14:49">
      <c r="N90" s="361" t="s">
        <v>851</v>
      </c>
      <c r="O90" s="361"/>
      <c r="P90" s="361"/>
      <c r="Q90" s="250">
        <f>(VLOOKUP(Q3,'Powder Core Detail'!$A$2:$T$985,15,FALSE))</f>
        <v>12</v>
      </c>
      <c r="S90" s="361" t="s">
        <v>851</v>
      </c>
      <c r="T90" s="361"/>
      <c r="U90" s="361"/>
      <c r="V90" s="250">
        <f>(VLOOKUP(V3,'Powder Core Detail'!$A$2:$T$985,15,FALSE))</f>
        <v>9.66</v>
      </c>
      <c r="AL90" s="90"/>
      <c r="AM90" s="90"/>
      <c r="AN90" s="90"/>
      <c r="AP90" s="90"/>
      <c r="AQ90" s="90"/>
      <c r="AR90" s="90"/>
      <c r="AS90" s="90"/>
      <c r="AT90" s="139"/>
    </row>
    <row r="91" spans="14:49">
      <c r="N91" s="361" t="s">
        <v>853</v>
      </c>
      <c r="O91" s="361"/>
      <c r="P91" s="361"/>
      <c r="Q91" s="296">
        <f>Q88+(Q4-1)*(Q89)</f>
        <v>4209.5</v>
      </c>
      <c r="S91" s="361" t="s">
        <v>853</v>
      </c>
      <c r="T91" s="361"/>
      <c r="U91" s="361"/>
      <c r="V91" s="296">
        <f>V88+(V4-1)*(V89)</f>
        <v>17277.852348993292</v>
      </c>
      <c r="AL91" s="90"/>
      <c r="AM91" s="90"/>
      <c r="AN91" s="90"/>
      <c r="AP91" s="93"/>
      <c r="AQ91" s="93"/>
      <c r="AR91" s="93"/>
      <c r="AS91" s="93"/>
      <c r="AT91" s="94"/>
    </row>
    <row r="92" spans="14:49">
      <c r="AL92" s="90"/>
      <c r="AM92" s="90"/>
      <c r="AN92" s="90"/>
    </row>
    <row r="93" spans="14:49">
      <c r="N93" s="361" t="s">
        <v>786</v>
      </c>
      <c r="O93" s="361"/>
      <c r="P93" s="361"/>
      <c r="Q93" s="296" t="str">
        <f>VLOOKUP(Q3,'Powder Core Detail'!$A$2:$T$985,2,FALSE)</f>
        <v>C055930A2</v>
      </c>
      <c r="S93" s="361" t="s">
        <v>786</v>
      </c>
      <c r="T93" s="361"/>
      <c r="U93" s="361"/>
      <c r="V93" s="296" t="str">
        <f>VLOOKUP(V3,'Powder Core Detail'!$A$2:$T$985,2,FALSE)</f>
        <v>0077351A7</v>
      </c>
      <c r="AL93" s="93"/>
      <c r="AM93" s="93"/>
      <c r="AN93" s="93"/>
    </row>
    <row r="94" spans="14:49">
      <c r="N94" s="368" t="s">
        <v>979</v>
      </c>
      <c r="O94" s="369"/>
      <c r="P94" s="370"/>
      <c r="Q94" s="250">
        <f>VLOOKUP(Q3,'Powder Core Detail'!$A$2:$T$985,16,FALSE)*Q4</f>
        <v>0.65400000000000003</v>
      </c>
      <c r="S94" s="368" t="s">
        <v>979</v>
      </c>
      <c r="T94" s="369"/>
      <c r="U94" s="370"/>
      <c r="V94" s="250">
        <f>VLOOKUP(V3,'Powder Core Detail'!$A$2:$T$985,16,FALSE)*V4</f>
        <v>0.38800000000000001</v>
      </c>
    </row>
    <row r="96" spans="14:49">
      <c r="N96" s="361" t="s">
        <v>955</v>
      </c>
      <c r="O96" s="361"/>
      <c r="P96" s="361"/>
      <c r="Q96" s="296"/>
      <c r="S96" s="361" t="s">
        <v>955</v>
      </c>
      <c r="T96" s="361"/>
      <c r="U96" s="361"/>
      <c r="V96" s="296"/>
    </row>
    <row r="97" spans="14:22">
      <c r="N97" s="361" t="s">
        <v>956</v>
      </c>
      <c r="O97" s="361"/>
      <c r="P97" s="361"/>
      <c r="Q97" s="335">
        <f>IF($Q$5="Kool Mu",VLOOKUP($Q$6,'Kool Mu CF Constants'!$A$3:$F$9,2,FALSE),IF($Q$5="MPP",VLOOKUP($Q$6,'MPP CF'!$A$3:$F$12,2,FALSE),IF($Q$5="High Flux",VLOOKUP($Q$6,'HF CF'!$A$3:$F$8,2,FALSE),IF($Q$5="XFlux",VLOOKUP($Q$6,'XF CF'!$A$3:$F$6,2,FALSE),IF($Q$5="75", VLOOKUP($Q$6,'75 CF'!A2:D6,2,FALSE))))))</f>
        <v>0.01</v>
      </c>
      <c r="S97" s="361" t="s">
        <v>956</v>
      </c>
      <c r="T97" s="361"/>
      <c r="U97" s="361"/>
      <c r="V97" s="311">
        <f>IF($V$5="Kool Mu",VLOOKUP($V$6,'Kool Mu CF Constants'!$A$3:$F$9,2,FALSE),IF($V$5="MPP",VLOOKUP($V$6,'MPP CF'!$A$3:$F$12,2,FALSE),IF($V$5="High Flux",VLOOKUP($V$6,'HF CF'!$A$3:$F$8,2,FALSE),IF($V$5="XFlux",VLOOKUP($V$6,'XF CF'!$A$3:$F$5,2,FALSE)))))</f>
        <v>0.01</v>
      </c>
    </row>
    <row r="98" spans="14:22">
      <c r="N98" s="361" t="s">
        <v>957</v>
      </c>
      <c r="O98" s="361"/>
      <c r="P98" s="361"/>
      <c r="Q98" s="335">
        <f>IF($Q$5="Kool Mu",VLOOKUP($Q$6,'Kool Mu CF Constants'!$A$3:$F$9,3,FALSE),IF($Q$5="MPP",VLOOKUP($Q$6,'MPP CF'!$A$3:$F$12,3,FALSE),IF($Q$5="High Flux",VLOOKUP($Q$6,'HF CF'!$A$3:$F$8,3,FALSE),IF($Q$5="XFlux",VLOOKUP($Q$6,'XF CF'!$A$3:$F$6,3,FALSE),IF($Q$5="75",VLOOKUP($Q$6,'75 CF'!A2:D6,3,FALSE))))))</f>
        <v>1.967112606145264E-6</v>
      </c>
      <c r="S98" s="361" t="s">
        <v>957</v>
      </c>
      <c r="T98" s="361"/>
      <c r="U98" s="361"/>
      <c r="V98" s="311">
        <f>IF($V$5="Kool Mu",VLOOKUP($V$6,'Kool Mu CF Constants'!$A$3:$F$9,3,FALSE),IF($V$5="MPP",VLOOKUP($V$6,'MPP CF'!$A$3:$F$12,3,FALSE),IF($V$5="High Flux",VLOOKUP($V$6,'HF CF'!$A$3:$F$8,3,FALSE),IF($V$5="XFlux",VLOOKUP($V$6,'XF CF'!$A$3:$F$5,3,FALSE)))))</f>
        <v>5.1933774355899065E-6</v>
      </c>
    </row>
    <row r="99" spans="14:22">
      <c r="N99" s="361" t="s">
        <v>958</v>
      </c>
      <c r="O99" s="361"/>
      <c r="P99" s="361"/>
      <c r="Q99" s="335">
        <f>IF($Q$5="Kool Mu",VLOOKUP($Q$6,'Kool Mu CF Constants'!$A$3:$F$9,4,FALSE),IF($Q$5="MPP",VLOOKUP($Q$6,'MPP CF'!$A$3:$F$12,4,FALSE),IF($Q$5="High Flux",VLOOKUP($Q$6,'HF CF'!$A$3:$F$8,4,FALSE),IF($Q$5="XFlux",VLOOKUP($Q$6,'XF CF'!$A$3:$F$6,4,FALSE),IF($Q$5="75", VLOOKUP($Q$6,'75 CF'!A2:D6,4,FALSE))))))</f>
        <v>2.2534569616579643</v>
      </c>
      <c r="S99" s="361" t="s">
        <v>958</v>
      </c>
      <c r="T99" s="361"/>
      <c r="U99" s="361"/>
      <c r="V99" s="311">
        <f>IF($V$5="Kool Mu",VLOOKUP($V$6,'Kool Mu CF Constants'!$A$3:$F$9,4,FALSE),IF($V$5="MPP",VLOOKUP($V$6,'MPP CF'!$A$3:$F$12,4,FALSE),IF($V$5="High Flux",VLOOKUP($V$6,'HF CF'!$A$3:$F$8,4,FALSE),IF($V$5="XFlux",VLOOKUP($V$6,'XF CF'!$A$3:$F$5,4,FALSE)))))</f>
        <v>1.7488772261981522</v>
      </c>
    </row>
    <row r="100" spans="14:22">
      <c r="N100" s="361" t="s">
        <v>959</v>
      </c>
      <c r="O100" s="361"/>
      <c r="P100" s="361"/>
      <c r="Q100" s="311"/>
      <c r="S100" s="361" t="s">
        <v>959</v>
      </c>
      <c r="T100" s="361"/>
      <c r="U100" s="361"/>
      <c r="V100" s="311">
        <f>IF($V$5="Kool Mu",VLOOKUP($V$6,'Kool Mu CF Constants'!$A$3:$F$9,5,FALSE),IF($V$5="MPP",VLOOKUP($V$6,'MPP CF'!$A$3:$F$12,5,FALSE),IF($V$5="High Flux",VLOOKUP($V$6,'HF CF'!$A$3:$F$8,5,FALSE),IF($V$5="XFlux",VLOOKUP($V$6,'XF CF'!$A$3:$F$5,5,FALSE)))))</f>
        <v>0</v>
      </c>
    </row>
    <row r="101" spans="14:22">
      <c r="N101" s="361" t="s">
        <v>960</v>
      </c>
      <c r="O101" s="361"/>
      <c r="P101" s="361"/>
      <c r="Q101" s="311"/>
      <c r="S101" s="361" t="s">
        <v>960</v>
      </c>
      <c r="T101" s="361"/>
      <c r="U101" s="361"/>
      <c r="V101" s="311">
        <f>IF($V$5="Kool Mu",VLOOKUP($V$6,'Kool Mu CF Constants'!$A$3:$F$9,6,FALSE),IF($V$5="MPP",VLOOKUP($V$6,'MPP CF'!$A$3:$F$12,6,FALSE),IF($V$5="High Flux",VLOOKUP($V$6,'HF CF'!$A$3:$F$8,6,FALSE),IF($V$5="XFlux",VLOOKUP($V$6,'XF CF'!$A$3:$F$5,6,FALSE)))))</f>
        <v>0</v>
      </c>
    </row>
    <row r="102" spans="14:22">
      <c r="N102" s="361" t="s">
        <v>961</v>
      </c>
      <c r="O102" s="361"/>
      <c r="P102" s="361"/>
      <c r="Q102" s="335">
        <f>IF($Q$5="Kool Mu",VLOOKUP($Q$6,'Kool Mu CF Constants'!$A$11:$G$17,2,FALSE),IF($Q$5="MPP",VLOOKUP($Q$6,'MPP CF'!$A$14:$G$23,2,FALSE),IF($Q$5="High Flux",VLOOKUP($Q$6,'HF CF'!$A$10:$G$15,2,FALSE),IF($Q$5="XFlux",VLOOKUP($Q$6,'XF CF'!$A$11:$G$12,2,FALSE),IF($Q$5="75",VLOOKUP($Q$6,'75 CF'!A10:G14,2,FALSE))))))</f>
        <v>6.4199999999999999E-4</v>
      </c>
      <c r="S102" s="361" t="s">
        <v>961</v>
      </c>
      <c r="T102" s="361"/>
      <c r="U102" s="361"/>
      <c r="V102" s="311">
        <f>IF($V$5="Kool Mu",VLOOKUP($V$6,'Kool Mu CF Constants'!$A$11:$G$17,2,FALSE),IF($V$5="MPP",VLOOKUP($V$6,'MPP CF'!$A$14:$G$23,2,FALSE),IF($V$5="High Flux",VLOOKUP($V$6,'HF CF'!$A$10:$G$15,2,FALSE),IF($V$5="XFlux",VLOOKUP($V$6,'XF CF'!$A$9:$G$10,2,FALSE)))))</f>
        <v>1.6579999999999999E-4</v>
      </c>
    </row>
    <row r="103" spans="14:22">
      <c r="N103" s="361" t="s">
        <v>962</v>
      </c>
      <c r="O103" s="361"/>
      <c r="P103" s="361"/>
      <c r="Q103" s="335">
        <f>IF($Q$5="Kool Mu",VLOOKUP($Q$6,'Kool Mu CF Constants'!$A$11:$G$17,3,FALSE),IF($Q$5="MPP",VLOOKUP($Q$6,'MPP CF'!$A$14:$G$23,3,FALSE),IF($Q$5="High Flux",VLOOKUP($Q$6,'HF CF'!$A$10:$G$15,3,FALSE),IF($Q$5="XFlux",VLOOKUP($Q$6,'XF CF'!$A$11:$G$12,3,FALSE),IF($Q$5="75",VLOOKUP($Q$6,'75 CF'!A10:G14,3,FALSE))))))</f>
        <v>-6.2710000000000001E-4</v>
      </c>
      <c r="S103" s="361" t="s">
        <v>962</v>
      </c>
      <c r="T103" s="361"/>
      <c r="U103" s="361"/>
      <c r="V103" s="311">
        <f>IF($V$5="Kool Mu",VLOOKUP($V$6,'Kool Mu CF Constants'!$A$11:$G$17,3,FALSE),IF($V$5="MPP",VLOOKUP($V$6,'MPP CF'!$A$14:$G$23,3,FALSE),IF($V$5="High Flux",VLOOKUP($V$6,'HF CF'!$A$10:$G$15,3,FALSE),IF($V$5="XFlux",VLOOKUP($V$6,'XF CF'!$A$9:$G$10,3,FALSE)))))</f>
        <v>2.3010000000000002E-5</v>
      </c>
    </row>
    <row r="104" spans="14:22">
      <c r="N104" s="361" t="s">
        <v>963</v>
      </c>
      <c r="O104" s="361"/>
      <c r="P104" s="361"/>
      <c r="Q104" s="335">
        <f>IF($Q$5="Kool Mu",VLOOKUP($Q$6,'Kool Mu CF Constants'!$A$11:$G$17,4,FALSE),IF($Q$5="MPP",VLOOKUP($Q$6,'MPP CF'!$A$14:$G$23,4,FALSE),IF($Q$5="High Flux",VLOOKUP($Q$6,'HF CF'!$A$10:$G$15,4,FALSE),IF($Q$5="XFlux",VLOOKUP($Q$6,'XF CF'!$A$11:$G$12,4,FALSE),IF($Q$5="75",VLOOKUP($Q$6,'75 CF'!A10:G14,4,FALSE))))))</f>
        <v>3.2529999999999999E-4</v>
      </c>
      <c r="S104" s="361" t="s">
        <v>963</v>
      </c>
      <c r="T104" s="361"/>
      <c r="U104" s="361"/>
      <c r="V104" s="311">
        <f>IF($V$5="Kool Mu",VLOOKUP($V$6,'Kool Mu CF Constants'!$A$11:$G$17,4,FALSE),IF($V$5="MPP",VLOOKUP($V$6,'MPP CF'!$A$14:$G$23,4,FALSE),IF($V$5="High Flux",VLOOKUP($V$6,'HF CF'!$A$10:$G$15,4,FALSE),IF($V$5="XFlux",VLOOKUP($V$6,'XF CF'!$A$9:$G$10,4,FALSE)))))</f>
        <v>7.2970000000000001E-5</v>
      </c>
    </row>
    <row r="105" spans="14:22">
      <c r="N105" s="361" t="s">
        <v>964</v>
      </c>
      <c r="O105" s="361"/>
      <c r="P105" s="361"/>
      <c r="Q105" s="335">
        <f>IF($Q$5="Kool Mu",VLOOKUP($Q$6,'Kool Mu CF Constants'!$A$11:$G$17,5,FALSE),IF($Q$5="MPP",VLOOKUP($Q$6,'MPP CF'!$A$14:$G$23,5,FALSE),IF($Q$5="High Flux",VLOOKUP($Q$6,'HF CF'!$A$10:$G$15,5,FALSE),IF($Q$5="XFlux",VLOOKUP($Q$6,'XF CF'!$A$11:$G$12,5,FALSE),IF($Q$5="75",VLOOKUP($Q$6,'75 CF'!A10:G14,5,FALSE))))))</f>
        <v>9.9010000000000001E-3</v>
      </c>
      <c r="S105" s="361" t="s">
        <v>964</v>
      </c>
      <c r="T105" s="361"/>
      <c r="U105" s="361"/>
      <c r="V105" s="311">
        <f>IF($V$5="Kool Mu",VLOOKUP($V$6,'Kool Mu CF Constants'!$A$11:$G$17,5,FALSE),IF($V$5="MPP",VLOOKUP($V$6,'MPP CF'!$A$14:$G$23,5,FALSE),IF($V$5="High Flux",VLOOKUP($V$6,'HF CF'!$A$10:$G$15,5,FALSE),IF($V$5="XFlux",VLOOKUP($V$6,'XF CF'!$A$9:$G$10,5,FALSE)))))</f>
        <v>5.9059999999999998E-3</v>
      </c>
    </row>
    <row r="106" spans="14:22">
      <c r="N106" s="361" t="s">
        <v>965</v>
      </c>
      <c r="O106" s="361"/>
      <c r="P106" s="361"/>
      <c r="Q106" s="335">
        <f>IF($Q$5="Kool Mu",VLOOKUP($Q$6,'Kool Mu CF Constants'!$A$11:$G$17,6,FALSE),IF($Q$5="MPP",VLOOKUP($Q$6,'MPP CF'!$A$14:$G$23,6,FALSE),IF($Q$5="High Flux",VLOOKUP($Q$6,'HF CF'!$A$10:$G$15,6,FALSE),IF($Q$5="XFlux",VLOOKUP($Q$6,'XF CF'!$A$11:$G$12,6,FALSE),IF($Q$5="75",VLOOKUP($Q$6,'75 CF'!A10:G14,6,FALSE))))))</f>
        <v>5.3660000000000003E-4</v>
      </c>
      <c r="S106" s="361" t="s">
        <v>965</v>
      </c>
      <c r="T106" s="361"/>
      <c r="U106" s="361"/>
      <c r="V106" s="311">
        <f>IF($V$5="Kool Mu",VLOOKUP($V$6,'Kool Mu CF Constants'!$A$11:$G$17,6,FALSE),IF($V$5="MPP",VLOOKUP($V$6,'MPP CF'!$A$14:$G$23,6,FALSE),IF($V$5="High Flux",VLOOKUP($V$6,'HF CF'!$A$10:$G$15,6,FALSE),IF($V$5="XFlux",VLOOKUP($V$6,'XF CF'!$A$9:$G$10,6,FALSE)))))</f>
        <v>6.0529999999999998E-5</v>
      </c>
    </row>
    <row r="107" spans="14:22">
      <c r="N107" s="361" t="s">
        <v>966</v>
      </c>
      <c r="O107" s="361"/>
      <c r="P107" s="361"/>
      <c r="Q107" s="335">
        <f>IF($Q$5="Kool Mu",VLOOKUP($Q$6,'Kool Mu CF Constants'!$A$11:$G$17,7,FALSE),IF($Q$5="MPP",VLOOKUP($Q$6,'MPP CF'!$A$14:$G$23,7,FALSE),IF($Q$5="High Flux",VLOOKUP($Q$6,'HF CF'!$A$10:$G$15,7,FALSE),IF($Q$5="XFlux",VLOOKUP($Q$6,'XF CF'!$A$11:$G$12,7,FALSE),IF($Q$5="75",VLOOKUP($Q$6,'75 CF'!A11:G15,7,FALSE))))))</f>
        <v>0.5</v>
      </c>
      <c r="S107" s="361" t="s">
        <v>966</v>
      </c>
      <c r="T107" s="361"/>
      <c r="U107" s="361"/>
      <c r="V107" s="311">
        <f>IF($V$5="Kool Mu",VLOOKUP($V$6,'Kool Mu CF Constants'!$A$11:$G$17,7,FALSE),IF($V$5="MPP",VLOOKUP($V$6,'MPP CF'!$A$14:$G$23,7,FALSE),IF($V$5="High Flux",VLOOKUP($V$6,'HF CF'!$A$10:$G$15,7,FALSE),IF($V$5="XFlux",VLOOKUP($V$6,'XF CF'!$A$9:$G$10,7,FALSE)))))</f>
        <v>0.5</v>
      </c>
    </row>
    <row r="108" spans="14:22">
      <c r="N108" s="361" t="s">
        <v>967</v>
      </c>
      <c r="O108" s="361"/>
      <c r="P108" s="361"/>
      <c r="Q108" s="335">
        <f>IF($Q$5="Kool Mu",VLOOKUP($Q$6,'Kool Mu CF Constants'!$A$19:$D$25,2,FALSE),IF($Q$5="MPP",VLOOKUP($Q$6,'MPP CF'!$A$25:$D$34,2,FALSE),IF($Q$5="High Flux",VLOOKUP($Q$6,'HF CF'!$A$17:$D$22,2,FALSE),IF($Q$5="XFlux",IF($E$7&lt;10,VLOOKUP($Q$6,'XF CF'!B15:E17,2,FALSE),IF($E$7&lt;20,VLOOKUP($Q$6,'XF CF'!B18:E20,2,FALSE),IF($E$7&gt;=20,VLOOKUP($Q$6,'XF CF'!B21:E23,2,FALSE))))))))</f>
        <v>53.05</v>
      </c>
      <c r="R108" s="336" t="b">
        <f>IF($Q$5="75",VLOOKUP($Q$6,'75 CF'!A18:D22,2,FALSE))</f>
        <v>0</v>
      </c>
      <c r="S108" s="361" t="s">
        <v>967</v>
      </c>
      <c r="T108" s="361"/>
      <c r="U108" s="361"/>
      <c r="V108" s="311">
        <f>IF($V$5="Kool Mu",VLOOKUP($V$6,'Kool Mu CF Constants'!$A$19:$D$25,2,FALSE),IF($V$5="MPP",VLOOKUP($V$6,'MPP CF'!$A$25:$D$34,2,FALSE),IF($V$5="High Flux",VLOOKUP($V$6,'HF CF'!$A$17:$D$22,2,FALSE),IF($V$5="XFlux",VLOOKUP($V$6,'XF CF'!$A$14:$D$15,2,FALSE)))))</f>
        <v>193</v>
      </c>
    </row>
    <row r="109" spans="14:22">
      <c r="N109" s="361" t="s">
        <v>968</v>
      </c>
      <c r="O109" s="361"/>
      <c r="P109" s="361"/>
      <c r="Q109" s="335">
        <f>IF($Q$5="Kool Mu",VLOOKUP($Q$6,'Kool Mu CF Constants'!$A$19:$D$25,3,FALSE),IF($Q$5="MPP",VLOOKUP($Q$6,'MPP CF'!$A$25:$D$34,3,FALSE),IF($Q$5="High Flux",VLOOKUP($Q$6,'HF CF'!$A$17:$D$22,3,FALSE),IF($Q$5="XFlux",IF($E$7&lt;10,VLOOKUP($Q$6,'XF CF'!B15:E17,3,FALSE),IF($E$7&lt;20,VLOOKUP($Q$6,'XF CF'!B18:E20,3,FALSE),IF($E$7&gt;=20,VLOOKUP($Q$6,'XF CF'!B21:E23,3,FALSE))))))))</f>
        <v>2.06</v>
      </c>
      <c r="R109" s="336" t="b">
        <f>IF($Q$5="75",VLOOKUP($Q$6,'75 CF'!A18:D22,3,FALSE))</f>
        <v>0</v>
      </c>
      <c r="S109" s="361" t="s">
        <v>968</v>
      </c>
      <c r="T109" s="361"/>
      <c r="U109" s="361"/>
      <c r="V109" s="311">
        <f>IF($V$5="Kool Mu",VLOOKUP($V$6,'Kool Mu CF Constants'!$A$19:$D$25,3,FALSE),IF($V$5="MPP",VLOOKUP($V$6,'MPP CF'!$A$25:$D$34,3,FALSE),IF($V$5="High Flux",VLOOKUP($V$6,'HF CF'!$A$17:$D$22,3,FALSE),IF($V$5="XFlux",VLOOKUP($V$6,'XF CF'!$A$14:$D$15,3,FALSE)))))</f>
        <v>2.0099999999999998</v>
      </c>
    </row>
    <row r="110" spans="14:22" ht="10.5" customHeight="1">
      <c r="N110" s="361" t="s">
        <v>969</v>
      </c>
      <c r="O110" s="361"/>
      <c r="P110" s="361"/>
      <c r="Q110" s="335">
        <f>IF($Q$5="Kool Mu",VLOOKUP($Q$6,'Kool Mu CF Constants'!$A$19:$D$25,4,FALSE),IF($Q$5="MPP",VLOOKUP($Q$6,'MPP CF'!$A$25:$D$34,4,FALSE),IF($Q$5="High Flux",VLOOKUP($Q$6,'HF CF'!$A$17:$D$22,4,FALSE),IF($Q$5="XFlux",IF($E$7&lt;10,VLOOKUP($Q$6,'XF CF'!B15:E17,4,FALSE),IF($E$7&lt;20,VLOOKUP($Q$6,'XF CF'!B18:E20,4,FALSE),IF($E$7&gt;=20,VLOOKUP($Q$6,'XF CF'!B21:E23,4,FALSE))))))))</f>
        <v>1.56</v>
      </c>
      <c r="R110" s="336" t="b">
        <f>IF($Q$5="75",VLOOKUP($Q$6,'75 CF'!A18:D22,4,FALSE))</f>
        <v>0</v>
      </c>
      <c r="S110" s="361" t="s">
        <v>969</v>
      </c>
      <c r="T110" s="361"/>
      <c r="U110" s="361"/>
      <c r="V110" s="311">
        <f>IF($V$5="Kool Mu",VLOOKUP($V$6,'Kool Mu CF Constants'!$A$19:$D$25,4,FALSE),IF($V$5="MPP",VLOOKUP($V$6,'MPP CF'!$A$25:$D$34,4,FALSE),IF($V$5="High Flux",VLOOKUP($V$6,'HF CF'!$A$17:$D$22,4,FALSE),IF($V$5="XFlux",VLOOKUP($V$6,'XF CF'!$A$14:$D$15,4,FALSE)))))</f>
        <v>1.29</v>
      </c>
    </row>
    <row r="111" spans="14:22" ht="9.75" customHeight="1">
      <c r="N111" s="375" t="s">
        <v>973</v>
      </c>
      <c r="O111" s="375"/>
      <c r="P111" s="375"/>
      <c r="Q111" s="296">
        <f>$E$16*Q49/Q45</f>
        <v>57.850866141732276</v>
      </c>
      <c r="S111" s="375" t="s">
        <v>973</v>
      </c>
      <c r="T111" s="375"/>
      <c r="U111" s="375"/>
      <c r="V111" s="296">
        <f>$E$16*V49/V45</f>
        <v>49.087499999999999</v>
      </c>
    </row>
    <row r="112" spans="14:22" ht="15" customHeight="1">
      <c r="N112" s="361" t="s">
        <v>974</v>
      </c>
      <c r="O112" s="361"/>
      <c r="P112" s="361"/>
      <c r="Q112" s="296">
        <f>$E$17*Q49/Q45</f>
        <v>52.34125984251969</v>
      </c>
      <c r="S112" s="361" t="s">
        <v>974</v>
      </c>
      <c r="T112" s="361"/>
      <c r="U112" s="361"/>
      <c r="V112" s="296">
        <f>$E$17*V49/V45</f>
        <v>44.412500000000009</v>
      </c>
    </row>
    <row r="113" spans="14:22">
      <c r="N113" s="361" t="s">
        <v>976</v>
      </c>
      <c r="O113" s="361"/>
      <c r="P113" s="361"/>
      <c r="Q113" s="296">
        <f>IF($E$18=0,$E19*Q47/Q45,$E$18*Q47/Q45)</f>
        <v>55.096062992125987</v>
      </c>
      <c r="S113" s="361" t="s">
        <v>976</v>
      </c>
      <c r="T113" s="361"/>
      <c r="U113" s="361"/>
      <c r="V113" s="296">
        <f>$E$18*V47/V45</f>
        <v>46.75</v>
      </c>
    </row>
    <row r="114" spans="14:22">
      <c r="N114" s="361" t="s">
        <v>975</v>
      </c>
      <c r="O114" s="361"/>
      <c r="P114" s="361"/>
      <c r="Q114" s="296">
        <f>$E$19*Q49/Q45</f>
        <v>80.672402666433243</v>
      </c>
      <c r="S114" s="361" t="s">
        <v>975</v>
      </c>
      <c r="T114" s="361"/>
      <c r="U114" s="361"/>
      <c r="V114" s="296">
        <f>$E$19*V49/V45</f>
        <v>68.451984040942193</v>
      </c>
    </row>
    <row r="115" spans="14:22">
      <c r="N115" s="361" t="s">
        <v>977</v>
      </c>
      <c r="O115" s="361"/>
      <c r="P115" s="361"/>
      <c r="Q115" s="296">
        <f>IF($E$18=0,$E$19*Q49/Q45,$E$18*Q49/Q45)</f>
        <v>55.096062992125987</v>
      </c>
      <c r="S115" s="361" t="s">
        <v>977</v>
      </c>
      <c r="T115" s="361"/>
      <c r="U115" s="361"/>
      <c r="V115" s="296">
        <f>$E$18*V49/V45</f>
        <v>46.75</v>
      </c>
    </row>
    <row r="116" spans="14:22">
      <c r="N116" s="361" t="s">
        <v>981</v>
      </c>
      <c r="O116" s="361"/>
      <c r="P116" s="361"/>
      <c r="Q116" s="250">
        <f>$E$20*Q49/Q45</f>
        <v>55.096062992125987</v>
      </c>
      <c r="S116" s="361" t="s">
        <v>981</v>
      </c>
      <c r="T116" s="361"/>
      <c r="U116" s="361"/>
      <c r="V116" s="250">
        <f>$E$20*V49/V45</f>
        <v>46.75</v>
      </c>
    </row>
    <row r="120" spans="14:22">
      <c r="N120" s="377" t="s">
        <v>1160</v>
      </c>
      <c r="O120" s="377"/>
      <c r="P120" s="377"/>
      <c r="Q120" s="241">
        <f>Q65+Q71*2*Q23*1.1</f>
        <v>40.240417258999997</v>
      </c>
    </row>
    <row r="121" spans="14:22">
      <c r="N121" s="377" t="s">
        <v>1161</v>
      </c>
      <c r="O121" s="377"/>
      <c r="P121" s="377"/>
      <c r="Q121" s="241">
        <f>Q67+Q71*2*Q23*1.1</f>
        <v>24.550417258999992</v>
      </c>
    </row>
  </sheetData>
  <sheetProtection formatCells="0" insertColumns="0" insertRows="0" insertHyperlinks="0" deleteColumns="0" deleteRows="0" selectLockedCells="1" sort="0" autoFilter="0" pivotTables="0"/>
  <mergeCells count="284">
    <mergeCell ref="AP29:AQ30"/>
    <mergeCell ref="AS29:AS30"/>
    <mergeCell ref="AL14:AN14"/>
    <mergeCell ref="AL16:AN16"/>
    <mergeCell ref="AL17:AN17"/>
    <mergeCell ref="AL19:AN19"/>
    <mergeCell ref="AL22:AN22"/>
    <mergeCell ref="AL23:AN23"/>
    <mergeCell ref="AH4:AJ4"/>
    <mergeCell ref="AT26:AT27"/>
    <mergeCell ref="AP2:AT2"/>
    <mergeCell ref="AF7:AF8"/>
    <mergeCell ref="AD2:AE2"/>
    <mergeCell ref="AD3:AE3"/>
    <mergeCell ref="AE7:AE8"/>
    <mergeCell ref="AL3:AN3"/>
    <mergeCell ref="AT4:AT5"/>
    <mergeCell ref="AT7:AT8"/>
    <mergeCell ref="AT10:AT11"/>
    <mergeCell ref="AP10:AQ11"/>
    <mergeCell ref="AS10:AS11"/>
    <mergeCell ref="AH2:AJ2"/>
    <mergeCell ref="AH3:AJ3"/>
    <mergeCell ref="AH6:AJ7"/>
    <mergeCell ref="AL18:AN18"/>
    <mergeCell ref="AL15:AN15"/>
    <mergeCell ref="AL20:AN20"/>
    <mergeCell ref="AL21:AN21"/>
    <mergeCell ref="AP13:AQ13"/>
    <mergeCell ref="AP15:AQ15"/>
    <mergeCell ref="AQ3:AS3"/>
    <mergeCell ref="AL6:AN6"/>
    <mergeCell ref="AL12:AN12"/>
    <mergeCell ref="AL1:AN1"/>
    <mergeCell ref="AL2:AN2"/>
    <mergeCell ref="AP1:AS1"/>
    <mergeCell ref="B11:D11"/>
    <mergeCell ref="G1:I1"/>
    <mergeCell ref="J1:L1"/>
    <mergeCell ref="B21:D21"/>
    <mergeCell ref="N120:P120"/>
    <mergeCell ref="N97:P97"/>
    <mergeCell ref="N90:P90"/>
    <mergeCell ref="N83:P83"/>
    <mergeCell ref="N69:P69"/>
    <mergeCell ref="N70:P70"/>
    <mergeCell ref="N72:P72"/>
    <mergeCell ref="N73:P73"/>
    <mergeCell ref="S71:U71"/>
    <mergeCell ref="S72:U72"/>
    <mergeCell ref="N93:P93"/>
    <mergeCell ref="S88:U88"/>
    <mergeCell ref="S89:U89"/>
    <mergeCell ref="N86:P86"/>
    <mergeCell ref="N79:P79"/>
    <mergeCell ref="S79:U79"/>
    <mergeCell ref="N88:P88"/>
    <mergeCell ref="N121:P121"/>
    <mergeCell ref="AP4:AQ5"/>
    <mergeCell ref="AS4:AS5"/>
    <mergeCell ref="AP7:AQ8"/>
    <mergeCell ref="AS7:AS8"/>
    <mergeCell ref="AP26:AQ27"/>
    <mergeCell ref="AS26:AS27"/>
    <mergeCell ref="N66:P66"/>
    <mergeCell ref="N109:P109"/>
    <mergeCell ref="N110:P110"/>
    <mergeCell ref="N80:P80"/>
    <mergeCell ref="N81:P81"/>
    <mergeCell ref="N82:P82"/>
    <mergeCell ref="N74:P74"/>
    <mergeCell ref="N91:P91"/>
    <mergeCell ref="N96:P96"/>
    <mergeCell ref="N101:P101"/>
    <mergeCell ref="N102:P102"/>
    <mergeCell ref="N103:P103"/>
    <mergeCell ref="N104:P104"/>
    <mergeCell ref="N105:P105"/>
    <mergeCell ref="N98:P98"/>
    <mergeCell ref="N99:P99"/>
    <mergeCell ref="N100:P100"/>
    <mergeCell ref="N89:P89"/>
    <mergeCell ref="S87:U87"/>
    <mergeCell ref="B19:D19"/>
    <mergeCell ref="N21:P21"/>
    <mergeCell ref="N53:P53"/>
    <mergeCell ref="N63:P63"/>
    <mergeCell ref="N57:P57"/>
    <mergeCell ref="N59:P59"/>
    <mergeCell ref="N60:P60"/>
    <mergeCell ref="N61:P61"/>
    <mergeCell ref="N62:P62"/>
    <mergeCell ref="N19:P19"/>
    <mergeCell ref="N54:P54"/>
    <mergeCell ref="N44:P44"/>
    <mergeCell ref="N43:P43"/>
    <mergeCell ref="N46:P46"/>
    <mergeCell ref="N27:P27"/>
    <mergeCell ref="N23:P23"/>
    <mergeCell ref="N36:P36"/>
    <mergeCell ref="N52:P52"/>
    <mergeCell ref="N45:P45"/>
    <mergeCell ref="N24:P24"/>
    <mergeCell ref="N28:P28"/>
    <mergeCell ref="N29:P29"/>
    <mergeCell ref="N30:P30"/>
    <mergeCell ref="N31:P31"/>
    <mergeCell ref="S53:U53"/>
    <mergeCell ref="S46:U46"/>
    <mergeCell ref="S36:U36"/>
    <mergeCell ref="S40:U40"/>
    <mergeCell ref="S34:U34"/>
    <mergeCell ref="S35:U35"/>
    <mergeCell ref="S37:U37"/>
    <mergeCell ref="N38:P38"/>
    <mergeCell ref="N41:P41"/>
    <mergeCell ref="N34:P34"/>
    <mergeCell ref="N32:P32"/>
    <mergeCell ref="S33:U33"/>
    <mergeCell ref="N33:P33"/>
    <mergeCell ref="S38:U38"/>
    <mergeCell ref="N40:P40"/>
    <mergeCell ref="N39:P39"/>
    <mergeCell ref="S58:U58"/>
    <mergeCell ref="S47:U47"/>
    <mergeCell ref="S52:U52"/>
    <mergeCell ref="N58:P58"/>
    <mergeCell ref="S84:U84"/>
    <mergeCell ref="N64:P64"/>
    <mergeCell ref="N55:P55"/>
    <mergeCell ref="S60:U60"/>
    <mergeCell ref="S64:U64"/>
    <mergeCell ref="S61:U61"/>
    <mergeCell ref="S62:U62"/>
    <mergeCell ref="S59:U59"/>
    <mergeCell ref="S49:U49"/>
    <mergeCell ref="S50:U50"/>
    <mergeCell ref="N47:P47"/>
    <mergeCell ref="N48:P48"/>
    <mergeCell ref="N49:P49"/>
    <mergeCell ref="N50:P50"/>
    <mergeCell ref="N76:P76"/>
    <mergeCell ref="N77:P77"/>
    <mergeCell ref="N78:P78"/>
    <mergeCell ref="N75:P75"/>
    <mergeCell ref="N71:P71"/>
    <mergeCell ref="B10:D10"/>
    <mergeCell ref="N22:P22"/>
    <mergeCell ref="N35:P35"/>
    <mergeCell ref="N37:P37"/>
    <mergeCell ref="S10:U10"/>
    <mergeCell ref="S12:U12"/>
    <mergeCell ref="N10:P10"/>
    <mergeCell ref="N12:P12"/>
    <mergeCell ref="S11:U11"/>
    <mergeCell ref="N15:P15"/>
    <mergeCell ref="N11:P11"/>
    <mergeCell ref="N14:P14"/>
    <mergeCell ref="B15:D15"/>
    <mergeCell ref="B16:D16"/>
    <mergeCell ref="B17:D17"/>
    <mergeCell ref="B18:D18"/>
    <mergeCell ref="B20:D20"/>
    <mergeCell ref="N13:P13"/>
    <mergeCell ref="G14:I14"/>
    <mergeCell ref="J14:L14"/>
    <mergeCell ref="N18:P18"/>
    <mergeCell ref="N17:P17"/>
    <mergeCell ref="N20:P20"/>
    <mergeCell ref="N16:P16"/>
    <mergeCell ref="N1:P1"/>
    <mergeCell ref="S1:U1"/>
    <mergeCell ref="S2:U2"/>
    <mergeCell ref="S3:U3"/>
    <mergeCell ref="S4:U4"/>
    <mergeCell ref="S5:U5"/>
    <mergeCell ref="S6:U6"/>
    <mergeCell ref="S7:U7"/>
    <mergeCell ref="N2:P2"/>
    <mergeCell ref="N3:P3"/>
    <mergeCell ref="N5:P5"/>
    <mergeCell ref="N6:P6"/>
    <mergeCell ref="N7:P7"/>
    <mergeCell ref="B8:D8"/>
    <mergeCell ref="S9:U9"/>
    <mergeCell ref="B9:D9"/>
    <mergeCell ref="B2:D2"/>
    <mergeCell ref="B3:D3"/>
    <mergeCell ref="B4:D4"/>
    <mergeCell ref="B5:D5"/>
    <mergeCell ref="B6:D6"/>
    <mergeCell ref="B7:D7"/>
    <mergeCell ref="N4:P4"/>
    <mergeCell ref="N9:P9"/>
    <mergeCell ref="N8:P8"/>
    <mergeCell ref="S8:U8"/>
    <mergeCell ref="N116:P116"/>
    <mergeCell ref="S99:U99"/>
    <mergeCell ref="S116:U116"/>
    <mergeCell ref="N56:P56"/>
    <mergeCell ref="N51:P51"/>
    <mergeCell ref="N94:P94"/>
    <mergeCell ref="S94:U94"/>
    <mergeCell ref="N115:P115"/>
    <mergeCell ref="S115:U115"/>
    <mergeCell ref="S68:U68"/>
    <mergeCell ref="S69:U69"/>
    <mergeCell ref="S73:U73"/>
    <mergeCell ref="S74:U74"/>
    <mergeCell ref="S75:U75"/>
    <mergeCell ref="S93:U93"/>
    <mergeCell ref="S76:U76"/>
    <mergeCell ref="S77:U77"/>
    <mergeCell ref="S96:U96"/>
    <mergeCell ref="S97:U97"/>
    <mergeCell ref="S98:U98"/>
    <mergeCell ref="S100:U100"/>
    <mergeCell ref="S101:U101"/>
    <mergeCell ref="S102:U102"/>
    <mergeCell ref="S103:U103"/>
    <mergeCell ref="S104:U104"/>
    <mergeCell ref="S105:U105"/>
    <mergeCell ref="S15:U15"/>
    <mergeCell ref="S16:U16"/>
    <mergeCell ref="S45:U45"/>
    <mergeCell ref="S17:U17"/>
    <mergeCell ref="S66:U66"/>
    <mergeCell ref="S67:U67"/>
    <mergeCell ref="S48:U48"/>
    <mergeCell ref="S65:U65"/>
    <mergeCell ref="S20:U20"/>
    <mergeCell ref="S22:U22"/>
    <mergeCell ref="S23:U23"/>
    <mergeCell ref="S57:U57"/>
    <mergeCell ref="S21:U21"/>
    <mergeCell ref="S43:U43"/>
    <mergeCell ref="S44:U44"/>
    <mergeCell ref="S41:U41"/>
    <mergeCell ref="S30:U30"/>
    <mergeCell ref="S31:U31"/>
    <mergeCell ref="S51:U51"/>
    <mergeCell ref="S80:U80"/>
    <mergeCell ref="S81:U81"/>
    <mergeCell ref="S82:U82"/>
    <mergeCell ref="N111:P111"/>
    <mergeCell ref="N112:P112"/>
    <mergeCell ref="N113:P113"/>
    <mergeCell ref="N114:P114"/>
    <mergeCell ref="S111:U111"/>
    <mergeCell ref="S112:U112"/>
    <mergeCell ref="S113:U113"/>
    <mergeCell ref="S114:U114"/>
    <mergeCell ref="N106:P106"/>
    <mergeCell ref="N107:P107"/>
    <mergeCell ref="S106:U106"/>
    <mergeCell ref="S107:U107"/>
    <mergeCell ref="S108:U108"/>
    <mergeCell ref="S109:U109"/>
    <mergeCell ref="S110:U110"/>
    <mergeCell ref="N108:P108"/>
    <mergeCell ref="S18:U18"/>
    <mergeCell ref="S19:U19"/>
    <mergeCell ref="S24:U24"/>
    <mergeCell ref="S27:U27"/>
    <mergeCell ref="S55:U55"/>
    <mergeCell ref="S91:U91"/>
    <mergeCell ref="N84:P84"/>
    <mergeCell ref="S83:U83"/>
    <mergeCell ref="AL13:AN13"/>
    <mergeCell ref="S78:U78"/>
    <mergeCell ref="S90:U90"/>
    <mergeCell ref="S56:U56"/>
    <mergeCell ref="S13:U13"/>
    <mergeCell ref="S28:U28"/>
    <mergeCell ref="S29:U29"/>
    <mergeCell ref="S32:U32"/>
    <mergeCell ref="S14:U14"/>
    <mergeCell ref="N67:P67"/>
    <mergeCell ref="N68:P68"/>
    <mergeCell ref="N65:P65"/>
    <mergeCell ref="S54:U54"/>
    <mergeCell ref="S70:U70"/>
    <mergeCell ref="S86:U86"/>
    <mergeCell ref="N87:P87"/>
  </mergeCells>
  <conditionalFormatting sqref="AS19">
    <cfRule type="cellIs" dxfId="8" priority="1" operator="greaterThan">
      <formula>$AE$20</formula>
    </cfRule>
    <cfRule type="cellIs" dxfId="7" priority="2" operator="greaterThan">
      <formula>$AS$19&gt;$AE$20</formula>
    </cfRule>
    <cfRule type="cellIs" dxfId="6" priority="10" operator="greaterThan">
      <formula>$AS$19&gt;$AE$20</formula>
    </cfRule>
    <cfRule type="cellIs" dxfId="5" priority="11" operator="greaterThan">
      <formula>$AS$19&gt;$AE$20</formula>
    </cfRule>
    <cfRule type="cellIs" dxfId="4" priority="12" operator="greaterThan">
      <formula>$AS$19&gt;$AE$20</formula>
    </cfRule>
  </conditionalFormatting>
  <dataValidations count="2">
    <dataValidation type="list" allowBlank="1" showInputMessage="1" showErrorMessage="1" sqref="AE16">
      <formula1>"1,2,3,4,5,6,7,8,9,10"</formula1>
    </dataValidation>
    <dataValidation type="list" allowBlank="1" showInputMessage="1" showErrorMessage="1" sqref="AM8">
      <formula1>"6,7,8,9,10,11,12,13,14,15,16,17,18,19,20,21,22,23,24,25,26,27,28,29,30,31,32,33,34,35,36,37,38,39,40,41,42,43,44,45,46,47,48,49"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"/>
  <sheetViews>
    <sheetView topLeftCell="A82" workbookViewId="0">
      <selection activeCell="T175" sqref="T175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131"/>
  <sheetViews>
    <sheetView tabSelected="1" topLeftCell="AA1" zoomScale="80" zoomScaleNormal="80" workbookViewId="0">
      <selection activeCell="AE10" sqref="AE10"/>
    </sheetView>
  </sheetViews>
  <sheetFormatPr defaultRowHeight="15"/>
  <cols>
    <col min="1" max="3" width="9.140625" style="241" hidden="1" customWidth="1"/>
    <col min="4" max="4" width="11.28515625" style="241" hidden="1" customWidth="1"/>
    <col min="5" max="5" width="13.5703125" style="241" hidden="1" customWidth="1"/>
    <col min="6" max="6" width="9.140625" style="241" hidden="1" customWidth="1"/>
    <col min="7" max="8" width="13" style="241" hidden="1" customWidth="1"/>
    <col min="9" max="9" width="12.140625" style="241" hidden="1" customWidth="1"/>
    <col min="10" max="12" width="13" style="241" hidden="1" customWidth="1"/>
    <col min="13" max="15" width="9.140625" style="241" hidden="1" customWidth="1"/>
    <col min="16" max="16" width="15.5703125" style="241" hidden="1" customWidth="1"/>
    <col min="17" max="17" width="12.140625" style="241" hidden="1" customWidth="1"/>
    <col min="18" max="26" width="9.140625" style="241" hidden="1" customWidth="1"/>
    <col min="27" max="28" width="9.140625" style="241"/>
    <col min="29" max="29" width="11.85546875" style="241" customWidth="1"/>
    <col min="30" max="30" width="9.140625" style="241"/>
    <col min="31" max="31" width="10.5703125" style="241" customWidth="1"/>
    <col min="32" max="32" width="15.42578125" style="241" customWidth="1"/>
    <col min="33" max="33" width="9.140625" style="241"/>
    <col min="34" max="34" width="15.85546875" style="241" customWidth="1"/>
    <col min="35" max="35" width="15.140625" style="241" bestFit="1" customWidth="1"/>
    <col min="36" max="36" width="15.42578125" style="241" customWidth="1"/>
    <col min="37" max="37" width="9.140625" style="241"/>
    <col min="38" max="38" width="4.7109375" style="241" customWidth="1"/>
    <col min="39" max="39" width="17.85546875" style="241" customWidth="1"/>
    <col min="40" max="40" width="4" style="241" customWidth="1"/>
    <col min="41" max="41" width="9.140625" style="241"/>
    <col min="42" max="42" width="12" style="241" customWidth="1"/>
    <col min="43" max="43" width="15.5703125" style="241" customWidth="1"/>
    <col min="44" max="16384" width="9.140625" style="241"/>
  </cols>
  <sheetData>
    <row r="1" spans="2:51" ht="15.75" thickBot="1">
      <c r="B1" s="368" t="s">
        <v>1197</v>
      </c>
      <c r="C1" s="369"/>
      <c r="D1" s="369"/>
      <c r="E1" s="313" t="s">
        <v>1301</v>
      </c>
      <c r="G1" s="400" t="s">
        <v>1302</v>
      </c>
      <c r="H1" s="401"/>
      <c r="I1" s="402"/>
      <c r="J1" s="403" t="s">
        <v>1303</v>
      </c>
      <c r="K1" s="404"/>
      <c r="L1" s="405"/>
      <c r="N1" s="377" t="s">
        <v>796</v>
      </c>
      <c r="O1" s="377"/>
      <c r="P1" s="377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</row>
    <row r="2" spans="2:51" ht="23.25" customHeight="1">
      <c r="B2" s="376" t="s">
        <v>779</v>
      </c>
      <c r="C2" s="376"/>
      <c r="D2" s="376"/>
      <c r="G2" s="242"/>
      <c r="H2" s="243"/>
      <c r="I2" s="244"/>
      <c r="J2" s="245"/>
      <c r="K2" s="246"/>
      <c r="L2" s="247"/>
      <c r="N2" s="374" t="s">
        <v>785</v>
      </c>
      <c r="O2" s="374"/>
      <c r="P2" s="374"/>
      <c r="Y2" s="90"/>
      <c r="Z2" s="90"/>
      <c r="AA2" s="90"/>
      <c r="AB2" s="95"/>
      <c r="AC2" s="232"/>
      <c r="AD2" s="468" t="s">
        <v>1162</v>
      </c>
      <c r="AE2" s="413"/>
      <c r="AF2" s="96"/>
      <c r="AG2" s="97"/>
      <c r="AH2" s="408" t="s">
        <v>1163</v>
      </c>
      <c r="AI2" s="409"/>
      <c r="AJ2" s="410"/>
      <c r="AK2" s="97"/>
      <c r="AL2" s="408" t="s">
        <v>1164</v>
      </c>
      <c r="AM2" s="409"/>
      <c r="AN2" s="410"/>
      <c r="AO2" s="97"/>
      <c r="AP2" s="408" t="s">
        <v>1165</v>
      </c>
      <c r="AQ2" s="409"/>
      <c r="AR2" s="409"/>
      <c r="AS2" s="409"/>
      <c r="AT2" s="410"/>
      <c r="AU2" s="90"/>
      <c r="AV2" s="90"/>
      <c r="AW2" s="90"/>
      <c r="AX2" s="90"/>
      <c r="AY2" s="90"/>
    </row>
    <row r="3" spans="2:51" ht="36.75" customHeight="1" thickBot="1">
      <c r="B3" s="368" t="s">
        <v>780</v>
      </c>
      <c r="C3" s="369"/>
      <c r="D3" s="369"/>
      <c r="E3" s="248">
        <f>AE14</f>
        <v>9.6000000000000002E-2</v>
      </c>
      <c r="G3" s="242"/>
      <c r="H3" s="243"/>
      <c r="I3" s="244"/>
      <c r="J3" s="245"/>
      <c r="K3" s="246"/>
      <c r="L3" s="247"/>
      <c r="N3" s="361" t="s">
        <v>786</v>
      </c>
      <c r="O3" s="361"/>
      <c r="P3" s="361"/>
      <c r="Q3" s="248" t="str">
        <f>AM4</f>
        <v>00K4020E026</v>
      </c>
      <c r="Y3" s="90"/>
      <c r="Z3" s="90"/>
      <c r="AA3" s="90"/>
      <c r="AB3" s="95"/>
      <c r="AC3" s="99"/>
      <c r="AD3" s="467" t="s">
        <v>1157</v>
      </c>
      <c r="AE3" s="415"/>
      <c r="AF3" s="100"/>
      <c r="AG3" s="97"/>
      <c r="AH3" s="422" t="s">
        <v>1385</v>
      </c>
      <c r="AI3" s="423"/>
      <c r="AJ3" s="424"/>
      <c r="AK3" s="184"/>
      <c r="AL3" s="418" t="s">
        <v>1158</v>
      </c>
      <c r="AM3" s="452"/>
      <c r="AN3" s="453"/>
      <c r="AO3" s="97"/>
      <c r="AP3" s="101"/>
      <c r="AQ3" s="102"/>
      <c r="AR3" s="102"/>
      <c r="AS3" s="91"/>
      <c r="AT3" s="103"/>
      <c r="AU3" s="90"/>
      <c r="AV3" s="90"/>
      <c r="AW3" s="90"/>
      <c r="AX3" s="90"/>
      <c r="AY3" s="90"/>
    </row>
    <row r="4" spans="2:51" ht="15.75" customHeight="1" thickBot="1">
      <c r="B4" s="368" t="str">
        <f>IF(E1="DC w/ ripple","DC Amps", IF(E1="Low AC w/ ripple","AC RMS Amps", IF(E1="pure AC no ripple", "AC RMS Amps")))</f>
        <v>DC Amps</v>
      </c>
      <c r="C4" s="369"/>
      <c r="D4" s="370"/>
      <c r="E4" s="249">
        <f>AE6</f>
        <v>8.33</v>
      </c>
      <c r="G4" s="242"/>
      <c r="H4" s="243"/>
      <c r="I4" s="244"/>
      <c r="J4" s="245"/>
      <c r="K4" s="246"/>
      <c r="L4" s="247"/>
      <c r="N4" s="361" t="s">
        <v>1198</v>
      </c>
      <c r="O4" s="361"/>
      <c r="P4" s="361"/>
      <c r="Q4" s="248">
        <v>1</v>
      </c>
      <c r="W4" s="90"/>
      <c r="X4" s="90"/>
      <c r="Y4" s="90"/>
      <c r="Z4" s="90"/>
      <c r="AA4" s="90"/>
      <c r="AB4" s="95"/>
      <c r="AC4" s="84"/>
      <c r="AD4" s="90"/>
      <c r="AE4" s="126"/>
      <c r="AF4" s="105"/>
      <c r="AG4" s="97"/>
      <c r="AH4" s="251"/>
      <c r="AI4" s="314"/>
      <c r="AJ4" s="315"/>
      <c r="AK4" s="97"/>
      <c r="AL4" s="106"/>
      <c r="AM4" s="81" t="s">
        <v>343</v>
      </c>
      <c r="AN4" s="105"/>
      <c r="AO4" s="97"/>
      <c r="AP4" s="459" t="s">
        <v>1191</v>
      </c>
      <c r="AQ4" s="460"/>
      <c r="AR4" s="107"/>
      <c r="AS4" s="472">
        <f>Q9</f>
        <v>7.7267919797911117E-2</v>
      </c>
      <c r="AT4" s="196" t="s">
        <v>1169</v>
      </c>
      <c r="AU4" s="90"/>
      <c r="AV4" s="90"/>
      <c r="AW4" s="90"/>
      <c r="AX4" s="90"/>
      <c r="AY4" s="90"/>
    </row>
    <row r="5" spans="2:51" ht="16.5" customHeight="1" thickBot="1">
      <c r="B5" s="371" t="str">
        <f>IF(E1="Pure AC no ripple", 0,"RMS Ripple Current (Amps)")</f>
        <v>RMS Ripple Current (Amps)</v>
      </c>
      <c r="C5" s="372"/>
      <c r="D5" s="372"/>
      <c r="E5" s="248">
        <f>E6/2/1.732</f>
        <v>0.24047344110854502</v>
      </c>
      <c r="G5" s="242"/>
      <c r="H5" s="243"/>
      <c r="I5" s="244"/>
      <c r="J5" s="245"/>
      <c r="K5" s="246"/>
      <c r="L5" s="247"/>
      <c r="N5" s="361" t="s">
        <v>654</v>
      </c>
      <c r="O5" s="361"/>
      <c r="P5" s="361"/>
      <c r="Q5" s="250" t="str">
        <f>VLOOKUP(Q3,'E Core Detail'!$A$2:$D$79,4,FALSE)</f>
        <v>Kool Mu</v>
      </c>
      <c r="W5" s="90"/>
      <c r="X5" s="90"/>
      <c r="Y5" s="90"/>
      <c r="Z5" s="90"/>
      <c r="AA5" s="90"/>
      <c r="AB5" s="95"/>
      <c r="AC5" s="84"/>
      <c r="AD5" s="108"/>
      <c r="AE5" s="109"/>
      <c r="AF5" s="100"/>
      <c r="AG5" s="97"/>
      <c r="AH5" s="251"/>
      <c r="AI5" s="316">
        <f>E31</f>
        <v>7.344121175999998</v>
      </c>
      <c r="AJ5" s="315"/>
      <c r="AK5" s="97"/>
      <c r="AL5" s="110"/>
      <c r="AM5" s="92"/>
      <c r="AN5" s="111"/>
      <c r="AO5" s="97"/>
      <c r="AP5" s="461"/>
      <c r="AQ5" s="462"/>
      <c r="AR5" s="107"/>
      <c r="AS5" s="473"/>
      <c r="AT5" s="183"/>
      <c r="AU5" s="90"/>
      <c r="AV5" s="90"/>
      <c r="AW5" s="90"/>
      <c r="AX5" s="90"/>
      <c r="AY5" s="90"/>
    </row>
    <row r="6" spans="2:51" ht="15.75" customHeight="1" thickBot="1">
      <c r="B6" s="371" t="str">
        <f>IF(E1="Pure AC no ripple",0,"Pk-Pk Ripple Current (Amps)")</f>
        <v>Pk-Pk Ripple Current (Amps)</v>
      </c>
      <c r="C6" s="372"/>
      <c r="D6" s="372"/>
      <c r="E6" s="248">
        <f>AE8</f>
        <v>0.83299999999999996</v>
      </c>
      <c r="G6" s="242"/>
      <c r="H6" s="243"/>
      <c r="I6" s="244"/>
      <c r="J6" s="245"/>
      <c r="K6" s="246"/>
      <c r="L6" s="247"/>
      <c r="N6" s="371" t="s">
        <v>787</v>
      </c>
      <c r="O6" s="372"/>
      <c r="P6" s="373"/>
      <c r="Q6" s="250">
        <f>VLOOKUP(Q3,'E Core Detail'!$A$2:$C$79,3,FALSE)</f>
        <v>26</v>
      </c>
      <c r="W6" s="90"/>
      <c r="X6" s="90"/>
      <c r="Y6" s="90"/>
      <c r="Z6" s="90"/>
      <c r="AA6" s="90"/>
      <c r="AB6" s="95"/>
      <c r="AC6" s="87" t="s">
        <v>1171</v>
      </c>
      <c r="AD6" s="104"/>
      <c r="AE6" s="81">
        <v>8.33</v>
      </c>
      <c r="AF6" s="112" t="s">
        <v>1166</v>
      </c>
      <c r="AG6" s="97"/>
      <c r="AH6" s="251"/>
      <c r="AI6" s="314"/>
      <c r="AJ6" s="315"/>
      <c r="AK6" s="97"/>
      <c r="AL6" s="440" t="s">
        <v>1390</v>
      </c>
      <c r="AM6" s="441"/>
      <c r="AN6" s="442"/>
      <c r="AO6" s="97"/>
      <c r="AP6" s="88"/>
      <c r="AQ6" s="113"/>
      <c r="AR6" s="114"/>
      <c r="AS6" s="115"/>
      <c r="AT6" s="103"/>
      <c r="AU6" s="90"/>
      <c r="AV6" s="90"/>
      <c r="AW6" s="90"/>
      <c r="AX6" s="90"/>
      <c r="AY6" s="90"/>
    </row>
    <row r="7" spans="2:51" ht="15" customHeight="1" thickBot="1">
      <c r="B7" s="371" t="s">
        <v>980</v>
      </c>
      <c r="C7" s="372"/>
      <c r="D7" s="372"/>
      <c r="E7" s="248">
        <f>AE19</f>
        <v>8.3330000000000002</v>
      </c>
      <c r="G7" s="242"/>
      <c r="H7" s="243"/>
      <c r="I7" s="244"/>
      <c r="J7" s="245"/>
      <c r="K7" s="246"/>
      <c r="L7" s="247"/>
      <c r="N7" s="371" t="s">
        <v>797</v>
      </c>
      <c r="O7" s="372"/>
      <c r="P7" s="373"/>
      <c r="Q7" s="250">
        <f>VLOOKUP(Q3,'E Core Detail'!$A$2:$E$79,5,FALSE)*Q4</f>
        <v>80</v>
      </c>
      <c r="W7" s="90"/>
      <c r="X7" s="90"/>
      <c r="Y7" s="90"/>
      <c r="Z7" s="90"/>
      <c r="AA7" s="90"/>
      <c r="AB7" s="95"/>
      <c r="AC7" s="84"/>
      <c r="AD7" s="108"/>
      <c r="AE7" s="109"/>
      <c r="AF7" s="100"/>
      <c r="AG7" s="97"/>
      <c r="AH7" s="425" t="s">
        <v>1386</v>
      </c>
      <c r="AI7" s="426"/>
      <c r="AJ7" s="427"/>
      <c r="AK7" s="97"/>
      <c r="AL7" s="110"/>
      <c r="AM7" s="92"/>
      <c r="AN7" s="111"/>
      <c r="AO7" s="97"/>
      <c r="AP7" s="459" t="s">
        <v>1192</v>
      </c>
      <c r="AQ7" s="460"/>
      <c r="AR7" s="107"/>
      <c r="AS7" s="454">
        <f>Q12</f>
        <v>8.7120000000000003E-2</v>
      </c>
      <c r="AT7" s="196" t="s">
        <v>1169</v>
      </c>
      <c r="AU7" s="90"/>
      <c r="AV7" s="90"/>
      <c r="AW7" s="90"/>
      <c r="AX7" s="90"/>
      <c r="AY7" s="90"/>
    </row>
    <row r="8" spans="2:51" ht="14.25" customHeight="1" thickBot="1">
      <c r="B8" s="371" t="str">
        <f>IF(E1="Pure AC no ripple", "AC Frequency (kHz)","PK-Pk Frequency (kHz)")</f>
        <v>PK-Pk Frequency (kHz)</v>
      </c>
      <c r="C8" s="372"/>
      <c r="D8" s="372"/>
      <c r="E8" s="248">
        <f>AE11</f>
        <v>100</v>
      </c>
      <c r="G8" s="242"/>
      <c r="H8" s="243"/>
      <c r="I8" s="244"/>
      <c r="J8" s="245"/>
      <c r="K8" s="246"/>
      <c r="L8" s="247"/>
      <c r="N8" s="371" t="s">
        <v>995</v>
      </c>
      <c r="O8" s="372"/>
      <c r="P8" s="373"/>
      <c r="Q8" s="254">
        <f>IF($E$7=0,"No Value",(Q47*Q59)*Q54^2/10^6)</f>
        <v>7.7502951415107602E-2</v>
      </c>
      <c r="W8" s="90"/>
      <c r="X8" s="90"/>
      <c r="Y8" s="90"/>
      <c r="Z8" s="90"/>
      <c r="AA8" s="90"/>
      <c r="AB8" s="95"/>
      <c r="AC8" s="456" t="s">
        <v>1167</v>
      </c>
      <c r="AD8" s="116"/>
      <c r="AE8" s="416">
        <v>0.83299999999999996</v>
      </c>
      <c r="AF8" s="458" t="s">
        <v>1170</v>
      </c>
      <c r="AG8" s="97"/>
      <c r="AH8" s="428"/>
      <c r="AI8" s="429"/>
      <c r="AJ8" s="430"/>
      <c r="AK8" s="97"/>
      <c r="AL8" s="110"/>
      <c r="AM8" s="81">
        <v>19</v>
      </c>
      <c r="AN8" s="111"/>
      <c r="AO8" s="97"/>
      <c r="AP8" s="461"/>
      <c r="AQ8" s="462"/>
      <c r="AR8" s="107"/>
      <c r="AS8" s="455"/>
      <c r="AT8" s="183"/>
      <c r="AU8" s="90"/>
      <c r="AV8" s="90"/>
      <c r="AW8" s="90"/>
      <c r="AX8" s="90"/>
      <c r="AY8" s="90"/>
    </row>
    <row r="9" spans="2:51" ht="15" customHeight="1" thickBot="1">
      <c r="B9" s="361" t="s">
        <v>929</v>
      </c>
      <c r="C9" s="361"/>
      <c r="D9" s="361"/>
      <c r="E9" s="248"/>
      <c r="G9" s="242"/>
      <c r="H9" s="243"/>
      <c r="I9" s="244"/>
      <c r="J9" s="245"/>
      <c r="K9" s="246"/>
      <c r="L9" s="247"/>
      <c r="N9" s="368" t="s">
        <v>941</v>
      </c>
      <c r="O9" s="369"/>
      <c r="P9" s="370"/>
      <c r="Q9" s="254">
        <f>(Q47*Q56)*Q54^2/10^6</f>
        <v>7.7267919797911117E-2</v>
      </c>
      <c r="W9" s="90"/>
      <c r="X9" s="90"/>
      <c r="Y9" s="90"/>
      <c r="Z9" s="90"/>
      <c r="AA9" s="90"/>
      <c r="AB9" s="95"/>
      <c r="AC9" s="457"/>
      <c r="AD9" s="116"/>
      <c r="AE9" s="417"/>
      <c r="AF9" s="412"/>
      <c r="AG9" s="97"/>
      <c r="AH9" s="255"/>
      <c r="AI9" s="256"/>
      <c r="AJ9" s="257"/>
      <c r="AK9" s="97"/>
      <c r="AL9" s="110"/>
      <c r="AM9" s="220" t="s">
        <v>1184</v>
      </c>
      <c r="AN9" s="111"/>
      <c r="AO9" s="97"/>
      <c r="AP9" s="88"/>
      <c r="AQ9" s="113"/>
      <c r="AR9" s="114"/>
      <c r="AS9" s="115"/>
      <c r="AT9" s="103"/>
      <c r="AU9" s="90"/>
      <c r="AV9" s="90"/>
      <c r="AW9" s="90"/>
      <c r="AX9" s="90"/>
      <c r="AY9" s="90"/>
    </row>
    <row r="10" spans="2:51" ht="15" customHeight="1" thickBot="1">
      <c r="B10" s="368" t="s">
        <v>1199</v>
      </c>
      <c r="C10" s="369"/>
      <c r="D10" s="370"/>
      <c r="E10" s="248">
        <v>25</v>
      </c>
      <c r="G10" s="258"/>
      <c r="H10" s="259"/>
      <c r="I10" s="260"/>
      <c r="J10" s="261"/>
      <c r="K10" s="262"/>
      <c r="L10" s="263"/>
      <c r="N10" s="361" t="s">
        <v>943</v>
      </c>
      <c r="O10" s="361"/>
      <c r="P10" s="361"/>
      <c r="Q10" s="254">
        <f>(Q47*Q55)*Q54^2/10^6</f>
        <v>7.7504627615702038E-2</v>
      </c>
      <c r="W10" s="90"/>
      <c r="X10" s="90"/>
      <c r="Y10" s="90"/>
      <c r="Z10" s="90"/>
      <c r="AA10" s="90"/>
      <c r="AB10" s="95"/>
      <c r="AC10" s="84"/>
      <c r="AD10" s="108"/>
      <c r="AE10" s="109"/>
      <c r="AF10" s="100"/>
      <c r="AG10" s="97"/>
      <c r="AH10" s="255"/>
      <c r="AI10" s="256"/>
      <c r="AJ10" s="257"/>
      <c r="AK10" s="97"/>
      <c r="AL10" s="469" t="s">
        <v>654</v>
      </c>
      <c r="AM10" s="470"/>
      <c r="AN10" s="471"/>
      <c r="AO10" s="97"/>
      <c r="AP10" s="463" t="s">
        <v>1185</v>
      </c>
      <c r="AQ10" s="464"/>
      <c r="AR10" s="95"/>
      <c r="AS10" s="454">
        <f>Q8</f>
        <v>7.7502951415107602E-2</v>
      </c>
      <c r="AT10" s="196" t="s">
        <v>1169</v>
      </c>
      <c r="AU10" s="90"/>
      <c r="AV10" s="90"/>
      <c r="AW10" s="90"/>
      <c r="AX10" s="90"/>
      <c r="AY10" s="90"/>
    </row>
    <row r="11" spans="2:51" ht="14.25" customHeight="1" thickBot="1">
      <c r="B11" s="361" t="s">
        <v>1200</v>
      </c>
      <c r="C11" s="361"/>
      <c r="D11" s="361"/>
      <c r="E11" s="248" t="s">
        <v>1201</v>
      </c>
      <c r="N11" s="368" t="s">
        <v>942</v>
      </c>
      <c r="O11" s="369"/>
      <c r="P11" s="370"/>
      <c r="Q11" s="254">
        <f>(Q47*Q57)*Q54^2/10^6</f>
        <v>7.7733204500639114E-2</v>
      </c>
      <c r="W11" s="90"/>
      <c r="X11" s="90"/>
      <c r="Y11" s="90"/>
      <c r="Z11" s="90"/>
      <c r="AA11" s="90"/>
      <c r="AB11" s="95"/>
      <c r="AC11" s="87" t="s">
        <v>1172</v>
      </c>
      <c r="AD11" s="104"/>
      <c r="AE11" s="81">
        <v>100</v>
      </c>
      <c r="AF11" s="117" t="s">
        <v>1168</v>
      </c>
      <c r="AG11" s="97"/>
      <c r="AH11" s="255"/>
      <c r="AI11" s="256"/>
      <c r="AJ11" s="257"/>
      <c r="AK11" s="97"/>
      <c r="AL11" s="434" t="str">
        <f>Q5</f>
        <v>Kool Mu</v>
      </c>
      <c r="AM11" s="369"/>
      <c r="AN11" s="435"/>
      <c r="AO11" s="97"/>
      <c r="AP11" s="465"/>
      <c r="AQ11" s="466"/>
      <c r="AR11" s="95"/>
      <c r="AS11" s="455"/>
      <c r="AT11" s="183"/>
      <c r="AU11" s="90"/>
      <c r="AV11" s="90"/>
      <c r="AW11" s="90"/>
      <c r="AX11" s="90"/>
      <c r="AY11" s="90"/>
    </row>
    <row r="12" spans="2:51" ht="16.5" customHeight="1" thickBot="1">
      <c r="B12" s="368" t="s">
        <v>1304</v>
      </c>
      <c r="C12" s="369"/>
      <c r="D12" s="370"/>
      <c r="E12" s="241">
        <f>AE17</f>
        <v>1</v>
      </c>
      <c r="N12" s="361" t="s">
        <v>811</v>
      </c>
      <c r="O12" s="361"/>
      <c r="P12" s="361"/>
      <c r="Q12" s="317">
        <f>(Q7)*Q54^2/10^6</f>
        <v>8.7120000000000003E-2</v>
      </c>
      <c r="W12" s="90"/>
      <c r="X12" s="90"/>
      <c r="Y12" s="90"/>
      <c r="Z12" s="90"/>
      <c r="AA12" s="90"/>
      <c r="AB12" s="95"/>
      <c r="AC12" s="84"/>
      <c r="AD12" s="108"/>
      <c r="AE12" s="118"/>
      <c r="AF12" s="100"/>
      <c r="AG12" s="97"/>
      <c r="AH12" s="255"/>
      <c r="AI12" s="256"/>
      <c r="AJ12" s="257"/>
      <c r="AK12" s="97"/>
      <c r="AL12" s="431" t="s">
        <v>1384</v>
      </c>
      <c r="AM12" s="432"/>
      <c r="AN12" s="433"/>
      <c r="AO12" s="97"/>
      <c r="AP12" s="237"/>
      <c r="AQ12" s="120"/>
      <c r="AR12" s="238"/>
      <c r="AS12" s="121"/>
      <c r="AT12" s="239"/>
      <c r="AU12" s="98"/>
      <c r="AV12" s="90"/>
      <c r="AW12" s="90"/>
      <c r="AX12" s="90"/>
      <c r="AY12" s="90"/>
    </row>
    <row r="13" spans="2:51" ht="15" customHeight="1" thickBot="1">
      <c r="N13" s="368" t="s">
        <v>978</v>
      </c>
      <c r="O13" s="369"/>
      <c r="P13" s="370"/>
      <c r="Q13" s="254" t="e">
        <f>(Q7*Q58)*Q54^2/10^6</f>
        <v>#VALUE!</v>
      </c>
      <c r="W13" s="90"/>
      <c r="X13" s="90"/>
      <c r="Y13" s="90"/>
      <c r="Z13" s="90"/>
      <c r="AA13" s="90"/>
      <c r="AB13" s="95"/>
      <c r="AC13" s="84"/>
      <c r="AD13" s="108"/>
      <c r="AE13" s="233"/>
      <c r="AF13" s="100"/>
      <c r="AG13" s="97"/>
      <c r="AH13" s="265"/>
      <c r="AI13" s="266"/>
      <c r="AJ13" s="267"/>
      <c r="AK13" s="97"/>
      <c r="AL13" s="434">
        <f>Q70</f>
        <v>42.85</v>
      </c>
      <c r="AM13" s="369"/>
      <c r="AN13" s="435"/>
      <c r="AO13" s="97"/>
      <c r="AP13" s="387" t="s">
        <v>821</v>
      </c>
      <c r="AQ13" s="436"/>
      <c r="AR13" s="90"/>
      <c r="AS13" s="268">
        <f>Q14</f>
        <v>1.9680433785615951E-2</v>
      </c>
      <c r="AT13" s="117" t="s">
        <v>1177</v>
      </c>
      <c r="AU13" s="90"/>
      <c r="AV13" s="90"/>
      <c r="AW13" s="90"/>
      <c r="AX13" s="90"/>
      <c r="AY13" s="90"/>
    </row>
    <row r="14" spans="2:51" ht="15" customHeight="1" thickBot="1">
      <c r="N14" s="361" t="s">
        <v>821</v>
      </c>
      <c r="O14" s="361"/>
      <c r="P14" s="361"/>
      <c r="Q14" s="270">
        <f>(Q66*Q50)/1000</f>
        <v>1.9680433785615951E-2</v>
      </c>
      <c r="W14" s="90"/>
      <c r="X14" s="90"/>
      <c r="Y14" s="90"/>
      <c r="Z14" s="90"/>
      <c r="AA14" s="90"/>
      <c r="AB14" s="95"/>
      <c r="AC14" s="87" t="s">
        <v>1173</v>
      </c>
      <c r="AD14" s="104"/>
      <c r="AE14" s="81">
        <v>9.6000000000000002E-2</v>
      </c>
      <c r="AF14" s="117" t="s">
        <v>1169</v>
      </c>
      <c r="AG14" s="97"/>
      <c r="AH14" s="222"/>
      <c r="AI14" s="223"/>
      <c r="AJ14" s="224"/>
      <c r="AK14" s="98"/>
      <c r="AL14" s="431" t="s">
        <v>1465</v>
      </c>
      <c r="AM14" s="432"/>
      <c r="AN14" s="433"/>
      <c r="AO14" s="95"/>
      <c r="AP14" s="119"/>
      <c r="AQ14" s="120"/>
      <c r="AR14" s="90"/>
      <c r="AS14" s="121"/>
      <c r="AT14" s="103"/>
      <c r="AU14" s="90"/>
      <c r="AV14" s="90"/>
      <c r="AW14" s="90"/>
      <c r="AX14" s="90"/>
      <c r="AY14" s="90"/>
    </row>
    <row r="15" spans="2:51" ht="16.5" thickBot="1">
      <c r="N15" s="361" t="s">
        <v>819</v>
      </c>
      <c r="O15" s="361"/>
      <c r="P15" s="361"/>
      <c r="Q15" s="270">
        <f>E4^2*Q42/1000+E5^2*Q43/1000</f>
        <v>1.1143085202371374</v>
      </c>
      <c r="W15" s="90"/>
      <c r="X15" s="90"/>
      <c r="Y15" s="90"/>
      <c r="Z15" s="90"/>
      <c r="AA15" s="90"/>
      <c r="AB15" s="95"/>
      <c r="AC15" s="84"/>
      <c r="AD15" s="108"/>
      <c r="AE15" s="118"/>
      <c r="AF15" s="100"/>
      <c r="AG15" s="97"/>
      <c r="AH15" s="425"/>
      <c r="AI15" s="426"/>
      <c r="AJ15" s="427"/>
      <c r="AK15" s="98"/>
      <c r="AL15" s="434">
        <f>Q71</f>
        <v>21.1</v>
      </c>
      <c r="AM15" s="369"/>
      <c r="AN15" s="435"/>
      <c r="AO15" s="95"/>
      <c r="AP15" s="387" t="s">
        <v>819</v>
      </c>
      <c r="AQ15" s="436"/>
      <c r="AR15" s="95"/>
      <c r="AS15" s="268">
        <f>Q15</f>
        <v>1.1143085202371374</v>
      </c>
      <c r="AT15" s="117" t="s">
        <v>1177</v>
      </c>
      <c r="AU15" s="90"/>
      <c r="AV15" s="90"/>
      <c r="AW15" s="90"/>
      <c r="AX15" s="90"/>
      <c r="AY15" s="90"/>
    </row>
    <row r="16" spans="2:51" ht="16.5" thickBot="1">
      <c r="C16" s="318"/>
      <c r="N16" s="361" t="s">
        <v>820</v>
      </c>
      <c r="O16" s="361"/>
      <c r="P16" s="361"/>
      <c r="Q16" s="270">
        <f>Q14+Q15</f>
        <v>1.1339889540227535</v>
      </c>
      <c r="W16" s="90"/>
      <c r="X16" s="90"/>
      <c r="Y16" s="90"/>
      <c r="Z16" s="90"/>
      <c r="AA16" s="90"/>
      <c r="AB16" s="95"/>
      <c r="AC16" s="84"/>
      <c r="AD16" s="108"/>
      <c r="AE16" s="233"/>
      <c r="AF16" s="100"/>
      <c r="AG16" s="97"/>
      <c r="AH16" s="99"/>
      <c r="AI16" s="90"/>
      <c r="AJ16" s="227"/>
      <c r="AK16" s="98"/>
      <c r="AL16" s="431" t="s">
        <v>1466</v>
      </c>
      <c r="AM16" s="432"/>
      <c r="AN16" s="433"/>
      <c r="AO16" s="95"/>
      <c r="AP16" s="119"/>
      <c r="AQ16" s="120"/>
      <c r="AR16" s="90"/>
      <c r="AS16" s="121"/>
      <c r="AT16" s="103"/>
      <c r="AU16" s="90"/>
      <c r="AV16" s="90"/>
      <c r="AW16" s="90"/>
      <c r="AX16" s="90"/>
      <c r="AY16" s="90"/>
    </row>
    <row r="17" spans="1:51" ht="15.75" customHeight="1" thickBot="1">
      <c r="N17" s="361" t="s">
        <v>818</v>
      </c>
      <c r="O17" s="361"/>
      <c r="P17" s="361"/>
      <c r="Q17" s="280">
        <f>Q36*Q54/Q48</f>
        <v>0.64128865979381444</v>
      </c>
      <c r="W17" s="90"/>
      <c r="X17" s="90"/>
      <c r="Y17" s="90"/>
      <c r="Z17" s="90"/>
      <c r="AA17" s="90"/>
      <c r="AB17" s="95"/>
      <c r="AC17" s="84" t="s">
        <v>1156</v>
      </c>
      <c r="AD17" s="104"/>
      <c r="AE17" s="81">
        <v>1</v>
      </c>
      <c r="AF17" s="279"/>
      <c r="AG17" s="163"/>
      <c r="AH17" s="228"/>
      <c r="AI17" s="225"/>
      <c r="AJ17" s="226"/>
      <c r="AK17" s="98"/>
      <c r="AL17" s="434">
        <f>Q72</f>
        <v>15.4</v>
      </c>
      <c r="AM17" s="369"/>
      <c r="AN17" s="435"/>
      <c r="AO17" s="95"/>
      <c r="AP17" s="191" t="s">
        <v>1159</v>
      </c>
      <c r="AQ17" s="234"/>
      <c r="AR17" s="95"/>
      <c r="AS17" s="268">
        <f>Q16</f>
        <v>1.1339889540227535</v>
      </c>
      <c r="AT17" s="117" t="s">
        <v>1177</v>
      </c>
      <c r="AU17" s="90"/>
      <c r="AV17" s="90"/>
      <c r="AW17" s="90"/>
      <c r="AX17" s="90"/>
      <c r="AY17" s="90"/>
    </row>
    <row r="18" spans="1:51" ht="16.5" customHeight="1" thickBot="1">
      <c r="N18" s="361" t="s">
        <v>1202</v>
      </c>
      <c r="O18" s="361"/>
      <c r="P18" s="361"/>
      <c r="Q18" s="254">
        <f>Q42</f>
        <v>16.025498817122244</v>
      </c>
      <c r="W18" s="90"/>
      <c r="X18" s="90"/>
      <c r="Y18" s="90"/>
      <c r="Z18" s="90"/>
      <c r="AA18" s="90"/>
      <c r="AB18" s="95"/>
      <c r="AC18" s="99"/>
      <c r="AD18" s="98"/>
      <c r="AE18" s="127"/>
      <c r="AF18" s="100"/>
      <c r="AG18" s="98"/>
      <c r="AH18" s="125"/>
      <c r="AI18" s="125"/>
      <c r="AJ18" s="125"/>
      <c r="AK18" s="90"/>
      <c r="AL18" s="431" t="s">
        <v>1387</v>
      </c>
      <c r="AM18" s="432"/>
      <c r="AN18" s="433"/>
      <c r="AO18" s="95"/>
      <c r="AP18" s="119"/>
      <c r="AQ18" s="190"/>
      <c r="AR18" s="90"/>
      <c r="AS18" s="121"/>
      <c r="AT18" s="103"/>
      <c r="AU18" s="90"/>
      <c r="AV18" s="90"/>
      <c r="AW18" s="90"/>
      <c r="AX18" s="90"/>
      <c r="AY18" s="90"/>
    </row>
    <row r="19" spans="1:51" ht="29.25" thickBot="1">
      <c r="N19" s="361" t="s">
        <v>854</v>
      </c>
      <c r="O19" s="361"/>
      <c r="P19" s="361"/>
      <c r="Q19" s="283">
        <f>(Q16*1000/Q44)^0.833</f>
        <v>11.202829409817223</v>
      </c>
      <c r="W19" s="90"/>
      <c r="X19" s="90"/>
      <c r="Y19" s="90"/>
      <c r="Z19" s="90"/>
      <c r="AA19" s="90"/>
      <c r="AB19" s="95"/>
      <c r="AC19" s="85" t="s">
        <v>1174</v>
      </c>
      <c r="AD19" s="116"/>
      <c r="AE19" s="82">
        <v>8.3330000000000002</v>
      </c>
      <c r="AF19" s="117" t="s">
        <v>1166</v>
      </c>
      <c r="AG19" s="98"/>
      <c r="AH19" s="126"/>
      <c r="AI19" s="126"/>
      <c r="AJ19" s="126"/>
      <c r="AK19" s="90"/>
      <c r="AL19" s="434">
        <f>Q6</f>
        <v>26</v>
      </c>
      <c r="AM19" s="369"/>
      <c r="AN19" s="435"/>
      <c r="AO19" s="95"/>
      <c r="AP19" s="191" t="s">
        <v>1176</v>
      </c>
      <c r="AQ19" s="186"/>
      <c r="AR19" s="95"/>
      <c r="AS19" s="282">
        <f>Q19</f>
        <v>11.202829409817223</v>
      </c>
      <c r="AT19" s="117" t="s">
        <v>1175</v>
      </c>
      <c r="AU19" s="90"/>
      <c r="AV19" s="90"/>
      <c r="AW19" s="90"/>
      <c r="AX19" s="90"/>
      <c r="AY19" s="90"/>
    </row>
    <row r="20" spans="1:51" ht="16.5" thickBot="1">
      <c r="N20" s="368" t="s">
        <v>982</v>
      </c>
      <c r="O20" s="369"/>
      <c r="P20" s="370"/>
      <c r="Q20" s="283">
        <f>Q19+$E$10</f>
        <v>36.202829409817227</v>
      </c>
      <c r="W20" s="90"/>
      <c r="X20" s="90"/>
      <c r="Y20" s="90"/>
      <c r="Z20" s="90"/>
      <c r="AA20" s="90"/>
      <c r="AB20" s="95"/>
      <c r="AC20" s="99"/>
      <c r="AD20" s="98"/>
      <c r="AE20" s="92"/>
      <c r="AF20" s="100"/>
      <c r="AG20" s="98"/>
      <c r="AH20" s="90"/>
      <c r="AI20" s="90"/>
      <c r="AJ20" s="90"/>
      <c r="AK20" s="90"/>
      <c r="AL20" s="431" t="s">
        <v>1463</v>
      </c>
      <c r="AM20" s="432"/>
      <c r="AN20" s="433"/>
      <c r="AO20" s="95"/>
      <c r="AP20" s="119"/>
      <c r="AQ20" s="190"/>
      <c r="AR20" s="90"/>
      <c r="AS20" s="121"/>
      <c r="AT20" s="103"/>
      <c r="AU20" s="90"/>
      <c r="AV20" s="90"/>
      <c r="AW20" s="90"/>
      <c r="AX20" s="90"/>
      <c r="AY20" s="90"/>
    </row>
    <row r="21" spans="1:51" ht="16.5" customHeight="1" thickBot="1">
      <c r="B21" s="368" t="s">
        <v>1305</v>
      </c>
      <c r="C21" s="369"/>
      <c r="D21" s="370"/>
      <c r="E21" s="296"/>
      <c r="N21" s="361" t="s">
        <v>855</v>
      </c>
      <c r="O21" s="361"/>
      <c r="P21" s="361"/>
      <c r="Q21" s="319">
        <f>Q54</f>
        <v>33</v>
      </c>
      <c r="W21" s="90"/>
      <c r="X21" s="90"/>
      <c r="Y21" s="90"/>
      <c r="Z21" s="90"/>
      <c r="AA21" s="90"/>
      <c r="AB21" s="95"/>
      <c r="AC21" s="320" t="s">
        <v>1176</v>
      </c>
      <c r="AD21" s="299"/>
      <c r="AE21" s="81">
        <v>63</v>
      </c>
      <c r="AF21" s="117" t="s">
        <v>1175</v>
      </c>
      <c r="AG21" s="98"/>
      <c r="AH21" s="90"/>
      <c r="AI21" s="90"/>
      <c r="AJ21" s="90"/>
      <c r="AK21" s="90"/>
      <c r="AL21" s="443">
        <f>Q7/Q4</f>
        <v>80</v>
      </c>
      <c r="AM21" s="444"/>
      <c r="AN21" s="445"/>
      <c r="AO21" s="95"/>
      <c r="AP21" s="191" t="s">
        <v>855</v>
      </c>
      <c r="AQ21" s="188"/>
      <c r="AR21" s="107"/>
      <c r="AS21" s="288">
        <f>Q54</f>
        <v>33</v>
      </c>
      <c r="AT21" s="117"/>
      <c r="AU21" s="90"/>
      <c r="AV21" s="90"/>
      <c r="AW21" s="90"/>
      <c r="AX21" s="90"/>
      <c r="AY21" s="90"/>
    </row>
    <row r="22" spans="1:51" ht="15.75" thickBot="1">
      <c r="N22" s="371" t="s">
        <v>1203</v>
      </c>
      <c r="O22" s="372"/>
      <c r="P22" s="373"/>
      <c r="Q22" s="319">
        <f>ROUNDDOWN((((2*Q73)-(2*Q78))/Q81), 0)</f>
        <v>11</v>
      </c>
      <c r="W22" s="90"/>
      <c r="X22" s="90"/>
      <c r="Y22" s="90"/>
      <c r="Z22" s="90"/>
      <c r="AA22" s="90"/>
      <c r="AB22" s="95"/>
      <c r="AC22" s="122"/>
      <c r="AD22" s="129"/>
      <c r="AE22" s="123"/>
      <c r="AF22" s="124"/>
      <c r="AG22" s="90"/>
      <c r="AH22" s="90" t="s">
        <v>1397</v>
      </c>
      <c r="AI22" s="90"/>
      <c r="AJ22" s="90"/>
      <c r="AK22" s="90"/>
      <c r="AL22" s="357"/>
      <c r="AM22" s="90"/>
      <c r="AN22" s="357"/>
      <c r="AO22" s="95"/>
      <c r="AP22" s="119"/>
      <c r="AQ22" s="188"/>
      <c r="AR22" s="114"/>
      <c r="AS22" s="128"/>
      <c r="AT22" s="103"/>
      <c r="AU22" s="90"/>
      <c r="AV22" s="90"/>
      <c r="AW22" s="90"/>
      <c r="AX22" s="90"/>
      <c r="AY22" s="90"/>
    </row>
    <row r="23" spans="1:51" ht="15" customHeight="1" thickBot="1">
      <c r="N23" s="371" t="s">
        <v>1204</v>
      </c>
      <c r="O23" s="372"/>
      <c r="P23" s="373"/>
      <c r="Q23" s="319">
        <f>COUNTIF(Q83:Q91,"&gt;0")</f>
        <v>4</v>
      </c>
      <c r="W23" s="90"/>
      <c r="X23" s="90"/>
      <c r="Y23" s="90"/>
      <c r="Z23" s="90"/>
      <c r="AA23" s="90"/>
      <c r="AB23" s="90"/>
      <c r="AC23" s="90"/>
      <c r="AD23" s="98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5"/>
      <c r="AP23" s="191" t="s">
        <v>1180</v>
      </c>
      <c r="AQ23" s="191"/>
      <c r="AR23" s="107"/>
      <c r="AS23" s="297">
        <f>Q17</f>
        <v>0.64128865979381444</v>
      </c>
      <c r="AT23" s="117"/>
      <c r="AU23" s="90"/>
      <c r="AV23" s="90"/>
      <c r="AW23" s="90"/>
      <c r="AX23" s="90"/>
      <c r="AY23" s="90"/>
    </row>
    <row r="24" spans="1:51" ht="16.5" customHeight="1" thickBot="1">
      <c r="A24" s="321"/>
      <c r="B24" s="318"/>
      <c r="N24" s="362" t="s">
        <v>928</v>
      </c>
      <c r="O24" s="362"/>
      <c r="P24" s="362"/>
      <c r="Q24" s="322">
        <f>(2*E9*Q32)+(Q97*Q32)</f>
        <v>15176.709378661362</v>
      </c>
      <c r="W24" s="90"/>
      <c r="X24" s="90"/>
      <c r="Y24" s="90"/>
      <c r="Z24" s="90"/>
      <c r="AA24" s="90"/>
      <c r="AB24" s="90"/>
      <c r="AC24" s="90"/>
      <c r="AD24" s="98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5"/>
      <c r="AP24" s="88"/>
      <c r="AQ24" s="113"/>
      <c r="AR24" s="114"/>
      <c r="AS24" s="128"/>
      <c r="AT24" s="103"/>
      <c r="AU24" s="90"/>
      <c r="AV24" s="90"/>
      <c r="AW24" s="90"/>
      <c r="AX24" s="90"/>
      <c r="AY24" s="90"/>
    </row>
    <row r="25" spans="1:51" ht="15.75" thickBot="1">
      <c r="B25" s="323"/>
      <c r="N25" s="361" t="s">
        <v>1205</v>
      </c>
      <c r="O25" s="361"/>
      <c r="P25" s="361"/>
      <c r="Q25" s="324"/>
      <c r="W25" s="90"/>
      <c r="X25" s="90"/>
      <c r="Y25" s="90"/>
      <c r="Z25" s="90"/>
      <c r="AA25" s="90"/>
      <c r="AB25" s="90"/>
      <c r="AC25" s="90"/>
      <c r="AD25" s="98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5"/>
      <c r="AP25" s="191" t="s">
        <v>1181</v>
      </c>
      <c r="AQ25" s="191"/>
      <c r="AR25" s="107"/>
      <c r="AS25" s="454">
        <f>Q18</f>
        <v>16.025498817122244</v>
      </c>
      <c r="AT25" s="196" t="s">
        <v>1178</v>
      </c>
      <c r="AU25" s="90"/>
      <c r="AV25" s="90"/>
      <c r="AW25" s="90"/>
      <c r="AX25" s="90"/>
      <c r="AY25" s="90"/>
    </row>
    <row r="26" spans="1:51" ht="15.75" thickBot="1">
      <c r="N26" s="361" t="s">
        <v>1206</v>
      </c>
      <c r="O26" s="361"/>
      <c r="P26" s="361"/>
      <c r="Q26" s="325"/>
      <c r="W26" s="90"/>
      <c r="X26" s="90"/>
      <c r="Y26" s="90"/>
      <c r="Z26" s="90"/>
      <c r="AA26" s="90"/>
      <c r="AB26" s="90"/>
      <c r="AC26" s="130" t="s">
        <v>1186</v>
      </c>
      <c r="AD26" s="131"/>
      <c r="AE26" s="131"/>
      <c r="AF26" s="132"/>
      <c r="AG26" s="132"/>
      <c r="AH26" s="132"/>
      <c r="AI26" s="132"/>
      <c r="AJ26" s="132"/>
      <c r="AK26" s="132"/>
      <c r="AL26" s="132"/>
      <c r="AM26" s="132"/>
      <c r="AN26" s="240"/>
      <c r="AO26" s="97"/>
      <c r="AP26" s="231"/>
      <c r="AQ26" s="230"/>
      <c r="AR26" s="107"/>
      <c r="AS26" s="455"/>
      <c r="AT26" s="183"/>
      <c r="AU26" s="90"/>
      <c r="AV26" s="90"/>
      <c r="AW26" s="90"/>
      <c r="AX26" s="90"/>
      <c r="AY26" s="90"/>
    </row>
    <row r="27" spans="1:51" ht="15" customHeight="1" thickBot="1">
      <c r="N27" s="361" t="s">
        <v>1207</v>
      </c>
      <c r="O27" s="361"/>
      <c r="P27" s="361"/>
      <c r="Q27" s="325"/>
      <c r="W27" s="90"/>
      <c r="X27" s="90"/>
      <c r="Y27" s="90"/>
      <c r="Z27" s="90"/>
      <c r="AA27" s="90"/>
      <c r="AB27" s="90"/>
      <c r="AC27" s="133" t="s">
        <v>1187</v>
      </c>
      <c r="AD27" s="134"/>
      <c r="AE27" s="134"/>
      <c r="AF27" s="92"/>
      <c r="AG27" s="92"/>
      <c r="AH27" s="134"/>
      <c r="AI27" s="134"/>
      <c r="AJ27" s="134"/>
      <c r="AK27" s="134"/>
      <c r="AL27" s="134"/>
      <c r="AM27" s="134"/>
      <c r="AN27" s="136"/>
      <c r="AO27" s="95"/>
      <c r="AP27" s="344"/>
      <c r="AQ27" s="343"/>
      <c r="AR27" s="107"/>
      <c r="AS27" s="121"/>
      <c r="AT27" s="342"/>
      <c r="AU27" s="90"/>
      <c r="AV27" s="90"/>
      <c r="AW27" s="90"/>
      <c r="AX27" s="90"/>
      <c r="AY27" s="90"/>
    </row>
    <row r="28" spans="1:51">
      <c r="B28" s="323"/>
      <c r="N28" s="298"/>
      <c r="O28" s="298"/>
      <c r="P28" s="298"/>
      <c r="Q28" s="299"/>
      <c r="W28" s="90"/>
      <c r="X28" s="90"/>
      <c r="Y28" s="90"/>
      <c r="Z28" s="90"/>
      <c r="AA28" s="90"/>
      <c r="AB28" s="90"/>
      <c r="AC28" s="133" t="s">
        <v>1188</v>
      </c>
      <c r="AD28" s="134"/>
      <c r="AE28" s="134"/>
      <c r="AF28" s="135"/>
      <c r="AG28" s="134"/>
      <c r="AH28" s="134"/>
      <c r="AI28" s="134"/>
      <c r="AJ28" s="134"/>
      <c r="AK28" s="134"/>
      <c r="AL28" s="134"/>
      <c r="AM28" s="134"/>
      <c r="AN28" s="136"/>
      <c r="AO28" s="95"/>
      <c r="AP28" s="387" t="s">
        <v>1464</v>
      </c>
      <c r="AQ28" s="388"/>
      <c r="AR28" s="107"/>
      <c r="AS28" s="393">
        <f>Q24</f>
        <v>15176.709378661362</v>
      </c>
      <c r="AT28" s="342"/>
      <c r="AU28" s="90"/>
      <c r="AV28" s="90"/>
      <c r="AW28" s="90"/>
      <c r="AX28" s="90"/>
      <c r="AY28" s="90"/>
    </row>
    <row r="29" spans="1:51" ht="15.75" thickBot="1">
      <c r="N29" s="301"/>
      <c r="O29" s="301"/>
      <c r="P29" s="301"/>
      <c r="Q29" s="299"/>
      <c r="W29" s="90"/>
      <c r="X29" s="90"/>
      <c r="Y29" s="90"/>
      <c r="Z29" s="90"/>
      <c r="AA29" s="90"/>
      <c r="AB29" s="90"/>
      <c r="AC29" s="133" t="s">
        <v>1189</v>
      </c>
      <c r="AD29" s="134"/>
      <c r="AE29" s="134"/>
      <c r="AF29" s="135"/>
      <c r="AG29" s="134"/>
      <c r="AH29" s="134"/>
      <c r="AI29" s="134"/>
      <c r="AJ29" s="134"/>
      <c r="AK29" s="134"/>
      <c r="AL29" s="90"/>
      <c r="AM29" s="90"/>
      <c r="AN29" s="136"/>
      <c r="AO29" s="95"/>
      <c r="AP29" s="389"/>
      <c r="AQ29" s="388"/>
      <c r="AR29" s="107"/>
      <c r="AS29" s="395"/>
      <c r="AT29" s="356" t="s">
        <v>1179</v>
      </c>
      <c r="AU29" s="90"/>
      <c r="AV29" s="90"/>
      <c r="AW29" s="90"/>
      <c r="AX29" s="90"/>
      <c r="AY29" s="90"/>
    </row>
    <row r="30" spans="1:51" ht="16.5" customHeight="1" thickBot="1">
      <c r="B30" s="451" t="s">
        <v>782</v>
      </c>
      <c r="C30" s="451"/>
      <c r="D30" s="451"/>
      <c r="N30" s="363" t="s">
        <v>800</v>
      </c>
      <c r="O30" s="363"/>
      <c r="P30" s="363"/>
      <c r="W30" s="90"/>
      <c r="X30" s="90"/>
      <c r="Y30" s="90"/>
      <c r="Z30" s="90"/>
      <c r="AA30" s="90"/>
      <c r="AB30" s="90"/>
      <c r="AC30" s="133" t="s">
        <v>1190</v>
      </c>
      <c r="AD30" s="134"/>
      <c r="AE30" s="134"/>
      <c r="AF30" s="135"/>
      <c r="AG30" s="134"/>
      <c r="AH30" s="134"/>
      <c r="AI30" s="134"/>
      <c r="AJ30" s="134"/>
      <c r="AK30" s="134"/>
      <c r="AL30" s="90"/>
      <c r="AM30" s="90"/>
      <c r="AN30" s="136"/>
      <c r="AO30" s="95"/>
      <c r="AP30" s="358"/>
      <c r="AQ30" s="107"/>
      <c r="AR30" s="107"/>
      <c r="AS30" s="343"/>
      <c r="AT30" s="356"/>
      <c r="AU30" s="90"/>
      <c r="AV30" s="90"/>
      <c r="AW30" s="90"/>
      <c r="AX30" s="90"/>
      <c r="AY30" s="90"/>
    </row>
    <row r="31" spans="1:51" ht="18.75" customHeight="1" thickBot="1">
      <c r="B31" s="378" t="s">
        <v>1208</v>
      </c>
      <c r="C31" s="379"/>
      <c r="D31" s="380"/>
      <c r="E31" s="271">
        <f>E3*E32^2</f>
        <v>7.344121175999998</v>
      </c>
      <c r="N31" s="368" t="s">
        <v>783</v>
      </c>
      <c r="O31" s="369"/>
      <c r="P31" s="370"/>
      <c r="Q31" s="248">
        <f>AM8</f>
        <v>19</v>
      </c>
      <c r="W31" s="90"/>
      <c r="X31" s="90"/>
      <c r="Y31" s="90"/>
      <c r="Z31" s="90"/>
      <c r="AA31" s="90"/>
      <c r="AB31" s="90"/>
      <c r="AC31" s="133"/>
      <c r="AD31" s="134"/>
      <c r="AE31" s="134"/>
      <c r="AF31" s="135"/>
      <c r="AG31" s="134"/>
      <c r="AH31" s="134"/>
      <c r="AI31" s="134"/>
      <c r="AJ31" s="134"/>
      <c r="AK31" s="134"/>
      <c r="AL31" s="90"/>
      <c r="AM31" s="90"/>
      <c r="AN31" s="136"/>
      <c r="AO31" s="95"/>
      <c r="AP31" s="449" t="s">
        <v>1364</v>
      </c>
      <c r="AQ31" s="450"/>
      <c r="AR31" s="95"/>
      <c r="AS31" s="304">
        <f>Q126</f>
        <v>42.85</v>
      </c>
      <c r="AT31" s="117" t="s">
        <v>1179</v>
      </c>
      <c r="AU31" s="90"/>
      <c r="AV31" s="90"/>
      <c r="AW31" s="90"/>
      <c r="AX31" s="90"/>
      <c r="AY31" s="90"/>
    </row>
    <row r="32" spans="1:51" ht="16.5" customHeight="1" thickBot="1">
      <c r="B32" s="378" t="str">
        <f>IF(E1="DC w/ ripple","DC + AC Ripple Current",(IF(E1="Low AC w/ ripple","low AC+AC Ripple Current",IF(E1="Pure AC no ripple","AC max current(Sine)"))))</f>
        <v>DC + AC Ripple Current</v>
      </c>
      <c r="C32" s="379"/>
      <c r="D32" s="380"/>
      <c r="E32" s="278">
        <f>IF(E1="DC w/ ripple",E4+(0.5*E6),IF(E1="Low AC w/ ripple",E4*SQRT(2)+(0.5*E6),IF(E1="Pure AC no ripple",E4*SQRT(2))))</f>
        <v>8.7464999999999993</v>
      </c>
      <c r="N32" s="368" t="s">
        <v>784</v>
      </c>
      <c r="O32" s="369"/>
      <c r="P32" s="370"/>
      <c r="Q32" s="248">
        <f>IF(AS37=0,1,AS37)</f>
        <v>5</v>
      </c>
      <c r="W32" s="90"/>
      <c r="X32" s="90"/>
      <c r="Y32" s="90"/>
      <c r="Z32" s="90"/>
      <c r="AA32" s="90"/>
      <c r="AB32" s="90"/>
      <c r="AC32" s="133" t="s">
        <v>1388</v>
      </c>
      <c r="AD32" s="134"/>
      <c r="AE32" s="134"/>
      <c r="AF32" s="135"/>
      <c r="AG32" s="134"/>
      <c r="AH32" s="134"/>
      <c r="AI32" s="134"/>
      <c r="AJ32" s="134"/>
      <c r="AK32" s="134"/>
      <c r="AL32" s="134"/>
      <c r="AM32" s="134"/>
      <c r="AN32" s="136"/>
      <c r="AO32" s="95"/>
      <c r="AP32" s="119"/>
      <c r="AQ32" s="120"/>
      <c r="AR32" s="90"/>
      <c r="AS32" s="121"/>
      <c r="AT32" s="103"/>
      <c r="AU32" s="90"/>
      <c r="AV32" s="90"/>
      <c r="AW32" s="90"/>
      <c r="AX32" s="90"/>
      <c r="AY32" s="90"/>
    </row>
    <row r="33" spans="2:51" ht="15.75" thickBot="1">
      <c r="B33" s="368" t="str">
        <f>IF(E1="DC w/ ripple","DC - AC Ripple Current",(IF(E1="Low AC w/ ripple","low AC-AC Ripple Current",IF(E1="Pure AC no ripple","AC min current(Sine)"))))</f>
        <v>DC - AC Ripple Current</v>
      </c>
      <c r="C33" s="369"/>
      <c r="D33" s="370"/>
      <c r="E33" s="250">
        <f>IF(E1="DC w/ ripple",E4-(0.5*E6),IF(E1="Low AC w/ ripple",E4*SQRT(2)-(0.5*E6),IF(E1="Pure AC no ripple",-E4*SQRT(2))))</f>
        <v>7.9135</v>
      </c>
      <c r="N33" s="368" t="s">
        <v>1209</v>
      </c>
      <c r="O33" s="369"/>
      <c r="P33" s="370"/>
      <c r="Q33" s="248">
        <f>66.3/SQRT($E$8*1000)</f>
        <v>0.20965900886916353</v>
      </c>
      <c r="W33" s="90"/>
      <c r="X33" s="90"/>
      <c r="Y33" s="90"/>
      <c r="Z33" s="90"/>
      <c r="AA33" s="90"/>
      <c r="AB33" s="90"/>
      <c r="AC33" s="133"/>
      <c r="AD33" s="134"/>
      <c r="AE33" s="134"/>
      <c r="AF33" s="135"/>
      <c r="AG33" s="134"/>
      <c r="AH33" s="134"/>
      <c r="AI33" s="134"/>
      <c r="AJ33" s="134"/>
      <c r="AK33" s="134"/>
      <c r="AL33" s="134"/>
      <c r="AM33" s="134"/>
      <c r="AN33" s="136"/>
      <c r="AO33" s="95"/>
      <c r="AP33" s="185" t="s">
        <v>1183</v>
      </c>
      <c r="AQ33" s="186"/>
      <c r="AR33" s="95"/>
      <c r="AS33" s="304">
        <f>Q128</f>
        <v>34.68006113055602</v>
      </c>
      <c r="AT33" s="117" t="s">
        <v>1179</v>
      </c>
      <c r="AU33" s="90"/>
      <c r="AV33" s="90"/>
      <c r="AW33" s="90"/>
      <c r="AX33" s="90"/>
      <c r="AY33" s="90"/>
    </row>
    <row r="34" spans="2:51" ht="16.5" customHeight="1" thickBot="1">
      <c r="B34" s="368" t="s">
        <v>986</v>
      </c>
      <c r="C34" s="369"/>
      <c r="D34" s="370"/>
      <c r="E34" s="250">
        <f>E4</f>
        <v>8.33</v>
      </c>
      <c r="N34" s="368" t="s">
        <v>1009</v>
      </c>
      <c r="O34" s="369"/>
      <c r="P34" s="370"/>
      <c r="Q34" s="305">
        <f>VLOOKUP(Q31, 'Wire Table'!$A$4:$N$47,14,FALSE)</f>
        <v>0.45593</v>
      </c>
      <c r="W34" s="90"/>
      <c r="X34" s="90"/>
      <c r="Y34" s="90"/>
      <c r="Z34" s="90"/>
      <c r="AA34" s="90"/>
      <c r="AB34" s="90"/>
      <c r="AC34" s="133" t="s">
        <v>1395</v>
      </c>
      <c r="AD34" s="134"/>
      <c r="AE34" s="134"/>
      <c r="AF34" s="135"/>
      <c r="AG34" s="134"/>
      <c r="AH34" s="134"/>
      <c r="AI34" s="134"/>
      <c r="AJ34" s="134"/>
      <c r="AK34" s="134"/>
      <c r="AL34" s="134"/>
      <c r="AM34" s="134"/>
      <c r="AN34" s="136"/>
      <c r="AO34" s="90"/>
      <c r="AP34" s="119"/>
      <c r="AQ34" s="120"/>
      <c r="AR34" s="90"/>
      <c r="AS34" s="127"/>
      <c r="AT34" s="103"/>
      <c r="AU34" s="90"/>
      <c r="AV34" s="90"/>
      <c r="AW34" s="90"/>
      <c r="AX34" s="90"/>
      <c r="AY34" s="90"/>
    </row>
    <row r="35" spans="2:51" ht="29.25" customHeight="1" thickBot="1">
      <c r="B35" s="368" t="s">
        <v>987</v>
      </c>
      <c r="C35" s="369"/>
      <c r="D35" s="370"/>
      <c r="E35" s="281" t="str">
        <f>IF(E1="Low AC w/ ripple",(E4*SQRT(2))+(E6/2),"")</f>
        <v/>
      </c>
      <c r="N35" s="371" t="s">
        <v>801</v>
      </c>
      <c r="O35" s="372"/>
      <c r="P35" s="373"/>
      <c r="Q35" s="319">
        <f>VLOOKUP(Q31, 'Wire Table'!$A$4:$J$47,5,FALSE)</f>
        <v>7.5399999999999998E-3</v>
      </c>
      <c r="W35" s="90"/>
      <c r="X35" s="90"/>
      <c r="Y35" s="90"/>
      <c r="Z35" s="90"/>
      <c r="AA35" s="90"/>
      <c r="AB35" s="90"/>
      <c r="AC35" s="221" t="s">
        <v>1396</v>
      </c>
      <c r="AD35" s="134"/>
      <c r="AE35" s="134"/>
      <c r="AF35" s="135"/>
      <c r="AG35" s="134"/>
      <c r="AH35" s="134"/>
      <c r="AI35" s="134"/>
      <c r="AJ35" s="134"/>
      <c r="AK35" s="134"/>
      <c r="AL35" s="134"/>
      <c r="AM35" s="134"/>
      <c r="AN35" s="136"/>
      <c r="AO35" s="95"/>
      <c r="AP35" s="187" t="s">
        <v>805</v>
      </c>
      <c r="AQ35" s="188"/>
      <c r="AR35" s="95"/>
      <c r="AS35" s="81">
        <v>33</v>
      </c>
      <c r="AT35" s="117"/>
      <c r="AU35" s="90"/>
      <c r="AV35" s="90"/>
      <c r="AW35" s="90"/>
      <c r="AX35" s="90"/>
      <c r="AY35" s="90"/>
    </row>
    <row r="36" spans="2:51" ht="15.75" thickBot="1">
      <c r="B36" s="361" t="s">
        <v>980</v>
      </c>
      <c r="C36" s="361"/>
      <c r="D36" s="361"/>
      <c r="E36" s="250">
        <f>E7</f>
        <v>8.3330000000000002</v>
      </c>
      <c r="N36" s="368" t="s">
        <v>803</v>
      </c>
      <c r="O36" s="369"/>
      <c r="P36" s="370"/>
      <c r="Q36" s="319">
        <f>Q35*Q32</f>
        <v>3.7699999999999997E-2</v>
      </c>
      <c r="W36" s="90"/>
      <c r="X36" s="90"/>
      <c r="Y36" s="90"/>
      <c r="Z36" s="90"/>
      <c r="AA36" s="90"/>
      <c r="AB36" s="90"/>
      <c r="AC36" s="133" t="s">
        <v>1398</v>
      </c>
      <c r="AD36" s="134"/>
      <c r="AE36" s="134"/>
      <c r="AF36" s="135"/>
      <c r="AG36" s="134"/>
      <c r="AH36" s="134"/>
      <c r="AI36" s="134"/>
      <c r="AJ36" s="134"/>
      <c r="AK36" s="134"/>
      <c r="AL36" s="134"/>
      <c r="AM36" s="134"/>
      <c r="AN36" s="136"/>
      <c r="AO36" s="90"/>
      <c r="AP36" s="137"/>
      <c r="AQ36" s="97"/>
      <c r="AR36" s="90"/>
      <c r="AS36" s="90"/>
      <c r="AT36" s="192"/>
      <c r="AU36" s="90"/>
      <c r="AV36" s="90"/>
      <c r="AW36" s="90"/>
      <c r="AX36" s="90"/>
      <c r="AY36" s="90"/>
    </row>
    <row r="37" spans="2:51" ht="16.5" customHeight="1" thickBot="1">
      <c r="B37" s="309"/>
      <c r="C37" s="309"/>
      <c r="D37" s="309"/>
      <c r="E37" s="326"/>
      <c r="N37" s="368" t="s">
        <v>1210</v>
      </c>
      <c r="O37" s="369"/>
      <c r="P37" s="370"/>
      <c r="Q37" s="319">
        <f>VLOOKUP(Q31, 'Wire Table'!$A$4:$J$47,2,FALSE)</f>
        <v>1289</v>
      </c>
      <c r="W37" s="90"/>
      <c r="X37" s="90"/>
      <c r="Y37" s="90"/>
      <c r="Z37" s="90"/>
      <c r="AA37" s="90"/>
      <c r="AB37" s="90"/>
      <c r="AC37" s="133" t="s">
        <v>1399</v>
      </c>
      <c r="AD37" s="134"/>
      <c r="AE37" s="134"/>
      <c r="AF37" s="135"/>
      <c r="AG37" s="134"/>
      <c r="AH37" s="134"/>
      <c r="AI37" s="134"/>
      <c r="AJ37" s="134"/>
      <c r="AK37" s="134"/>
      <c r="AL37" s="134"/>
      <c r="AM37" s="134"/>
      <c r="AN37" s="136"/>
      <c r="AO37" s="90"/>
      <c r="AP37" s="187" t="s">
        <v>1338</v>
      </c>
      <c r="AQ37" s="92"/>
      <c r="AR37" s="92"/>
      <c r="AS37" s="81">
        <v>5</v>
      </c>
      <c r="AT37" s="193"/>
      <c r="AU37" s="90"/>
      <c r="AV37" s="90"/>
      <c r="AW37" s="90"/>
      <c r="AX37" s="90"/>
      <c r="AY37" s="90"/>
    </row>
    <row r="38" spans="2:51" ht="16.5" customHeight="1" thickBot="1">
      <c r="N38" s="368" t="s">
        <v>1211</v>
      </c>
      <c r="O38" s="369"/>
      <c r="P38" s="370"/>
      <c r="Q38" s="250">
        <f>VLOOKUP($E$11,'Wire Resistivity'!$A$2:$C$4,3,FALSE)</f>
        <v>10.371</v>
      </c>
      <c r="W38" s="90"/>
      <c r="X38" s="90"/>
      <c r="Y38" s="90"/>
      <c r="Z38" s="90"/>
      <c r="AA38" s="90"/>
      <c r="AB38" s="90"/>
      <c r="AC38" s="133" t="s">
        <v>1392</v>
      </c>
      <c r="AD38" s="134"/>
      <c r="AE38" s="134"/>
      <c r="AF38" s="135"/>
      <c r="AG38" s="134"/>
      <c r="AH38" s="134"/>
      <c r="AI38" s="134"/>
      <c r="AJ38" s="134"/>
      <c r="AK38" s="149"/>
      <c r="AL38" s="134"/>
      <c r="AM38" s="134"/>
      <c r="AN38" s="136"/>
      <c r="AO38" s="90"/>
      <c r="AP38" s="228"/>
      <c r="AQ38" s="225"/>
      <c r="AR38" s="225"/>
      <c r="AS38" s="225"/>
      <c r="AT38" s="195"/>
      <c r="AU38" s="90"/>
      <c r="AV38" s="90"/>
      <c r="AW38" s="90"/>
      <c r="AX38" s="90"/>
      <c r="AY38" s="90"/>
    </row>
    <row r="39" spans="2:51"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8"/>
      <c r="N39" s="368" t="s">
        <v>1002</v>
      </c>
      <c r="O39" s="369"/>
      <c r="P39" s="370"/>
      <c r="Q39" s="250">
        <f>Q38/Q37*3.281/Q32</f>
        <v>5.2796355314197064E-3</v>
      </c>
      <c r="W39" s="90"/>
      <c r="X39" s="90"/>
      <c r="Y39" s="90"/>
      <c r="Z39" s="90"/>
      <c r="AA39" s="90"/>
      <c r="AB39" s="90"/>
      <c r="AC39" s="133"/>
      <c r="AD39" s="134"/>
      <c r="AE39" s="134"/>
      <c r="AF39" s="135"/>
      <c r="AG39" s="134"/>
      <c r="AH39" s="134"/>
      <c r="AI39" s="134"/>
      <c r="AJ39" s="134"/>
      <c r="AK39" s="134"/>
      <c r="AL39" s="134"/>
      <c r="AM39" s="134"/>
      <c r="AN39" s="136"/>
      <c r="AO39" s="90"/>
      <c r="AP39" s="92"/>
      <c r="AQ39" s="92"/>
      <c r="AR39" s="92"/>
      <c r="AS39" s="92"/>
      <c r="AT39" s="138"/>
      <c r="AU39" s="90"/>
      <c r="AV39" s="90"/>
      <c r="AW39" s="90"/>
      <c r="AX39" s="90"/>
      <c r="AY39" s="90"/>
    </row>
    <row r="40" spans="2:51">
      <c r="D40" s="302"/>
      <c r="E40" s="302"/>
      <c r="F40" s="306"/>
      <c r="G40" s="306"/>
      <c r="H40" s="306"/>
      <c r="I40" s="306"/>
      <c r="J40" s="306"/>
      <c r="K40" s="306"/>
      <c r="L40" s="306"/>
      <c r="M40" s="308"/>
      <c r="N40" s="368" t="s">
        <v>1212</v>
      </c>
      <c r="O40" s="369"/>
      <c r="P40" s="370"/>
      <c r="Q40" s="319">
        <f>Q39*0.001</f>
        <v>5.2796355314197062E-6</v>
      </c>
      <c r="W40" s="90"/>
      <c r="X40" s="90"/>
      <c r="Y40" s="90"/>
      <c r="Z40" s="90"/>
      <c r="AA40" s="90"/>
      <c r="AB40" s="90"/>
      <c r="AC40" s="133" t="s">
        <v>1393</v>
      </c>
      <c r="AD40" s="134"/>
      <c r="AE40" s="134"/>
      <c r="AF40" s="135"/>
      <c r="AG40" s="134"/>
      <c r="AH40" s="134"/>
      <c r="AI40" s="134"/>
      <c r="AJ40" s="134"/>
      <c r="AK40" s="134"/>
      <c r="AL40" s="134"/>
      <c r="AM40" s="134"/>
      <c r="AN40" s="136"/>
      <c r="AO40" s="90"/>
      <c r="AP40" s="90"/>
      <c r="AQ40" s="90"/>
      <c r="AR40" s="90"/>
      <c r="AS40" s="90"/>
      <c r="AT40" s="139"/>
      <c r="AU40" s="90"/>
      <c r="AV40" s="90"/>
      <c r="AW40" s="90"/>
      <c r="AX40" s="90"/>
      <c r="AY40" s="90"/>
    </row>
    <row r="41" spans="2:51">
      <c r="D41" s="302"/>
      <c r="E41" s="302"/>
      <c r="F41" s="306"/>
      <c r="G41" s="306"/>
      <c r="H41" s="306"/>
      <c r="I41" s="306"/>
      <c r="J41" s="306"/>
      <c r="K41" s="306"/>
      <c r="L41" s="306"/>
      <c r="M41" s="308"/>
      <c r="N41" s="368" t="s">
        <v>802</v>
      </c>
      <c r="O41" s="369"/>
      <c r="P41" s="370"/>
      <c r="Q41" s="327">
        <f>Q98</f>
        <v>91.980056840371887</v>
      </c>
      <c r="W41" s="90"/>
      <c r="X41" s="90"/>
      <c r="Y41" s="90"/>
      <c r="Z41" s="90"/>
      <c r="AA41" s="90"/>
      <c r="AB41" s="90"/>
      <c r="AC41" s="153"/>
      <c r="AD41" s="92"/>
      <c r="AE41" s="92"/>
      <c r="AF41" s="92"/>
      <c r="AG41" s="92"/>
      <c r="AH41" s="92"/>
      <c r="AI41" s="92"/>
      <c r="AJ41" s="92"/>
      <c r="AK41" s="92"/>
      <c r="AL41" s="134"/>
      <c r="AM41" s="134"/>
      <c r="AN41" s="136"/>
      <c r="AO41" s="98"/>
      <c r="AP41" s="90"/>
      <c r="AQ41" s="90"/>
      <c r="AR41" s="90"/>
      <c r="AS41" s="90"/>
      <c r="AT41" s="139"/>
      <c r="AU41" s="90"/>
      <c r="AV41" s="90"/>
      <c r="AW41" s="90"/>
      <c r="AX41" s="90"/>
      <c r="AY41" s="90"/>
    </row>
    <row r="42" spans="2:51"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N42" s="361" t="s">
        <v>1004</v>
      </c>
      <c r="O42" s="361"/>
      <c r="P42" s="361"/>
      <c r="Q42" s="281">
        <f>Q41*Q54*Q40*1000</f>
        <v>16.025498817122244</v>
      </c>
      <c r="W42" s="90"/>
      <c r="X42" s="90"/>
      <c r="Y42" s="90"/>
      <c r="Z42" s="90"/>
      <c r="AA42" s="90"/>
      <c r="AB42" s="90"/>
      <c r="AC42" s="154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6"/>
      <c r="AO42" s="98"/>
      <c r="AP42" s="90"/>
      <c r="AQ42" s="90"/>
      <c r="AR42" s="90"/>
      <c r="AS42" s="90"/>
      <c r="AT42" s="139"/>
      <c r="AU42" s="90"/>
      <c r="AV42" s="90"/>
      <c r="AW42" s="90"/>
      <c r="AX42" s="90"/>
      <c r="AY42" s="90"/>
    </row>
    <row r="43" spans="2:51"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N43" s="361" t="s">
        <v>1300</v>
      </c>
      <c r="O43" s="361"/>
      <c r="P43" s="361"/>
      <c r="Q43" s="281">
        <f>2.5*Q42</f>
        <v>40.063747042805609</v>
      </c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2"/>
      <c r="AM43" s="92"/>
      <c r="AN43" s="134"/>
      <c r="AO43" s="98"/>
      <c r="AP43" s="90"/>
      <c r="AQ43" s="90"/>
      <c r="AR43" s="90"/>
      <c r="AS43" s="90"/>
      <c r="AT43" s="139"/>
      <c r="AU43" s="90"/>
      <c r="AV43" s="90"/>
      <c r="AW43" s="90"/>
      <c r="AX43" s="90"/>
      <c r="AY43" s="90"/>
    </row>
    <row r="44" spans="2:51" ht="17.25">
      <c r="D44" s="302"/>
      <c r="E44" s="302"/>
      <c r="F44" s="302"/>
      <c r="G44" s="302"/>
      <c r="H44" s="302"/>
      <c r="I44" s="302"/>
      <c r="J44" s="302"/>
      <c r="K44" s="302"/>
      <c r="L44" s="302"/>
      <c r="N44" s="361" t="s">
        <v>824</v>
      </c>
      <c r="O44" s="361"/>
      <c r="P44" s="361"/>
      <c r="Q44" s="319">
        <f>(2*Q70*Q72*Q4+4*Q70*Q71+4*Q71*Q72*Q4)*0.01</f>
        <v>62.360800000000012</v>
      </c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134"/>
      <c r="AL44" s="134"/>
      <c r="AM44" s="134"/>
      <c r="AN44" s="134"/>
      <c r="AO44" s="90"/>
      <c r="AP44" s="90"/>
      <c r="AQ44" s="90"/>
      <c r="AR44" s="90"/>
      <c r="AS44" s="90"/>
      <c r="AT44" s="139"/>
      <c r="AU44" s="90"/>
      <c r="AV44" s="90"/>
      <c r="AW44" s="90"/>
      <c r="AX44" s="90"/>
      <c r="AY44" s="90"/>
    </row>
    <row r="45" spans="2:51">
      <c r="C45" s="302" t="s">
        <v>1213</v>
      </c>
      <c r="D45" s="302"/>
      <c r="E45" s="302"/>
      <c r="F45" s="302"/>
      <c r="G45" s="302"/>
      <c r="H45" s="302"/>
      <c r="I45" s="302"/>
      <c r="J45" s="302"/>
      <c r="K45" s="302"/>
      <c r="L45" s="302"/>
      <c r="N45" s="368" t="s">
        <v>805</v>
      </c>
      <c r="O45" s="369"/>
      <c r="P45" s="370"/>
      <c r="Q45" s="248">
        <f>IF(AS35=0,0,AS35)</f>
        <v>33</v>
      </c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134"/>
      <c r="AP45" s="90"/>
      <c r="AQ45" s="90"/>
      <c r="AR45" s="90"/>
      <c r="AS45" s="90"/>
      <c r="AT45" s="139"/>
      <c r="AU45" s="90"/>
      <c r="AV45" s="90"/>
      <c r="AW45" s="90"/>
      <c r="AX45" s="90"/>
      <c r="AY45" s="90"/>
    </row>
    <row r="46" spans="2:51">
      <c r="F46" s="302"/>
      <c r="G46" s="302"/>
      <c r="H46" s="302"/>
      <c r="I46" s="302"/>
      <c r="J46" s="302"/>
      <c r="K46" s="302"/>
      <c r="L46" s="302"/>
      <c r="N46" s="309"/>
      <c r="O46" s="309"/>
      <c r="P46" s="309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139"/>
      <c r="AU46" s="90"/>
      <c r="AV46" s="90"/>
      <c r="AW46" s="90"/>
      <c r="AX46" s="90"/>
      <c r="AY46" s="90"/>
    </row>
    <row r="47" spans="2:51" ht="17.25">
      <c r="N47" s="371" t="s">
        <v>795</v>
      </c>
      <c r="O47" s="372"/>
      <c r="P47" s="373"/>
      <c r="Q47" s="319">
        <f>Q7*0.92</f>
        <v>73.600000000000009</v>
      </c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</row>
    <row r="48" spans="2:51" ht="17.25">
      <c r="N48" s="371" t="s">
        <v>1214</v>
      </c>
      <c r="O48" s="372"/>
      <c r="P48" s="373"/>
      <c r="Q48" s="250">
        <f>MIN(VLOOKUP(Q3,'E Core Detail'!$A$2:$Z$88,22,FALSE),VLOOKUP(Q3,'E Core Detail'!$A$2:$Z$88,23,FALSE),VLOOKUP(Q3,'E Core Detail'!$A$2:$Z$88,24,FALSE))</f>
        <v>1.94</v>
      </c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</row>
    <row r="49" spans="14:51">
      <c r="N49" s="371" t="s">
        <v>788</v>
      </c>
      <c r="O49" s="372"/>
      <c r="P49" s="373"/>
      <c r="Q49" s="250">
        <f>VLOOKUP(Q3,'E Core Detail'!$A$2:$H$88,7,FALSE)</f>
        <v>9.84</v>
      </c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</row>
    <row r="50" spans="14:51" ht="17.25">
      <c r="N50" s="371" t="s">
        <v>790</v>
      </c>
      <c r="O50" s="372"/>
      <c r="P50" s="373"/>
      <c r="Q50" s="250">
        <f>Q49*Q51</f>
        <v>18.007200000000001</v>
      </c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</row>
    <row r="51" spans="14:51">
      <c r="N51" s="371" t="s">
        <v>979</v>
      </c>
      <c r="O51" s="372"/>
      <c r="P51" s="373"/>
      <c r="Q51" s="250">
        <f>Q4*(VLOOKUP(Q3,'E Core Detail'!$A$2:$R$88,17,FALSE))</f>
        <v>1.83</v>
      </c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</row>
    <row r="52" spans="14:51">
      <c r="N52" s="361" t="s">
        <v>804</v>
      </c>
      <c r="O52" s="361"/>
      <c r="P52" s="361"/>
      <c r="Q52" s="250">
        <f>IF(Q45=0,ROUNDUP(SQRT((E3*10^6)/Q47),0),Q45)</f>
        <v>33</v>
      </c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</row>
    <row r="53" spans="14:51">
      <c r="N53" s="361" t="s">
        <v>945</v>
      </c>
      <c r="O53" s="361"/>
      <c r="P53" s="361"/>
      <c r="Q53" s="337">
        <f>0.01*(1/(Q105+Q106*(Q121^Q107)))</f>
        <v>0.96698990417642361</v>
      </c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</row>
    <row r="54" spans="14:51">
      <c r="N54" s="361" t="s">
        <v>810</v>
      </c>
      <c r="O54" s="361"/>
      <c r="P54" s="361"/>
      <c r="Q54" s="338">
        <f>IF(Q45=0,ROUNDUP(Q52/Q53,0),Q45)</f>
        <v>33</v>
      </c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</row>
    <row r="55" spans="14:51">
      <c r="N55" s="361" t="s">
        <v>946</v>
      </c>
      <c r="O55" s="361"/>
      <c r="P55" s="361"/>
      <c r="Q55" s="337">
        <f>0.01*(1/(Q105+Q106*(Q123^Q107)))</f>
        <v>0.96698990417642361</v>
      </c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</row>
    <row r="56" spans="14:51">
      <c r="N56" s="368" t="s">
        <v>970</v>
      </c>
      <c r="O56" s="369"/>
      <c r="P56" s="370"/>
      <c r="Q56" s="337">
        <f>0.01*(1/(Q105+Q106*(Q119^Q107)))</f>
        <v>0.96403660864962759</v>
      </c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</row>
    <row r="57" spans="14:51">
      <c r="N57" s="361" t="s">
        <v>971</v>
      </c>
      <c r="O57" s="361"/>
      <c r="P57" s="361"/>
      <c r="Q57" s="337">
        <f>0.01*(1/(Q105+Q106*(Q120^Q107)))</f>
        <v>0.96984175376091819</v>
      </c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</row>
    <row r="58" spans="14:51">
      <c r="N58" s="361" t="s">
        <v>972</v>
      </c>
      <c r="O58" s="361"/>
      <c r="P58" s="361"/>
      <c r="Q58" s="339" t="e">
        <f>0.01*(1/(Q105+Q106*(Q122^Q107)))</f>
        <v>#VALUE!</v>
      </c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</row>
    <row r="59" spans="14:51">
      <c r="N59" s="361" t="s">
        <v>994</v>
      </c>
      <c r="O59" s="361"/>
      <c r="P59" s="361"/>
      <c r="Q59" s="340">
        <f>0.01*(1/(Q105+Q106*(Q124^Q107)))</f>
        <v>0.96696899098579159</v>
      </c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</row>
    <row r="60" spans="14:51">
      <c r="N60" s="364" t="s">
        <v>806</v>
      </c>
      <c r="O60" s="364"/>
      <c r="P60" s="364"/>
      <c r="Q60" s="299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</row>
    <row r="61" spans="14:51">
      <c r="N61" s="361" t="s">
        <v>812</v>
      </c>
      <c r="O61" s="361"/>
      <c r="P61" s="361"/>
      <c r="Q61" s="319">
        <f>(Q54/Q49)*(E32)</f>
        <v>29.332774390243898</v>
      </c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</row>
    <row r="62" spans="14:51">
      <c r="N62" s="361" t="s">
        <v>813</v>
      </c>
      <c r="O62" s="361"/>
      <c r="P62" s="361"/>
      <c r="Q62" s="319">
        <f>(Q54/Q49)*(E33)</f>
        <v>26.539176829268293</v>
      </c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</row>
    <row r="63" spans="14:51">
      <c r="N63" s="361" t="s">
        <v>814</v>
      </c>
      <c r="O63" s="361"/>
      <c r="P63" s="361"/>
      <c r="Q63" s="328">
        <f>((Q110+(Q111*Q119)+(Q112*Q119^2))/(1+(Q113*Q119)+(Q114*Q119^2)))^Q115</f>
        <v>0.10292068494868921</v>
      </c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</row>
    <row r="64" spans="14:51">
      <c r="N64" s="361" t="s">
        <v>815</v>
      </c>
      <c r="O64" s="361"/>
      <c r="P64" s="361"/>
      <c r="Q64" s="328">
        <f>IF(Q62&lt;0,-(((Q110+(Q111*ABS(Q120))+(Q112*ABS(Q120)^2))/(1+(Q113*ABS(Q120))+(Q114*ABS(Q120)^2)))^Q115),(((Q110+(Q111*Q120)+(Q112*Q120^2))/(1+(Q113*Q120)+(Q114*Q120^2)))^Q115))</f>
        <v>9.4457367457556271E-2</v>
      </c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</row>
    <row r="65" spans="14:47">
      <c r="N65" s="361" t="s">
        <v>816</v>
      </c>
      <c r="O65" s="361"/>
      <c r="P65" s="361"/>
      <c r="Q65" s="329">
        <f>(Q63-Q64)/2</f>
        <v>4.2316587455664689E-3</v>
      </c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</row>
    <row r="66" spans="14:47">
      <c r="N66" s="368" t="s">
        <v>817</v>
      </c>
      <c r="O66" s="369"/>
      <c r="P66" s="369"/>
      <c r="Q66" s="328">
        <f>Q116*(Q65^Q117)*($E$8^Q118)</f>
        <v>1.0929202644284479</v>
      </c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</row>
    <row r="67" spans="14:47">
      <c r="N67" s="377"/>
      <c r="O67" s="377"/>
      <c r="P67" s="377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</row>
    <row r="68" spans="14:47">
      <c r="N68" s="377"/>
      <c r="O68" s="377"/>
      <c r="P68" s="377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</row>
    <row r="69" spans="14:47">
      <c r="N69" s="374" t="s">
        <v>825</v>
      </c>
      <c r="O69" s="374"/>
      <c r="P69" s="374"/>
      <c r="Y69" s="90"/>
      <c r="Z69" s="90"/>
      <c r="AA69" s="90"/>
      <c r="AB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</row>
    <row r="70" spans="14:47">
      <c r="N70" s="361" t="s">
        <v>1215</v>
      </c>
      <c r="O70" s="361"/>
      <c r="P70" s="361"/>
      <c r="Q70" s="250">
        <f>VLOOKUP(Q3,'E Core Detail'!$A$2:$X$88,9,FALSE)</f>
        <v>42.85</v>
      </c>
      <c r="AL70" s="90"/>
      <c r="AM70" s="90"/>
      <c r="AN70" s="90"/>
      <c r="AP70" s="90"/>
      <c r="AQ70" s="90"/>
      <c r="AR70" s="90"/>
      <c r="AS70" s="90"/>
      <c r="AT70" s="90"/>
    </row>
    <row r="71" spans="14:47">
      <c r="N71" s="361" t="s">
        <v>1216</v>
      </c>
      <c r="O71" s="361"/>
      <c r="P71" s="361"/>
      <c r="Q71" s="250">
        <f>VLOOKUP(Q3,'E Core Detail'!$A$2:$X$88,10,FALSE)</f>
        <v>21.1</v>
      </c>
      <c r="AC71" s="92"/>
      <c r="AD71" s="92"/>
      <c r="AE71" s="92"/>
      <c r="AF71" s="92"/>
      <c r="AG71" s="92"/>
      <c r="AH71" s="92"/>
      <c r="AI71" s="92"/>
      <c r="AJ71" s="92"/>
      <c r="AK71" s="92"/>
      <c r="AP71" s="90"/>
      <c r="AQ71" s="90"/>
      <c r="AR71" s="90"/>
      <c r="AS71" s="90"/>
      <c r="AT71" s="90"/>
    </row>
    <row r="72" spans="14:47">
      <c r="N72" s="361" t="s">
        <v>1217</v>
      </c>
      <c r="O72" s="361"/>
      <c r="P72" s="361"/>
      <c r="Q72" s="250">
        <f>VLOOKUP(Q3,'E Core Detail'!$A$2:$X$88,11,FALSE)</f>
        <v>15.4</v>
      </c>
      <c r="Z72" s="92"/>
      <c r="AA72" s="92"/>
      <c r="AB72" s="92"/>
      <c r="AO72" s="90"/>
      <c r="AP72" s="90"/>
      <c r="AQ72" s="90"/>
      <c r="AR72" s="90"/>
      <c r="AS72" s="90"/>
      <c r="AT72" s="90"/>
    </row>
    <row r="73" spans="14:47">
      <c r="N73" s="368" t="s">
        <v>1218</v>
      </c>
      <c r="O73" s="369"/>
      <c r="P73" s="370"/>
      <c r="Q73" s="250">
        <f>VLOOKUP(Q3,'E Core Detail'!$A$2:$X$88,12,FALSE)</f>
        <v>14.9</v>
      </c>
      <c r="AL73" s="90"/>
      <c r="AM73" s="90"/>
      <c r="AN73" s="90"/>
    </row>
    <row r="74" spans="14:47">
      <c r="N74" s="368" t="s">
        <v>1219</v>
      </c>
      <c r="O74" s="369"/>
      <c r="P74" s="370"/>
      <c r="Q74" s="250">
        <f>VLOOKUP(Q3,'E Core Detail'!$A$2:$X$88,13,FALSE)</f>
        <v>30.35</v>
      </c>
    </row>
    <row r="75" spans="14:47">
      <c r="N75" s="368" t="s">
        <v>1220</v>
      </c>
      <c r="O75" s="369"/>
      <c r="P75" s="370"/>
      <c r="Q75" s="250">
        <f>VLOOKUP(Q3,'E Core Detail'!$A$2:$X$88,14,FALSE)</f>
        <v>11.9</v>
      </c>
      <c r="AP75" s="90"/>
      <c r="AQ75" s="139"/>
    </row>
    <row r="76" spans="14:47">
      <c r="N76" s="368" t="s">
        <v>1221</v>
      </c>
      <c r="O76" s="369"/>
      <c r="P76" s="370"/>
      <c r="Q76" s="250">
        <f>VLOOKUP(Q3,'E Core Detail'!$A$2:$X$88,15,FALSE)</f>
        <v>5.94</v>
      </c>
    </row>
    <row r="77" spans="14:47">
      <c r="N77" s="368" t="s">
        <v>1222</v>
      </c>
      <c r="O77" s="369"/>
      <c r="P77" s="370"/>
      <c r="Q77" s="250">
        <f>VLOOKUP(Q3,'E Core Detail'!$A$2:$X$88,16,FALSE)</f>
        <v>9.27</v>
      </c>
    </row>
    <row r="78" spans="14:47">
      <c r="N78" s="368" t="s">
        <v>1223</v>
      </c>
      <c r="O78" s="369"/>
      <c r="P78" s="370"/>
      <c r="Q78" s="250">
        <f>IF(Q70&gt;35,1.78, 0.89)</f>
        <v>1.78</v>
      </c>
    </row>
    <row r="79" spans="14:47">
      <c r="N79" s="361" t="s">
        <v>1224</v>
      </c>
      <c r="O79" s="361"/>
      <c r="P79" s="361"/>
      <c r="Q79" s="250">
        <f>(Q72*Q4+Q75+4*Q78)</f>
        <v>34.42</v>
      </c>
    </row>
    <row r="80" spans="14:47">
      <c r="N80" s="361" t="s">
        <v>1225</v>
      </c>
      <c r="O80" s="361"/>
      <c r="P80" s="361"/>
      <c r="Q80" s="319">
        <f>VLOOKUP(Q3,'E Core Detail'!$A$2:$Z$88,25,FALSE)</f>
        <v>25.9</v>
      </c>
    </row>
    <row r="81" spans="14:17">
      <c r="N81" s="361" t="s">
        <v>829</v>
      </c>
      <c r="O81" s="361"/>
      <c r="P81" s="361"/>
      <c r="Q81" s="319">
        <f>SQRT((4*Q36*100)/PI())</f>
        <v>2.1909160375631838</v>
      </c>
    </row>
    <row r="82" spans="14:17">
      <c r="N82" s="361" t="s">
        <v>1226</v>
      </c>
      <c r="O82" s="361"/>
      <c r="P82" s="361"/>
      <c r="Q82" s="319">
        <f>ROUNDDOWN((Q80*0.9)/Q81,0)</f>
        <v>10</v>
      </c>
    </row>
    <row r="83" spans="14:17">
      <c r="N83" s="361" t="s">
        <v>835</v>
      </c>
      <c r="O83" s="361"/>
      <c r="P83" s="361"/>
      <c r="Q83" s="319">
        <f>IF(Q82&gt;Q54, Q54,Q82)</f>
        <v>10</v>
      </c>
    </row>
    <row r="84" spans="14:17">
      <c r="N84" s="361" t="s">
        <v>836</v>
      </c>
      <c r="O84" s="361"/>
      <c r="P84" s="361"/>
      <c r="Q84" s="319">
        <f>IF(Q21-Q83=Q21,0,IF(Q21-Q83-Q82&gt;0,Q82,Q21-Q83))</f>
        <v>10</v>
      </c>
    </row>
    <row r="85" spans="14:17">
      <c r="N85" s="361" t="s">
        <v>837</v>
      </c>
      <c r="O85" s="361"/>
      <c r="P85" s="361"/>
      <c r="Q85" s="319">
        <f>IF(Q21-Q83-Q84=Q21,0,IF(Q21-Q83-Q84-Q82&gt;0,Q82,Q21-Q83-Q84))</f>
        <v>10</v>
      </c>
    </row>
    <row r="86" spans="14:17">
      <c r="N86" s="361" t="s">
        <v>838</v>
      </c>
      <c r="O86" s="361"/>
      <c r="P86" s="361"/>
      <c r="Q86" s="319">
        <f>IF(Q$21-Q$83-Q$84-Q$85=Q$21,0,IF(Q$21-Q$83-Q$84-Q$85-Q$82&gt;0,Q$82,Q$21-Q$83-Q$84-Q$85))</f>
        <v>3</v>
      </c>
    </row>
    <row r="87" spans="14:17">
      <c r="N87" s="361" t="s">
        <v>1227</v>
      </c>
      <c r="O87" s="361"/>
      <c r="P87" s="361"/>
      <c r="Q87" s="319">
        <f>IF(Q$21-Q$83-Q$84-Q$85-Q$86=Q$21,0,IF(Q$21-Q$83-Q$84-Q$85-Q$86-Q$82&gt;0,Q$82,Q$21-Q$83-Q$84-Q$85-Q$86))</f>
        <v>0</v>
      </c>
    </row>
    <row r="88" spans="14:17">
      <c r="N88" s="361" t="s">
        <v>1228</v>
      </c>
      <c r="O88" s="361"/>
      <c r="P88" s="361"/>
      <c r="Q88" s="319">
        <f>IF(Q$21-Q$83-Q$84-Q$85-Q$86-Q$87=Q$21,0,IF(Q$21-Q$83-Q$84-Q$85-Q$86-Q$87-Q$82&gt;0,Q$82,Q$21-Q$83-Q$84-Q$85-Q$86-Q$87))</f>
        <v>0</v>
      </c>
    </row>
    <row r="89" spans="14:17">
      <c r="N89" s="361" t="s">
        <v>1229</v>
      </c>
      <c r="O89" s="361"/>
      <c r="P89" s="361"/>
      <c r="Q89" s="319">
        <f>IF(Q$21-Q$83-Q$84-Q$85-Q$86-Q$87-Q$88=Q$21,0,IF(Q$21-Q$83-Q$84-Q$85-Q$86-Q$87-Q$88-Q$82&gt;0,Q$82,Q$21-Q$83-Q$84-Q$85-Q$86-Q$87-Q$88))</f>
        <v>0</v>
      </c>
    </row>
    <row r="90" spans="14:17">
      <c r="N90" s="361" t="s">
        <v>1230</v>
      </c>
      <c r="O90" s="361"/>
      <c r="P90" s="361"/>
      <c r="Q90" s="319">
        <f>IF(Q$21-Q$83-Q$84-Q$85-Q$86-Q$87-Q$88-Q$89=Q$21,0,IF(Q$21-Q$83-Q$84-Q$85-Q$86-Q$87-Q$88-Q$89-Q$82&gt;0,Q$82,Q$21-Q$83-Q$84-Q$85-Q$86-Q$87-Q$88-Q$89))</f>
        <v>0</v>
      </c>
    </row>
    <row r="91" spans="14:17">
      <c r="N91" s="361" t="s">
        <v>1231</v>
      </c>
      <c r="O91" s="361"/>
      <c r="P91" s="361"/>
      <c r="Q91" s="319">
        <f>IF(Q$21-Q$83-Q$84-Q$85-Q$86-Q$87-Q$88-Q$89-Q$90=Q$21,0,IF(Q$21-Q$83-Q$84-Q$85-Q$86-Q$87-Q$88-Q$89-Q$90-Q$82&gt;0,Q$82,Q$21-Q$83-Q$84-Q$85-Q$86-Q$87-Q$88-Q$89-Q$90))</f>
        <v>0</v>
      </c>
    </row>
    <row r="92" spans="14:17">
      <c r="N92" s="361" t="s">
        <v>842</v>
      </c>
      <c r="O92" s="361"/>
      <c r="P92" s="361"/>
      <c r="Q92" s="327">
        <f>2*Q79+(6.28*Q81/2)</f>
        <v>75.719476357948395</v>
      </c>
    </row>
    <row r="93" spans="14:17">
      <c r="N93" s="361" t="s">
        <v>1232</v>
      </c>
      <c r="O93" s="361"/>
      <c r="P93" s="361"/>
      <c r="Q93" s="327">
        <f>2*Q79+6.28*(1.5*Q81)</f>
        <v>89.478429073845192</v>
      </c>
    </row>
    <row r="94" spans="14:17">
      <c r="N94" s="361" t="s">
        <v>840</v>
      </c>
      <c r="O94" s="361"/>
      <c r="P94" s="361"/>
      <c r="Q94" s="327">
        <f>Q79*2+6.28*2.5*Q81</f>
        <v>103.23738178974199</v>
      </c>
    </row>
    <row r="95" spans="14:17">
      <c r="N95" s="361" t="s">
        <v>841</v>
      </c>
      <c r="O95" s="361"/>
      <c r="P95" s="361"/>
      <c r="Q95" s="327">
        <f>2*Q79+6.28*3.5*Q81</f>
        <v>116.99633450563879</v>
      </c>
    </row>
    <row r="96" spans="14:17">
      <c r="N96" s="361" t="s">
        <v>1233</v>
      </c>
      <c r="O96" s="361"/>
      <c r="P96" s="361"/>
      <c r="Q96" s="327">
        <f>2*Q79+6.28*4.5*Q81</f>
        <v>130.75528722153558</v>
      </c>
    </row>
    <row r="97" spans="14:17">
      <c r="N97" s="361" t="s">
        <v>843</v>
      </c>
      <c r="O97" s="361"/>
      <c r="P97" s="361"/>
      <c r="Q97" s="327">
        <f>(Q83*Q92)+(Q84*Q93)+(Q85*Q94)+(Q86*Q95)+(Q87*Q96)</f>
        <v>3035.3418757322725</v>
      </c>
    </row>
    <row r="98" spans="14:17">
      <c r="N98" s="361" t="s">
        <v>802</v>
      </c>
      <c r="O98" s="361"/>
      <c r="P98" s="361"/>
      <c r="Q98" s="327">
        <f>Q97/Q54</f>
        <v>91.980056840371887</v>
      </c>
    </row>
    <row r="99" spans="14:17">
      <c r="N99" s="361" t="s">
        <v>930</v>
      </c>
      <c r="O99" s="361"/>
      <c r="P99" s="361"/>
      <c r="Q99" s="319" t="e">
        <v>#N/A</v>
      </c>
    </row>
    <row r="100" spans="14:17">
      <c r="N100" s="361" t="s">
        <v>931</v>
      </c>
      <c r="O100" s="361"/>
      <c r="P100" s="361"/>
      <c r="Q100" s="327" t="e">
        <f>(Q24/304.8)/Q99</f>
        <v>#N/A</v>
      </c>
    </row>
    <row r="101" spans="14:17">
      <c r="N101" s="361" t="s">
        <v>1234</v>
      </c>
      <c r="O101" s="361"/>
      <c r="P101" s="361"/>
      <c r="Q101" s="319" t="e">
        <v>#N/A</v>
      </c>
    </row>
    <row r="102" spans="14:17">
      <c r="N102" s="361" t="s">
        <v>1235</v>
      </c>
      <c r="O102" s="361"/>
      <c r="P102" s="361"/>
      <c r="Q102" s="296" t="e">
        <f>Q100*0.4536</f>
        <v>#N/A</v>
      </c>
    </row>
    <row r="104" spans="14:17">
      <c r="N104" s="361" t="s">
        <v>955</v>
      </c>
      <c r="O104" s="361"/>
      <c r="P104" s="361"/>
      <c r="Q104" s="296"/>
    </row>
    <row r="105" spans="14:17">
      <c r="N105" s="361" t="s">
        <v>956</v>
      </c>
      <c r="O105" s="361"/>
      <c r="P105" s="361"/>
      <c r="Q105" s="341">
        <f>IF($Q$5="Kool Mu",VLOOKUP($Q$6,'Kool Mu CF Constants'!$A$3:$F$9,2,FALSE),IF($Q$5="MPP",VLOOKUP($Q$6,'MPP CF'!$A$3:$F$12,2,FALSE),IF($Q$5="High Flux",VLOOKUP($Q$6,'HF CF'!$A$3:$F$8,2,FALSE),IF($Q$5="XFlux",VLOOKUP($Q$6,'XF CF'!$A$5:$F$7,2,FALSE)))))</f>
        <v>0.01</v>
      </c>
    </row>
    <row r="106" spans="14:17">
      <c r="N106" s="361" t="s">
        <v>957</v>
      </c>
      <c r="O106" s="361"/>
      <c r="P106" s="361"/>
      <c r="Q106" s="341">
        <f>IF($Q$5="Kool Mu",VLOOKUP($Q$6,'Kool Mu CF Constants'!$A$3:$F$9,3,FALSE),IF($Q$5="MPP",VLOOKUP($Q$6,'MPP CF'!$A$3:$F$12,3,FALSE),IF($Q$5="High Flux",VLOOKUP($Q$6,'HF CF'!$A$3:$F$8,3,FALSE),IF($Q$5="XFlux",VLOOKUP($Q$6,'XF CF'!$A$5:$F$7,3,FALSE)))))</f>
        <v>7.9932917905169875E-7</v>
      </c>
    </row>
    <row r="107" spans="14:17">
      <c r="N107" s="361" t="s">
        <v>958</v>
      </c>
      <c r="O107" s="361"/>
      <c r="P107" s="361"/>
      <c r="Q107" s="341">
        <f>IF($Q$5="Kool Mu",VLOOKUP($Q$6,'Kool Mu CF Constants'!$A$3:$F$9,4,FALSE),IF($Q$5="MPP",VLOOKUP($Q$6,'MPP CF'!$A$3:$F$12,4,FALSE),IF($Q$5="High Flux",VLOOKUP($Q$6,'HF CF'!$A$3:$F$8,4,FALSE),IF($Q$5="XFlux",VLOOKUP($Q$6,'XF CF'!$A$5:$F$7,4,FALSE)))))</f>
        <v>1.8189496240181691</v>
      </c>
    </row>
    <row r="108" spans="14:17">
      <c r="N108" s="361" t="s">
        <v>959</v>
      </c>
      <c r="O108" s="361"/>
      <c r="P108" s="361"/>
      <c r="Q108" s="328"/>
    </row>
    <row r="109" spans="14:17">
      <c r="N109" s="361" t="s">
        <v>960</v>
      </c>
      <c r="O109" s="361"/>
      <c r="P109" s="361"/>
      <c r="Q109" s="328"/>
    </row>
    <row r="110" spans="14:17">
      <c r="N110" s="361" t="s">
        <v>961</v>
      </c>
      <c r="O110" s="361"/>
      <c r="P110" s="361"/>
      <c r="Q110" s="328">
        <f>IF($Q$5="Kool Mu",VLOOKUP($Q$6,'Kool Mu CF Constants'!$A$11:$G$17,2,FALSE),IF($Q$5="MPP",VLOOKUP($Q$6,'MPP CF'!$A$14:$G$23,2,FALSE),IF($Q$5="High Flux",VLOOKUP($Q$6,'HF CF'!$A$10:$G$15,2,FALSE),IF($Q$5="XFlux",VLOOKUP($Q$6,'XF CF'!$A$10:$G12,2,FALSE)))))</f>
        <v>5.8680000000000001E-5</v>
      </c>
    </row>
    <row r="111" spans="14:17">
      <c r="N111" s="361" t="s">
        <v>962</v>
      </c>
      <c r="O111" s="361"/>
      <c r="P111" s="361"/>
      <c r="Q111" s="328">
        <f>IF($Q$5="Kool Mu",VLOOKUP($Q$6,'Kool Mu CF Constants'!$A$11:$G$17,3,FALSE),IF($Q$5="MPP",VLOOKUP($Q$6,'MPP CF'!$A$14:$G$23,3,FALSE),IF($Q$5="High Flux",VLOOKUP($Q$6,'HF CF'!$A$10:$G$15,3,FALSE),IF($Q$5="XFlux",VLOOKUP($Q$6,'XF CF'!$A$10:$G$12,3,FALSE)))))</f>
        <v>9.3620000000000002E-5</v>
      </c>
    </row>
    <row r="112" spans="14:17">
      <c r="N112" s="361" t="s">
        <v>963</v>
      </c>
      <c r="O112" s="361"/>
      <c r="P112" s="361"/>
      <c r="Q112" s="328">
        <f>IF($Q$5="Kool Mu",VLOOKUP($Q$6,'Kool Mu CF Constants'!$A$11:$G$17,4,FALSE),IF($Q$5="MPP",VLOOKUP($Q$6,'MPP CF'!$A$14:$G$23,4,FALSE),IF($Q$5="High Flux",VLOOKUP($Q$6,'HF CF'!$A$10:$G$15,4,FALSE),IF($Q$5="XFlux",VLOOKUP($Q$6,'XF CF'!$A$10:$G$12,4,FALSE)))))</f>
        <v>9.0110000000000006E-6</v>
      </c>
    </row>
    <row r="113" spans="14:17">
      <c r="N113" s="361" t="s">
        <v>964</v>
      </c>
      <c r="O113" s="361"/>
      <c r="P113" s="361"/>
      <c r="Q113" s="328">
        <f>IF($Q$5="Kool Mu",VLOOKUP($Q$6,'Kool Mu CF Constants'!$A$11:$G$17,5,FALSE),IF($Q$5="MPP",VLOOKUP($Q$6,'MPP CF'!$A$14:$G$23,5,FALSE),IF($Q$5="High Flux",VLOOKUP($Q$6,'HF CF'!$A$10:$G$15,5,FALSE),IF($Q$5="XFlux",VLOOKUP($Q$6,'XF CF'!$A$10:$G$12,5,FALSE)))))</f>
        <v>-3.6820000000000001E-4</v>
      </c>
    </row>
    <row r="114" spans="14:17">
      <c r="N114" s="361" t="s">
        <v>965</v>
      </c>
      <c r="O114" s="361"/>
      <c r="P114" s="361"/>
      <c r="Q114" s="328">
        <f>IF($Q$5="Kool Mu",VLOOKUP($Q$6,'Kool Mu CF Constants'!$A$11:$G$17,6,FALSE),IF($Q$5="MPP",VLOOKUP($Q$6,'MPP CF'!$A$14:$G$23,6,FALSE),IF($Q$5="High Flux",VLOOKUP($Q$6,'HF CF'!$A$10:$G$15,6,FALSE),IF($Q$5="XFlux",VLOOKUP($Q$6,'XF CF'!$A$10:$G$12,6,FALSE)))))</f>
        <v>8.7469999999999994E-6</v>
      </c>
    </row>
    <row r="115" spans="14:17">
      <c r="N115" s="361" t="s">
        <v>966</v>
      </c>
      <c r="O115" s="361"/>
      <c r="P115" s="361"/>
      <c r="Q115" s="328">
        <f>IF($Q$5="Kool Mu",VLOOKUP($Q$6,'Kool Mu CF Constants'!$A$11:$G$17,7,FALSE),IF($Q$5="MPP",VLOOKUP($Q$6,'MPP CF'!$A$14:$G$23,7,FALSE),IF($Q$5="High Flux",VLOOKUP($Q$6,'HF CF'!$A$10:$G$15,7,FALSE),IF($Q$5="XFlux",VLOOKUP($Q$6,'XF CF'!$A$10:$G$12,7,FALSE)))))</f>
        <v>0.5</v>
      </c>
    </row>
    <row r="116" spans="14:17">
      <c r="N116" s="361" t="s">
        <v>967</v>
      </c>
      <c r="O116" s="361"/>
      <c r="P116" s="361"/>
      <c r="Q116" s="341">
        <f>IF($Q$5="Kool Mu",VLOOKUP($Q$6,'Kool Mu CF Constants'!$A$19:$D$25,2,FALSE),IF($Q$5="MPP",VLOOKUP($Q$6,'MPP CF'!$A$25:$D$34,2,FALSE),IF($Q$5="High Flux",VLOOKUP($Q$6,'HF CF'!$A$17:$D$22,2,FALSE),IF($Q$5="XFlux",IF($E$8&lt;10,VLOOKUP($Q$6,'XF CF'!B25:E27,2,FALSE),IF($E$8&lt;20,VLOOKUP($Q$6,'XF CF'!B28:E30,2,FALSE),IF($E$8&gt;=20,VLOOKUP($Q$6,'XF CF'!B31:E33,2,FALSE))))))))</f>
        <v>120</v>
      </c>
    </row>
    <row r="117" spans="14:17">
      <c r="N117" s="361" t="s">
        <v>968</v>
      </c>
      <c r="O117" s="361"/>
      <c r="P117" s="361"/>
      <c r="Q117" s="341">
        <f>IF($Q$5="Kool Mu",VLOOKUP($Q$6,'Kool Mu CF Constants'!$A$19:$D$25,3,FALSE),IF($Q$5="MPP",VLOOKUP($Q$6,'MPP CF'!$A$25:$D$34,3,FALSE),IF($Q$5="High Flux",VLOOKUP($Q$6,'HF CF'!$A$17:$D$22,3,FALSE),IF($Q$5="XFlux",IF($E$8&lt;10,VLOOKUP($Q$6,'XF CF'!B25:E27,3,FALSE),IF($E$8&lt;20,VLOOKUP($Q$6,'XF CF'!B28:E30,3,FALSE),IF($E$8&gt;=20,VLOOKUP($Q$6,'XF CF'!B31:E33,3,FALSE))))))))</f>
        <v>2.09</v>
      </c>
    </row>
    <row r="118" spans="14:17">
      <c r="N118" s="361" t="s">
        <v>969</v>
      </c>
      <c r="O118" s="361"/>
      <c r="P118" s="361"/>
      <c r="Q118" s="341">
        <f>IF($Q$5="Kool Mu",VLOOKUP($Q$6,'Kool Mu CF Constants'!$A$19:$D$25,4,FALSE),IF($Q$5="MPP",VLOOKUP($Q$6,'MPP CF'!$A$25:$D$34,4,FALSE),IF($Q$5="High Flux",VLOOKUP($Q$6,'HF CF'!$A$17:$D$22,4,FALSE),IF($E$8&lt;10,VLOOKUP($Q$6,'XF CF'!B25:E27,4,FALSE),IF($E$8&lt;20,VLOOKUP($Q$6,'XF CF'!B28:E30,4,FALSE),IF($E$8&gt;=20,VLOOKUP($Q$6,'XF CF'!B31:E33,4,FALSE)))))))</f>
        <v>1.46</v>
      </c>
    </row>
    <row r="119" spans="14:17">
      <c r="N119" s="375" t="s">
        <v>973</v>
      </c>
      <c r="O119" s="375"/>
      <c r="P119" s="375"/>
      <c r="Q119" s="327">
        <f>$E$32*Q54/Q49</f>
        <v>29.332774390243902</v>
      </c>
    </row>
    <row r="120" spans="14:17">
      <c r="N120" s="361" t="s">
        <v>974</v>
      </c>
      <c r="O120" s="361"/>
      <c r="P120" s="361"/>
      <c r="Q120" s="327">
        <f>$E$33*Q54/Q49</f>
        <v>26.539176829268296</v>
      </c>
    </row>
    <row r="121" spans="14:17">
      <c r="N121" s="361" t="s">
        <v>976</v>
      </c>
      <c r="O121" s="361"/>
      <c r="P121" s="361"/>
      <c r="Q121" s="327">
        <f>$E$34*Q52/Q49</f>
        <v>27.935975609756095</v>
      </c>
    </row>
    <row r="122" spans="14:17">
      <c r="N122" s="361" t="s">
        <v>975</v>
      </c>
      <c r="O122" s="361"/>
      <c r="P122" s="361"/>
      <c r="Q122" s="327" t="e">
        <f>$E$35*Q54/Q49</f>
        <v>#VALUE!</v>
      </c>
    </row>
    <row r="123" spans="14:17">
      <c r="N123" s="361" t="s">
        <v>977</v>
      </c>
      <c r="O123" s="361"/>
      <c r="P123" s="361"/>
      <c r="Q123" s="327">
        <f>$E$34*Q54/Q49</f>
        <v>27.935975609756095</v>
      </c>
    </row>
    <row r="124" spans="14:17">
      <c r="N124" s="361" t="s">
        <v>981</v>
      </c>
      <c r="O124" s="361"/>
      <c r="P124" s="361"/>
      <c r="Q124" s="330">
        <f>$E$36*Q54/Q49</f>
        <v>27.946036585365857</v>
      </c>
    </row>
    <row r="126" spans="14:17">
      <c r="N126" s="361" t="s">
        <v>1363</v>
      </c>
      <c r="O126" s="361"/>
      <c r="P126" s="361"/>
      <c r="Q126" s="331">
        <f>Q70</f>
        <v>42.85</v>
      </c>
    </row>
    <row r="127" spans="14:17">
      <c r="N127" s="361" t="s">
        <v>1236</v>
      </c>
      <c r="O127" s="361"/>
      <c r="P127" s="361"/>
      <c r="Q127" s="331">
        <f>Q71*2</f>
        <v>42.2</v>
      </c>
    </row>
    <row r="128" spans="14:17">
      <c r="N128" s="361" t="s">
        <v>1237</v>
      </c>
      <c r="O128" s="361"/>
      <c r="P128" s="361"/>
      <c r="Q128" s="331">
        <f>Q72*Q4+Q23*Q81*2*1.1</f>
        <v>34.68006113055602</v>
      </c>
    </row>
    <row r="129" spans="14:17">
      <c r="N129" s="368" t="s">
        <v>1238</v>
      </c>
      <c r="O129" s="369"/>
      <c r="P129" s="370"/>
      <c r="Q129" s="331">
        <f>VLOOKUP(Q3,'Shape Core Weight'!$A$2:$D$107,4,FALSE)/1000</f>
        <v>4.8000000000000001E-2</v>
      </c>
    </row>
    <row r="130" spans="14:17">
      <c r="N130" s="368" t="s">
        <v>1239</v>
      </c>
      <c r="O130" s="369"/>
      <c r="P130" s="370"/>
      <c r="Q130" s="331">
        <f>Q4*Q129*2</f>
        <v>9.6000000000000002E-2</v>
      </c>
    </row>
    <row r="131" spans="14:17">
      <c r="N131" s="368" t="s">
        <v>1240</v>
      </c>
      <c r="O131" s="369"/>
      <c r="P131" s="370"/>
      <c r="Q131" s="331" t="e">
        <f>Q130+Q102</f>
        <v>#N/A</v>
      </c>
    </row>
  </sheetData>
  <sheetProtection selectLockedCells="1"/>
  <mergeCells count="185">
    <mergeCell ref="AL18:AN18"/>
    <mergeCell ref="AL19:AN19"/>
    <mergeCell ref="AL20:AN20"/>
    <mergeCell ref="AL21:AN21"/>
    <mergeCell ref="AP28:AQ29"/>
    <mergeCell ref="AS28:AS29"/>
    <mergeCell ref="AS4:AS5"/>
    <mergeCell ref="AS7:AS8"/>
    <mergeCell ref="AS10:AS11"/>
    <mergeCell ref="AL16:AN16"/>
    <mergeCell ref="AL17:AN17"/>
    <mergeCell ref="AL3:AN3"/>
    <mergeCell ref="AP2:AT2"/>
    <mergeCell ref="AS25:AS26"/>
    <mergeCell ref="AC8:AC9"/>
    <mergeCell ref="AF8:AF9"/>
    <mergeCell ref="AP4:AQ5"/>
    <mergeCell ref="AP7:AQ8"/>
    <mergeCell ref="AP10:AQ11"/>
    <mergeCell ref="AD3:AE3"/>
    <mergeCell ref="AD2:AE2"/>
    <mergeCell ref="AH15:AJ15"/>
    <mergeCell ref="AE8:AE9"/>
    <mergeCell ref="AH2:AJ2"/>
    <mergeCell ref="AL2:AN2"/>
    <mergeCell ref="AL12:AN12"/>
    <mergeCell ref="AL10:AN10"/>
    <mergeCell ref="AH3:AJ3"/>
    <mergeCell ref="AH7:AJ8"/>
    <mergeCell ref="AL14:AN14"/>
    <mergeCell ref="AL15:AN15"/>
    <mergeCell ref="AL13:AN13"/>
    <mergeCell ref="AP13:AQ13"/>
    <mergeCell ref="AP15:AQ15"/>
    <mergeCell ref="AL6:AN6"/>
    <mergeCell ref="N6:P6"/>
    <mergeCell ref="N17:P17"/>
    <mergeCell ref="N18:P18"/>
    <mergeCell ref="N15:P15"/>
    <mergeCell ref="N16:P16"/>
    <mergeCell ref="N13:P13"/>
    <mergeCell ref="N14:P14"/>
    <mergeCell ref="N11:P11"/>
    <mergeCell ref="N12:P12"/>
    <mergeCell ref="N131:P131"/>
    <mergeCell ref="N43:P43"/>
    <mergeCell ref="N129:P129"/>
    <mergeCell ref="N130:P130"/>
    <mergeCell ref="N127:P127"/>
    <mergeCell ref="N128:P128"/>
    <mergeCell ref="N126:P126"/>
    <mergeCell ref="N124:P124"/>
    <mergeCell ref="N122:P122"/>
    <mergeCell ref="N123:P123"/>
    <mergeCell ref="N120:P120"/>
    <mergeCell ref="N121:P121"/>
    <mergeCell ref="N118:P118"/>
    <mergeCell ref="N119:P119"/>
    <mergeCell ref="N116:P116"/>
    <mergeCell ref="N117:P117"/>
    <mergeCell ref="N114:P114"/>
    <mergeCell ref="N115:P115"/>
    <mergeCell ref="N112:P112"/>
    <mergeCell ref="N113:P113"/>
    <mergeCell ref="N110:P110"/>
    <mergeCell ref="N111:P111"/>
    <mergeCell ref="N108:P108"/>
    <mergeCell ref="N109:P109"/>
    <mergeCell ref="N106:P106"/>
    <mergeCell ref="N107:P107"/>
    <mergeCell ref="N104:P104"/>
    <mergeCell ref="N105:P105"/>
    <mergeCell ref="N102:P102"/>
    <mergeCell ref="N100:P100"/>
    <mergeCell ref="N101:P101"/>
    <mergeCell ref="N98:P98"/>
    <mergeCell ref="N99:P99"/>
    <mergeCell ref="N96:P96"/>
    <mergeCell ref="N97:P97"/>
    <mergeCell ref="N94:P94"/>
    <mergeCell ref="N95:P95"/>
    <mergeCell ref="N92:P92"/>
    <mergeCell ref="N93:P93"/>
    <mergeCell ref="N90:P90"/>
    <mergeCell ref="N91:P91"/>
    <mergeCell ref="N88:P88"/>
    <mergeCell ref="N89:P89"/>
    <mergeCell ref="N86:P86"/>
    <mergeCell ref="N87:P87"/>
    <mergeCell ref="N84:P84"/>
    <mergeCell ref="N85:P85"/>
    <mergeCell ref="N82:P82"/>
    <mergeCell ref="N83:P83"/>
    <mergeCell ref="N80:P80"/>
    <mergeCell ref="N81:P81"/>
    <mergeCell ref="N78:P78"/>
    <mergeCell ref="N79:P79"/>
    <mergeCell ref="N76:P76"/>
    <mergeCell ref="N77:P77"/>
    <mergeCell ref="N74:P74"/>
    <mergeCell ref="N75:P75"/>
    <mergeCell ref="N72:P72"/>
    <mergeCell ref="N73:P73"/>
    <mergeCell ref="N70:P70"/>
    <mergeCell ref="N71:P71"/>
    <mergeCell ref="N66:P66"/>
    <mergeCell ref="N67:P67"/>
    <mergeCell ref="N68:P68"/>
    <mergeCell ref="N69:P69"/>
    <mergeCell ref="N64:P64"/>
    <mergeCell ref="N65:P65"/>
    <mergeCell ref="N62:P62"/>
    <mergeCell ref="N63:P63"/>
    <mergeCell ref="N60:P60"/>
    <mergeCell ref="N61:P61"/>
    <mergeCell ref="N58:P58"/>
    <mergeCell ref="N59:P59"/>
    <mergeCell ref="N56:P56"/>
    <mergeCell ref="N57:P57"/>
    <mergeCell ref="N54:P54"/>
    <mergeCell ref="N55:P55"/>
    <mergeCell ref="N52:P52"/>
    <mergeCell ref="N53:P53"/>
    <mergeCell ref="N50:P50"/>
    <mergeCell ref="N51:P51"/>
    <mergeCell ref="N48:P48"/>
    <mergeCell ref="N49:P49"/>
    <mergeCell ref="N45:P45"/>
    <mergeCell ref="N47:P47"/>
    <mergeCell ref="N42:P42"/>
    <mergeCell ref="N44:P44"/>
    <mergeCell ref="N40:P40"/>
    <mergeCell ref="N41:P41"/>
    <mergeCell ref="N38:P38"/>
    <mergeCell ref="N39:P39"/>
    <mergeCell ref="B36:D36"/>
    <mergeCell ref="N36:P36"/>
    <mergeCell ref="N37:P37"/>
    <mergeCell ref="B35:D35"/>
    <mergeCell ref="N35:P35"/>
    <mergeCell ref="B32:D32"/>
    <mergeCell ref="N32:P32"/>
    <mergeCell ref="B33:D33"/>
    <mergeCell ref="N33:P33"/>
    <mergeCell ref="B30:D30"/>
    <mergeCell ref="N30:P30"/>
    <mergeCell ref="B31:D31"/>
    <mergeCell ref="N31:P31"/>
    <mergeCell ref="B21:D21"/>
    <mergeCell ref="B11:D11"/>
    <mergeCell ref="B34:D34"/>
    <mergeCell ref="N34:P34"/>
    <mergeCell ref="N26:P26"/>
    <mergeCell ref="N27:P27"/>
    <mergeCell ref="N24:P24"/>
    <mergeCell ref="N25:P25"/>
    <mergeCell ref="N22:P22"/>
    <mergeCell ref="N23:P23"/>
    <mergeCell ref="N20:P20"/>
    <mergeCell ref="N21:P21"/>
    <mergeCell ref="N19:P19"/>
    <mergeCell ref="AP31:AQ31"/>
    <mergeCell ref="B3:D3"/>
    <mergeCell ref="N3:P3"/>
    <mergeCell ref="B4:D4"/>
    <mergeCell ref="N4:P4"/>
    <mergeCell ref="B1:D1"/>
    <mergeCell ref="N1:P1"/>
    <mergeCell ref="B2:D2"/>
    <mergeCell ref="N2:P2"/>
    <mergeCell ref="G1:I1"/>
    <mergeCell ref="J1:L1"/>
    <mergeCell ref="B9:D9"/>
    <mergeCell ref="N9:P9"/>
    <mergeCell ref="B10:D10"/>
    <mergeCell ref="N10:P10"/>
    <mergeCell ref="B7:D7"/>
    <mergeCell ref="N7:P7"/>
    <mergeCell ref="B8:D8"/>
    <mergeCell ref="N8:P8"/>
    <mergeCell ref="B5:D5"/>
    <mergeCell ref="N5:P5"/>
    <mergeCell ref="B6:D6"/>
    <mergeCell ref="AL11:AN11"/>
    <mergeCell ref="B12:D12"/>
  </mergeCells>
  <conditionalFormatting sqref="Q23">
    <cfRule type="cellIs" dxfId="3" priority="8" operator="greaterThan">
      <formula>$Q$22</formula>
    </cfRule>
  </conditionalFormatting>
  <conditionalFormatting sqref="Q17">
    <cfRule type="cellIs" dxfId="2" priority="7" operator="greaterThan">
      <formula>0.6</formula>
    </cfRule>
  </conditionalFormatting>
  <conditionalFormatting sqref="Q34">
    <cfRule type="cellIs" dxfId="1" priority="4" operator="greaterThan">
      <formula>$Q$33</formula>
    </cfRule>
  </conditionalFormatting>
  <conditionalFormatting sqref="AS19">
    <cfRule type="cellIs" dxfId="0" priority="1" operator="greaterThan">
      <formula>$AE$21</formula>
    </cfRule>
  </conditionalFormatting>
  <dataValidations count="4">
    <dataValidation type="list" allowBlank="1" showInputMessage="1" showErrorMessage="1" sqref="E1">
      <formula1>"DC w/ ripple, Low AC w/ ripple,Pure AC no ripple"</formula1>
    </dataValidation>
    <dataValidation type="list" allowBlank="1" showInputMessage="1" showErrorMessage="1" sqref="E11">
      <formula1>"copper, aluminum"</formula1>
    </dataValidation>
    <dataValidation type="list" allowBlank="1" showInputMessage="1" showErrorMessage="1" sqref="AE17">
      <formula1>"1,2,3,4,5"</formula1>
    </dataValidation>
    <dataValidation type="list" allowBlank="1" showInputMessage="1" showErrorMessage="1" sqref="AM8">
      <formula1>"6,7,8,9,10,11,12,13,14,15,16,17,18,19,20,21,22,23,24,25,26,27,28,29,30,31,32,33,34,35,36,37,38,39,40,41,42,43,44,45,46,47,48,49"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 Core Detail'!$A$2:$A$81</xm:f>
          </x14:formula1>
          <xm:sqref>AM4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"/>
  <sheetViews>
    <sheetView topLeftCell="A7" workbookViewId="0">
      <selection activeCell="U26" sqref="U26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Picture</vt:lpstr>
      <vt:lpstr>Sheet3</vt:lpstr>
      <vt:lpstr>Wire</vt:lpstr>
      <vt:lpstr>Powder Core Detail</vt:lpstr>
      <vt:lpstr>Toroid Design</vt:lpstr>
      <vt:lpstr>Toroid LI^2 Chart</vt:lpstr>
      <vt:lpstr>E Core Design</vt:lpstr>
      <vt:lpstr>E Core LI^2 Chart</vt:lpstr>
      <vt:lpstr> Wire Table</vt:lpstr>
      <vt:lpstr>75 CF</vt:lpstr>
      <vt:lpstr>LI_Xflux_E</vt:lpstr>
      <vt:lpstr>PN_XFlux_E</vt:lpstr>
      <vt:lpstr>E Core Detail</vt:lpstr>
      <vt:lpstr>Shape Core Weight</vt:lpstr>
      <vt:lpstr>Wire Resistivity</vt:lpstr>
      <vt:lpstr>Powder Core Toroid OD</vt:lpstr>
      <vt:lpstr>LI_MPP</vt:lpstr>
      <vt:lpstr>PN_MPP</vt:lpstr>
      <vt:lpstr>LI_HF</vt:lpstr>
      <vt:lpstr>PN_HF</vt:lpstr>
      <vt:lpstr>LI_KM</vt:lpstr>
      <vt:lpstr>PN_KM</vt:lpstr>
      <vt:lpstr>LI_XF</vt:lpstr>
      <vt:lpstr>PN_XF</vt:lpstr>
      <vt:lpstr>Wire Table</vt:lpstr>
      <vt:lpstr>Surface Area</vt:lpstr>
      <vt:lpstr>LI_KM_E</vt:lpstr>
      <vt:lpstr>PN_KM_E</vt:lpstr>
      <vt:lpstr>Curve Fit Equations</vt:lpstr>
      <vt:lpstr>Kool Mu CF Constants</vt:lpstr>
      <vt:lpstr>MPP CF</vt:lpstr>
      <vt:lpstr>HF CF</vt:lpstr>
      <vt:lpstr>XF CF</vt:lpstr>
    </vt:vector>
  </TitlesOfParts>
  <Company>Spang &amp;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Cataldi</dc:creator>
  <cp:lastModifiedBy>Joabel</cp:lastModifiedBy>
  <cp:lastPrinted>2011-12-21T19:39:34Z</cp:lastPrinted>
  <dcterms:created xsi:type="dcterms:W3CDTF">2009-03-11T15:42:08Z</dcterms:created>
  <dcterms:modified xsi:type="dcterms:W3CDTF">2018-10-18T12:37:39Z</dcterms:modified>
</cp:coreProperties>
</file>