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ngL\Dropbox\MWLR\Paper1_fit_problem\code_data_GCB\"/>
    </mc:Choice>
  </mc:AlternateContent>
  <xr:revisionPtr revIDLastSave="0" documentId="13_ncr:1_{4A1CF19C-C49C-4533-AB9C-53F78B5DA4BA}" xr6:coauthVersionLast="47" xr6:coauthVersionMax="47" xr10:uidLastSave="{00000000-0000-0000-0000-000000000000}"/>
  <bookViews>
    <workbookView xWindow="-110" yWindow="-110" windowWidth="22780" windowHeight="14660" xr2:uid="{AD0A64AF-CC84-472E-AA8A-3D397D2AFB5E}"/>
  </bookViews>
  <sheets>
    <sheet name="uncat_ca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1" i="1" l="1"/>
  <c r="C61" i="1"/>
  <c r="G60" i="1"/>
  <c r="C60" i="1"/>
  <c r="M59" i="1"/>
  <c r="N59" i="1" s="1"/>
  <c r="J59" i="1"/>
  <c r="G59" i="1"/>
  <c r="F59" i="1"/>
  <c r="C59" i="1"/>
  <c r="M58" i="1"/>
  <c r="N58" i="1" s="1"/>
  <c r="J58" i="1"/>
  <c r="L58" i="1" s="1"/>
  <c r="G58" i="1"/>
  <c r="C58" i="1"/>
  <c r="M57" i="1"/>
  <c r="N57" i="1" s="1"/>
  <c r="L57" i="1"/>
  <c r="J57" i="1"/>
  <c r="G57" i="1"/>
  <c r="C57" i="1"/>
  <c r="M56" i="1"/>
  <c r="N56" i="1" s="1"/>
  <c r="L56" i="1"/>
  <c r="J56" i="1"/>
  <c r="I56" i="1" s="1"/>
  <c r="G56" i="1"/>
  <c r="C56" i="1"/>
  <c r="N55" i="1"/>
  <c r="M55" i="1"/>
  <c r="J55" i="1"/>
  <c r="L55" i="1" s="1"/>
  <c r="G55" i="1"/>
  <c r="D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M48" i="1"/>
  <c r="N48" i="1" s="1"/>
  <c r="G48" i="1"/>
  <c r="C48" i="1"/>
  <c r="M47" i="1"/>
  <c r="N47" i="1" s="1"/>
  <c r="G47" i="1"/>
  <c r="C47" i="1"/>
  <c r="M46" i="1"/>
  <c r="N46" i="1" s="1"/>
  <c r="G46" i="1"/>
  <c r="C46" i="1"/>
  <c r="G45" i="1"/>
  <c r="C45" i="1"/>
  <c r="G44" i="1"/>
  <c r="C44" i="1"/>
  <c r="G43" i="1"/>
  <c r="C43" i="1"/>
  <c r="G42" i="1"/>
  <c r="C42" i="1"/>
  <c r="G41" i="1"/>
  <c r="C41" i="1"/>
  <c r="G40" i="1"/>
  <c r="C40" i="1"/>
  <c r="G39" i="1"/>
  <c r="C39" i="1"/>
  <c r="G38" i="1"/>
  <c r="C38" i="1"/>
  <c r="G37" i="1"/>
  <c r="C37" i="1"/>
  <c r="G36" i="1"/>
  <c r="C36" i="1"/>
  <c r="M35" i="1"/>
  <c r="G35" i="1"/>
  <c r="C35" i="1"/>
  <c r="G34" i="1"/>
  <c r="C34" i="1"/>
  <c r="N33" i="1"/>
  <c r="M33" i="1"/>
  <c r="K33" i="1"/>
  <c r="G33" i="1"/>
  <c r="C33" i="1"/>
  <c r="G32" i="1"/>
  <c r="C32" i="1"/>
  <c r="G31" i="1"/>
  <c r="C31" i="1"/>
  <c r="G30" i="1"/>
  <c r="C30" i="1"/>
  <c r="G29" i="1"/>
  <c r="C29" i="1"/>
  <c r="G28" i="1"/>
  <c r="C28" i="1"/>
  <c r="G27" i="1"/>
  <c r="C27" i="1"/>
  <c r="G26" i="1"/>
  <c r="C26" i="1"/>
  <c r="G25" i="1"/>
  <c r="C25" i="1"/>
  <c r="G24" i="1"/>
  <c r="C24" i="1"/>
  <c r="L23" i="1"/>
  <c r="K23" i="1"/>
  <c r="M23" i="1" s="1"/>
  <c r="N23" i="1" s="1"/>
  <c r="J23" i="1"/>
  <c r="I23" i="1"/>
  <c r="G23" i="1"/>
  <c r="C23" i="1"/>
  <c r="G22" i="1"/>
  <c r="C22" i="1"/>
  <c r="G21" i="1"/>
  <c r="C21" i="1"/>
  <c r="N20" i="1"/>
  <c r="M20" i="1"/>
  <c r="L20" i="1"/>
  <c r="K20" i="1"/>
  <c r="J20" i="1"/>
  <c r="I20" i="1"/>
  <c r="G20" i="1"/>
  <c r="C20" i="1"/>
  <c r="L19" i="1"/>
  <c r="K19" i="1"/>
  <c r="M19" i="1" s="1"/>
  <c r="N19" i="1" s="1"/>
  <c r="J19" i="1"/>
  <c r="I19" i="1"/>
  <c r="G19" i="1"/>
  <c r="C19" i="1"/>
  <c r="G18" i="1"/>
  <c r="C18" i="1"/>
  <c r="G17" i="1"/>
  <c r="C17" i="1"/>
  <c r="N16" i="1"/>
  <c r="K16" i="1"/>
  <c r="G16" i="1"/>
  <c r="C16" i="1"/>
  <c r="N15" i="1"/>
  <c r="M15" i="1"/>
  <c r="L15" i="1"/>
  <c r="G15" i="1"/>
  <c r="C15" i="1"/>
  <c r="G14" i="1"/>
  <c r="C14" i="1"/>
  <c r="G13" i="1"/>
  <c r="C13" i="1"/>
  <c r="L12" i="1"/>
  <c r="K12" i="1"/>
  <c r="M12" i="1" s="1"/>
  <c r="N12" i="1" s="1"/>
  <c r="J12" i="1"/>
  <c r="I12" i="1"/>
  <c r="G12" i="1"/>
  <c r="C12" i="1"/>
  <c r="G11" i="1"/>
  <c r="C11" i="1"/>
  <c r="G10" i="1"/>
  <c r="C10" i="1"/>
  <c r="N9" i="1"/>
  <c r="G9" i="1"/>
  <c r="C9" i="1"/>
  <c r="G8" i="1"/>
  <c r="C8" i="1"/>
  <c r="M7" i="1"/>
  <c r="N7" i="1" s="1"/>
  <c r="G7" i="1"/>
  <c r="C7" i="1"/>
  <c r="M6" i="1"/>
  <c r="N6" i="1" s="1"/>
  <c r="G6" i="1"/>
  <c r="C6" i="1"/>
  <c r="G5" i="1"/>
  <c r="C5" i="1"/>
  <c r="G4" i="1"/>
  <c r="C4" i="1"/>
  <c r="M3" i="1"/>
  <c r="N3" i="1" s="1"/>
  <c r="L3" i="1"/>
  <c r="K3" i="1"/>
  <c r="J3" i="1"/>
  <c r="I3" i="1"/>
  <c r="G3" i="1"/>
  <c r="C3" i="1"/>
  <c r="M2" i="1"/>
  <c r="K2" i="1" s="1"/>
  <c r="L2" i="1" s="1"/>
  <c r="J2" i="1"/>
  <c r="G2" i="1"/>
  <c r="C2" i="1"/>
  <c r="N2" i="1" l="1"/>
</calcChain>
</file>

<file path=xl/sharedStrings.xml><?xml version="1.0" encoding="utf-8"?>
<sst xmlns="http://schemas.openxmlformats.org/spreadsheetml/2006/main" count="181" uniqueCount="120">
  <si>
    <t>Substrate</t>
  </si>
  <si>
    <t>lnk25</t>
  </si>
  <si>
    <t>dG25 [kcal/mol]</t>
  </si>
  <si>
    <t>dH25 [kcal/mol]</t>
  </si>
  <si>
    <t>Ea [kcal/mol]</t>
  </si>
  <si>
    <t>TdS [kcal/mol]</t>
  </si>
  <si>
    <t>Q10[20-30C]</t>
  </si>
  <si>
    <t>References</t>
  </si>
  <si>
    <t>kcat_ref</t>
  </si>
  <si>
    <t>methyl phosphate dianion</t>
  </si>
  <si>
    <t>alkaline phosphatase</t>
  </si>
  <si>
    <t>Wolfenden 2006</t>
  </si>
  <si>
    <t>Craig etal_1996</t>
  </si>
  <si>
    <t>dineopentyl phosphate anion</t>
  </si>
  <si>
    <t>staphylococcal nuclease</t>
  </si>
  <si>
    <t>1,5-anhydrocellobiitol</t>
  </si>
  <si>
    <t>α-1-methylglucopyranoside</t>
  </si>
  <si>
    <t>β-amylase</t>
  </si>
  <si>
    <t>2011-Table2</t>
  </si>
  <si>
    <t>β-1-methylglucopyranoside</t>
  </si>
  <si>
    <t>bacterial α-glucosidase</t>
  </si>
  <si>
    <t>Wolfenden et al 1999</t>
  </si>
  <si>
    <t>β-glucosidase</t>
  </si>
  <si>
    <t>Lebbink etal_2000</t>
  </si>
  <si>
    <t>α-1-methylribofuranoside</t>
  </si>
  <si>
    <t>fumarate</t>
  </si>
  <si>
    <t>fumarase</t>
  </si>
  <si>
    <t>Brant etal. 1963</t>
  </si>
  <si>
    <t>β-1-methylribofuranoside</t>
  </si>
  <si>
    <t>dimethyl phosphate anion</t>
  </si>
  <si>
    <t>3-chloroacrylate</t>
  </si>
  <si>
    <t>chloroacrylate dehalogenase</t>
  </si>
  <si>
    <t>tetramethylurea</t>
  </si>
  <si>
    <t>N,N-dimethylacetamide</t>
  </si>
  <si>
    <t>acetylglycyl-glycine</t>
  </si>
  <si>
    <t>chymotrypsin</t>
  </si>
  <si>
    <t>Kaufman etal 1949</t>
  </si>
  <si>
    <t xml:space="preserve">acetylglycyl-glycine N-methylamide </t>
  </si>
  <si>
    <t>Trypsin + casein</t>
  </si>
  <si>
    <t>LINEWEAV 1939 &amp; Stockbridge 2010</t>
  </si>
  <si>
    <t>acetamide</t>
  </si>
  <si>
    <t>α,β-1-methyldeoxyribofuranoside</t>
  </si>
  <si>
    <t>5,6-dihydroorotate</t>
  </si>
  <si>
    <t>hamster dihydroorotase</t>
  </si>
  <si>
    <t>urea</t>
  </si>
  <si>
    <t>jack bean urease</t>
  </si>
  <si>
    <t>Shaw etal._1955</t>
  </si>
  <si>
    <t>Wolfenden 2006 *the reported rate should be 10^-4</t>
  </si>
  <si>
    <t>formamide</t>
  </si>
  <si>
    <t>2011-Table1</t>
  </si>
  <si>
    <t>methyl phosphate monoanion</t>
  </si>
  <si>
    <t>cytidine</t>
  </si>
  <si>
    <t>E. coli cytidine deaminase</t>
  </si>
  <si>
    <t>Snidere etal_2000</t>
  </si>
  <si>
    <t>N-methylacetamide</t>
  </si>
  <si>
    <t>pyrophosphate trianion</t>
  </si>
  <si>
    <t>trimethyl phosphate</t>
  </si>
  <si>
    <t>phosphotriesterase</t>
  </si>
  <si>
    <t>acetyl phosphate dianion</t>
  </si>
  <si>
    <t xml:space="preserve">pyrophosphate dianion </t>
  </si>
  <si>
    <t>ADP/ATP</t>
  </si>
  <si>
    <t>phosphoenolpyruvate</t>
  </si>
  <si>
    <t>acetyl phosphate monoanion</t>
  </si>
  <si>
    <t>Anhydrocellobiitol</t>
  </si>
  <si>
    <t>Wolfenden 2011</t>
  </si>
  <si>
    <t>Sucrose</t>
  </si>
  <si>
    <t>Invertase</t>
  </si>
  <si>
    <t>Lineweaver 1939 &amp;Stockbridge etal.2010</t>
  </si>
  <si>
    <t>Trehalose</t>
  </si>
  <si>
    <t>Glucose(decomposition)</t>
  </si>
  <si>
    <t>Imriskova etal_2005</t>
  </si>
  <si>
    <t>Fructose(decomposition)</t>
  </si>
  <si>
    <t>Gly-gly-NHMe cyclization</t>
  </si>
  <si>
    <t>DeoxyA deamination</t>
  </si>
  <si>
    <t>DeoxyG deamination</t>
  </si>
  <si>
    <t>DeoxyC deamination</t>
  </si>
  <si>
    <t>Adenosine glycohydrolysis</t>
  </si>
  <si>
    <t>Deoxyadenosine deamination</t>
  </si>
  <si>
    <t>Deoxycytidine deamination</t>
  </si>
  <si>
    <t>Dihydroorotate hydrolysis</t>
  </si>
  <si>
    <t>Uroporphrinogen decarboxylation</t>
  </si>
  <si>
    <t>Mg.ATP + methanol</t>
  </si>
  <si>
    <t>N-acetylgalac-tosamine kinase</t>
  </si>
  <si>
    <t>Stockbridge and Wolfenden 2009</t>
  </si>
  <si>
    <t>homoserine kinase</t>
  </si>
  <si>
    <t>Stockbridge and Wolfenden 2010</t>
  </si>
  <si>
    <t>Hexokinase</t>
  </si>
  <si>
    <t>Stockbridge and Wolfenden 2011</t>
  </si>
  <si>
    <t>Methyl sulfate hydrolysis</t>
  </si>
  <si>
    <t>Trifluoromethyl-fPhe + glycinamide</t>
  </si>
  <si>
    <t>5-carboxyuracil decarboxylation</t>
  </si>
  <si>
    <t>Lewis et al._2017</t>
  </si>
  <si>
    <t>cytosine deamination</t>
  </si>
  <si>
    <t>5-carboxycytosine decomposition</t>
  </si>
  <si>
    <t>6-carboxyuracil decarboxylation</t>
  </si>
  <si>
    <t>1-methylorotic acid</t>
  </si>
  <si>
    <t>OMP decarboxylase</t>
  </si>
  <si>
    <t>Radzicka and Wolfenden 1995</t>
  </si>
  <si>
    <t>chorismate</t>
  </si>
  <si>
    <t>chorismate mutase</t>
  </si>
  <si>
    <t>Andrews et al._1973 &amp;Wolfenden etal. 1998</t>
  </si>
  <si>
    <t>MacBeath etal_1998</t>
  </si>
  <si>
    <t>Andrews et al._1973 &amp;Wolfenden etal. 1999</t>
  </si>
  <si>
    <t>Andrews et al._1973</t>
  </si>
  <si>
    <t>methyl sulfate hydrolysis</t>
  </si>
  <si>
    <t>N-acetylgalactosamine-6-sulfatase</t>
  </si>
  <si>
    <t>Stockbridge etal 2010 &amp;wolfenden &amp; Yuan 2007</t>
  </si>
  <si>
    <t>R-Hydrogen of (R)-Mandelate</t>
  </si>
  <si>
    <t>Mandelate racemase</t>
  </si>
  <si>
    <t>Bearne and Wolfenden1997</t>
  </si>
  <si>
    <t>Maurice and Bearne_2002</t>
  </si>
  <si>
    <t>Adenosine deamination</t>
  </si>
  <si>
    <t>Frick etal_1987 &amp;Radzicka 1995</t>
  </si>
  <si>
    <t>Cytidine deamination</t>
  </si>
  <si>
    <t>Enzyme</t>
  </si>
  <si>
    <t>knon25 [s-1 or M-1 S-1@25℃]</t>
  </si>
  <si>
    <t>dGnon25 [kcal/mol]</t>
  </si>
  <si>
    <t>dHnon25 [kcal/mol]</t>
  </si>
  <si>
    <t>TdSnon25 [kcal/mol]</t>
  </si>
  <si>
    <t>kcat [s-1@25℃]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</si>
</sst>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0" fontId="2" fillId="0" borderId="0" xfId="0" applyFont="1"/>
    <xf numFmtId="0" fontId="0" fillId="0" borderId="0" xfId="0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gure2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  <sheetName val="Sheet4"/>
      <sheetName val="Q10_soil_enzyme"/>
      <sheetName val="Wolfenden2006"/>
      <sheetName val="Sheet6"/>
      <sheetName val="uncatalysed"/>
      <sheetName val="catalysed"/>
      <sheetName val="TableS1"/>
      <sheetName val="Sheet8"/>
      <sheetName val="Sheet5"/>
    </sheetNames>
    <sheetDataSet>
      <sheetData sheetId="0"/>
      <sheetData sheetId="1"/>
      <sheetData sheetId="2"/>
      <sheetData sheetId="3">
        <row r="2">
          <cell r="A2" t="str">
            <v>methyl phosphate dianion</v>
          </cell>
          <cell r="B2" t="str">
            <v>fructose-1,6-bisphosphatase</v>
          </cell>
          <cell r="C2">
            <v>1.9999999999999999E-20</v>
          </cell>
          <cell r="D2">
            <v>-45.358554679320967</v>
          </cell>
          <cell r="E2">
            <v>44.3</v>
          </cell>
          <cell r="F2">
            <v>47</v>
          </cell>
          <cell r="G2">
            <v>2.7</v>
          </cell>
          <cell r="H2">
            <v>47.592483680000001</v>
          </cell>
          <cell r="I2">
            <v>21</v>
          </cell>
          <cell r="J2">
            <v>3.044522437723423</v>
          </cell>
        </row>
        <row r="3">
          <cell r="A3" t="str">
            <v>dineopentyl phosphate anion</v>
          </cell>
          <cell r="B3" t="str">
            <v>staphylococcal nuclease</v>
          </cell>
          <cell r="C3">
            <v>7.0000000000000003E-16</v>
          </cell>
          <cell r="D3">
            <v>-34.895451338849419</v>
          </cell>
          <cell r="E3">
            <v>38.1</v>
          </cell>
          <cell r="F3">
            <v>29.5</v>
          </cell>
          <cell r="G3">
            <v>-8.6</v>
          </cell>
          <cell r="H3">
            <v>30.092483680000001</v>
          </cell>
          <cell r="I3">
            <v>95</v>
          </cell>
          <cell r="J3">
            <v>4.5538768916005408</v>
          </cell>
          <cell r="K3">
            <v>14.7</v>
          </cell>
          <cell r="L3">
            <v>10.8</v>
          </cell>
          <cell r="M3">
            <v>-3.9</v>
          </cell>
          <cell r="N3">
            <v>11.392483680000002</v>
          </cell>
        </row>
        <row r="4">
          <cell r="A4" t="str">
            <v>α-1-methylglucopyranoside</v>
          </cell>
          <cell r="B4" t="str">
            <v>β-amylase</v>
          </cell>
          <cell r="C4">
            <v>1.9000000000000001E-15</v>
          </cell>
          <cell r="D4">
            <v>-33.896922508738292</v>
          </cell>
          <cell r="E4">
            <v>37.4</v>
          </cell>
          <cell r="F4">
            <v>30.3</v>
          </cell>
          <cell r="G4">
            <v>-7.1</v>
          </cell>
          <cell r="H4">
            <v>30.892483680000002</v>
          </cell>
          <cell r="I4">
            <v>1400</v>
          </cell>
          <cell r="J4">
            <v>7.2442275156033498</v>
          </cell>
        </row>
        <row r="5">
          <cell r="A5" t="str">
            <v>fumarate</v>
          </cell>
          <cell r="B5" t="str">
            <v>fumarase</v>
          </cell>
          <cell r="C5">
            <v>3.5000000000000002E-14</v>
          </cell>
          <cell r="D5">
            <v>-30.983428333421273</v>
          </cell>
          <cell r="E5">
            <v>35.700000000000003</v>
          </cell>
          <cell r="F5">
            <v>28.9</v>
          </cell>
          <cell r="G5">
            <v>-6.8</v>
          </cell>
          <cell r="H5">
            <v>29.492483679999999</v>
          </cell>
          <cell r="I5">
            <v>880</v>
          </cell>
          <cell r="J5">
            <v>6.7799219074722519</v>
          </cell>
        </row>
        <row r="6">
          <cell r="A6" t="str">
            <v>urea</v>
          </cell>
          <cell r="B6" t="str">
            <v>jack bean urease</v>
          </cell>
          <cell r="C6">
            <v>1.2000000000000001E-11</v>
          </cell>
          <cell r="D6">
            <v>-25.146114466140549</v>
          </cell>
          <cell r="E6">
            <v>31.1</v>
          </cell>
          <cell r="F6">
            <v>22.9</v>
          </cell>
          <cell r="G6">
            <v>-8.1999999999999993</v>
          </cell>
          <cell r="H6">
            <v>23.492483679999999</v>
          </cell>
          <cell r="I6">
            <v>36000</v>
          </cell>
          <cell r="J6">
            <v>10.491274217438248</v>
          </cell>
          <cell r="K6">
            <v>22.1</v>
          </cell>
          <cell r="L6">
            <v>9.9</v>
          </cell>
          <cell r="M6">
            <v>-12.2</v>
          </cell>
          <cell r="N6">
            <v>10.492483679999999</v>
          </cell>
        </row>
        <row r="7">
          <cell r="A7" t="str">
            <v>3-chloroacrylate</v>
          </cell>
          <cell r="B7" t="str">
            <v>chloroacrylate dehalogenase</v>
          </cell>
          <cell r="C7">
            <v>2.1999999999999999E-12</v>
          </cell>
          <cell r="D7">
            <v>-26.842563755564278</v>
          </cell>
          <cell r="E7">
            <v>33.299999999999997</v>
          </cell>
          <cell r="F7">
            <v>26.7</v>
          </cell>
          <cell r="G7">
            <v>-6.5</v>
          </cell>
          <cell r="H7">
            <v>27.29248368</v>
          </cell>
          <cell r="I7">
            <v>3.8</v>
          </cell>
          <cell r="J7">
            <v>1.33500106673234</v>
          </cell>
          <cell r="K7">
            <v>16.600000000000001</v>
          </cell>
          <cell r="L7">
            <v>9.4</v>
          </cell>
          <cell r="M7">
            <v>-7.2</v>
          </cell>
          <cell r="N7">
            <v>9.9924836799999994</v>
          </cell>
        </row>
        <row r="8">
          <cell r="A8" t="str">
            <v>acetylglycyl-glycine</v>
          </cell>
          <cell r="B8" t="str">
            <v>carboxypeptidase b</v>
          </cell>
          <cell r="C8">
            <v>4.4000000000000003E-11</v>
          </cell>
          <cell r="D8">
            <v>-23.846831482010288</v>
          </cell>
          <cell r="E8">
            <v>31.5</v>
          </cell>
          <cell r="F8">
            <v>24.4</v>
          </cell>
          <cell r="G8">
            <v>-7.1</v>
          </cell>
          <cell r="H8">
            <v>24.992483679999999</v>
          </cell>
          <cell r="I8">
            <v>240</v>
          </cell>
          <cell r="J8">
            <v>5.4806389233419912</v>
          </cell>
        </row>
        <row r="9">
          <cell r="A9" t="str">
            <v>cytidine</v>
          </cell>
          <cell r="B9" t="str">
            <v>E. coli cytidine deaminase</v>
          </cell>
          <cell r="C9">
            <v>2.7E-10</v>
          </cell>
          <cell r="D9">
            <v>-22.032599156930175</v>
          </cell>
          <cell r="E9">
            <v>30.4</v>
          </cell>
          <cell r="F9">
            <v>22.1</v>
          </cell>
          <cell r="G9">
            <v>-8.3000000000000007</v>
          </cell>
          <cell r="H9">
            <v>22.692483680000002</v>
          </cell>
          <cell r="I9">
            <v>300</v>
          </cell>
          <cell r="J9">
            <v>5.7037824746562009</v>
          </cell>
          <cell r="K9">
            <v>14</v>
          </cell>
          <cell r="L9">
            <v>14.9</v>
          </cell>
          <cell r="M9">
            <v>0.9</v>
          </cell>
          <cell r="N9">
            <v>15.492483679999999</v>
          </cell>
        </row>
        <row r="10">
          <cell r="A10" t="str">
            <v>trimethyl phosphate</v>
          </cell>
          <cell r="B10" t="str">
            <v>phosphotriesterase</v>
          </cell>
          <cell r="C10">
            <v>2E-8</v>
          </cell>
          <cell r="D10">
            <v>-17.72753356339242</v>
          </cell>
          <cell r="E10">
            <v>28.1</v>
          </cell>
          <cell r="F10">
            <v>22.6</v>
          </cell>
          <cell r="G10">
            <v>-5.5</v>
          </cell>
          <cell r="H10">
            <v>23.192483680000002</v>
          </cell>
          <cell r="I10">
            <v>21000</v>
          </cell>
          <cell r="J10">
            <v>9.9522777167055594</v>
          </cell>
        </row>
        <row r="11">
          <cell r="A11" t="str">
            <v>5,6-dihydroorotate</v>
          </cell>
          <cell r="B11" t="str">
            <v>hamster dihydroorotase</v>
          </cell>
          <cell r="C11">
            <v>3.1999999999999999E-11</v>
          </cell>
          <cell r="D11">
            <v>-24.165285213128822</v>
          </cell>
          <cell r="E11">
            <v>30.7</v>
          </cell>
          <cell r="F11">
            <v>24.7</v>
          </cell>
          <cell r="G11">
            <v>-6.9</v>
          </cell>
          <cell r="H11">
            <v>25.29248368</v>
          </cell>
          <cell r="I11">
            <v>1.2</v>
          </cell>
          <cell r="J11">
            <v>0.18232155679395459</v>
          </cell>
          <cell r="K11">
            <v>17.5</v>
          </cell>
          <cell r="L11">
            <v>12.3</v>
          </cell>
          <cell r="M11">
            <v>-5.2</v>
          </cell>
          <cell r="N11">
            <v>12.892483680000002</v>
          </cell>
        </row>
        <row r="12">
          <cell r="A12" t="str">
            <v>CO2</v>
          </cell>
          <cell r="B12" t="str">
            <v>carbonic anhydrase</v>
          </cell>
          <cell r="C12">
            <v>0.13</v>
          </cell>
          <cell r="D12">
            <v>-2.0402208285265546</v>
          </cell>
          <cell r="I12">
            <v>1000000</v>
          </cell>
          <cell r="J12">
            <v>13.815510557964274</v>
          </cell>
        </row>
        <row r="13">
          <cell r="B13" t="str">
            <v>yeast OMP decarboxylase</v>
          </cell>
          <cell r="F13">
            <v>44.4</v>
          </cell>
          <cell r="L13">
            <v>11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5B7EF-6D32-457D-BC46-C310110E8D03}">
  <dimension ref="A1:Q62"/>
  <sheetViews>
    <sheetView tabSelected="1" workbookViewId="0">
      <selection activeCell="K15" sqref="K15"/>
    </sheetView>
  </sheetViews>
  <sheetFormatPr defaultRowHeight="14.5" x14ac:dyDescent="0.35"/>
  <cols>
    <col min="1" max="1" width="30.54296875" style="6" bestFit="1" customWidth="1"/>
    <col min="2" max="2" width="11.81640625" style="6" bestFit="1" customWidth="1"/>
    <col min="3" max="3" width="9" style="6" bestFit="1" customWidth="1"/>
    <col min="4" max="7" width="8.81640625" style="6" bestFit="1" customWidth="1"/>
    <col min="8" max="8" width="8.7265625" style="6"/>
    <col min="9" max="9" width="10.36328125" style="6" bestFit="1" customWidth="1"/>
    <col min="10" max="14" width="9" style="6" bestFit="1" customWidth="1"/>
    <col min="15" max="16384" width="8.7265625" style="6"/>
  </cols>
  <sheetData>
    <row r="1" spans="1:17" x14ac:dyDescent="0.35">
      <c r="A1" s="1" t="s">
        <v>0</v>
      </c>
      <c r="B1" s="1" t="s">
        <v>115</v>
      </c>
      <c r="C1" s="1" t="s">
        <v>1</v>
      </c>
      <c r="D1" s="1" t="s">
        <v>116</v>
      </c>
      <c r="E1" s="1" t="s">
        <v>117</v>
      </c>
      <c r="F1" s="1" t="s">
        <v>118</v>
      </c>
      <c r="G1" s="1" t="s">
        <v>4</v>
      </c>
      <c r="H1" s="1" t="s">
        <v>114</v>
      </c>
      <c r="I1" s="1" t="s">
        <v>119</v>
      </c>
      <c r="J1" s="1" t="s">
        <v>2</v>
      </c>
      <c r="K1" s="1" t="s">
        <v>3</v>
      </c>
      <c r="L1" s="1" t="s">
        <v>5</v>
      </c>
      <c r="M1" s="1" t="s">
        <v>4</v>
      </c>
      <c r="N1" s="1" t="s">
        <v>6</v>
      </c>
      <c r="O1" s="1" t="s">
        <v>7</v>
      </c>
      <c r="P1" s="1"/>
      <c r="Q1" s="1" t="s">
        <v>8</v>
      </c>
    </row>
    <row r="2" spans="1:17" x14ac:dyDescent="0.35">
      <c r="A2" s="1" t="s">
        <v>9</v>
      </c>
      <c r="B2" s="2">
        <v>1.9999999999999999E-20</v>
      </c>
      <c r="C2" s="3">
        <f>LN(B2)</f>
        <v>-45.358554679320967</v>
      </c>
      <c r="D2" s="1">
        <v>44.3</v>
      </c>
      <c r="E2" s="1">
        <v>47</v>
      </c>
      <c r="F2" s="1">
        <v>2.7</v>
      </c>
      <c r="G2" s="4">
        <f>E2+1.987*298.15/1000</f>
        <v>47.592424049999998</v>
      </c>
      <c r="H2" s="1" t="s">
        <v>10</v>
      </c>
      <c r="I2" s="3">
        <v>60.337728730700029</v>
      </c>
      <c r="J2" s="3">
        <f>-1.987*298.15*(LN(I2)-23.76-LN(298.15))/1000</f>
        <v>15.022475268121489</v>
      </c>
      <c r="K2" s="3">
        <f>M2-1.987*298.15/1000</f>
        <v>12.074879965296367</v>
      </c>
      <c r="L2" s="3">
        <f>K2-J2</f>
        <v>-2.9475953028251229</v>
      </c>
      <c r="M2" s="3">
        <f>53/4.184</f>
        <v>12.667304015296367</v>
      </c>
      <c r="N2" s="3">
        <f>EXP(M2*1000/1.987*(1/293.15-1/303.15))</f>
        <v>2.0490224095820628</v>
      </c>
      <c r="O2" s="1" t="s">
        <v>11</v>
      </c>
      <c r="P2" s="1"/>
      <c r="Q2" s="1" t="s">
        <v>12</v>
      </c>
    </row>
    <row r="3" spans="1:17" x14ac:dyDescent="0.35">
      <c r="A3" s="1" t="s">
        <v>13</v>
      </c>
      <c r="B3" s="2">
        <v>7.0000000000000003E-16</v>
      </c>
      <c r="C3" s="3">
        <f t="shared" ref="C3:C61" si="0">LN(B3)</f>
        <v>-34.895451338849419</v>
      </c>
      <c r="D3" s="1">
        <v>38.1</v>
      </c>
      <c r="E3" s="1">
        <v>29.5</v>
      </c>
      <c r="F3" s="1">
        <v>-8.6</v>
      </c>
      <c r="G3" s="4">
        <f t="shared" ref="G3:G58" si="1">E3+1.987*298.15/1000</f>
        <v>30.092424049999998</v>
      </c>
      <c r="H3" s="1" t="s">
        <v>14</v>
      </c>
      <c r="I3" s="3">
        <f>VLOOKUP($A3,[1]Sheet4!$A$2:$N$12,9,FALSE)</f>
        <v>95</v>
      </c>
      <c r="J3" s="3">
        <f>VLOOKUP($A3,[1]Sheet4!$A$2:$N$12,11,FALSE)</f>
        <v>14.7</v>
      </c>
      <c r="K3" s="3">
        <f>VLOOKUP($A3,[1]Sheet4!$A$2:$N$12,12,FALSE)</f>
        <v>10.8</v>
      </c>
      <c r="L3" s="3">
        <f>VLOOKUP($A3,[1]Sheet4!$A$2:$N$13,13,FALSE)</f>
        <v>-3.9</v>
      </c>
      <c r="M3" s="3">
        <f>K3+1.987*298.15/1000</f>
        <v>11.392424050000001</v>
      </c>
      <c r="N3" s="3">
        <f t="shared" ref="N3:N59" si="2">EXP(M3*1000/1.987*(1/293.15-1/303.15))</f>
        <v>1.9063015564757935</v>
      </c>
      <c r="O3" s="1" t="s">
        <v>11</v>
      </c>
      <c r="P3" s="1"/>
      <c r="Q3" s="1"/>
    </row>
    <row r="4" spans="1:17" x14ac:dyDescent="0.35">
      <c r="A4" s="1" t="s">
        <v>15</v>
      </c>
      <c r="B4" s="2">
        <v>1.2E-15</v>
      </c>
      <c r="C4" s="3">
        <f t="shared" si="0"/>
        <v>-34.356454838116733</v>
      </c>
      <c r="D4" s="1">
        <v>37.700000000000003</v>
      </c>
      <c r="E4" s="1">
        <v>35.200000000000003</v>
      </c>
      <c r="F4" s="1">
        <v>-2.5</v>
      </c>
      <c r="G4" s="4">
        <f t="shared" si="1"/>
        <v>35.792424050000001</v>
      </c>
      <c r="H4" s="1"/>
      <c r="I4" s="3"/>
      <c r="J4" s="3"/>
      <c r="K4" s="3"/>
      <c r="L4" s="3"/>
      <c r="M4" s="3"/>
      <c r="N4" s="3"/>
      <c r="O4" s="1" t="s">
        <v>11</v>
      </c>
      <c r="P4" s="1"/>
      <c r="Q4" s="1"/>
    </row>
    <row r="5" spans="1:17" x14ac:dyDescent="0.35">
      <c r="A5" s="1" t="s">
        <v>16</v>
      </c>
      <c r="B5" s="2">
        <v>1.9000000000000001E-15</v>
      </c>
      <c r="C5" s="3">
        <f t="shared" si="0"/>
        <v>-33.896922508738292</v>
      </c>
      <c r="D5" s="1">
        <v>37.4</v>
      </c>
      <c r="E5" s="1">
        <v>30.3</v>
      </c>
      <c r="F5" s="1">
        <v>-7.1</v>
      </c>
      <c r="G5" s="4">
        <f t="shared" si="1"/>
        <v>30.892424050000002</v>
      </c>
      <c r="H5" s="1" t="s">
        <v>17</v>
      </c>
      <c r="I5" s="3"/>
      <c r="J5" s="3"/>
      <c r="K5" s="3"/>
      <c r="L5" s="3"/>
      <c r="M5" s="3"/>
      <c r="N5" s="3"/>
      <c r="O5" s="1" t="s">
        <v>11</v>
      </c>
      <c r="P5" s="1" t="s">
        <v>18</v>
      </c>
      <c r="Q5" s="1"/>
    </row>
    <row r="6" spans="1:17" x14ac:dyDescent="0.35">
      <c r="A6" s="1" t="s">
        <v>19</v>
      </c>
      <c r="B6" s="2">
        <v>4.6999999999999999E-15</v>
      </c>
      <c r="C6" s="3">
        <f t="shared" si="0"/>
        <v>-32.991213886194672</v>
      </c>
      <c r="D6" s="1">
        <v>36.799999999999997</v>
      </c>
      <c r="E6" s="1">
        <v>29.7</v>
      </c>
      <c r="F6" s="1">
        <v>-7.1</v>
      </c>
      <c r="G6" s="4">
        <f t="shared" si="1"/>
        <v>30.292424050000001</v>
      </c>
      <c r="H6" s="1" t="s">
        <v>20</v>
      </c>
      <c r="I6" s="3">
        <v>479.85114047189518</v>
      </c>
      <c r="J6" s="3">
        <v>13.79407313541758</v>
      </c>
      <c r="K6" s="3">
        <v>10.5</v>
      </c>
      <c r="L6" s="3">
        <v>-3.2940731354175803</v>
      </c>
      <c r="M6" s="3">
        <f>K6+1.987*298.15/1000</f>
        <v>11.09242405</v>
      </c>
      <c r="N6" s="3">
        <f t="shared" si="2"/>
        <v>1.8741883583488934</v>
      </c>
      <c r="O6" s="1" t="s">
        <v>11</v>
      </c>
      <c r="P6" s="1" t="s">
        <v>18</v>
      </c>
      <c r="Q6" s="1" t="s">
        <v>21</v>
      </c>
    </row>
    <row r="7" spans="1:17" x14ac:dyDescent="0.35">
      <c r="A7" s="1" t="s">
        <v>19</v>
      </c>
      <c r="B7" s="2">
        <v>4.6999999999999999E-15</v>
      </c>
      <c r="C7" s="3">
        <f t="shared" si="0"/>
        <v>-32.991213886194672</v>
      </c>
      <c r="D7" s="1">
        <v>36.799999999999997</v>
      </c>
      <c r="E7" s="1">
        <v>29.7</v>
      </c>
      <c r="F7" s="1">
        <v>-7.1</v>
      </c>
      <c r="G7" s="4">
        <f t="shared" si="1"/>
        <v>30.292424050000001</v>
      </c>
      <c r="H7" s="1" t="s">
        <v>22</v>
      </c>
      <c r="I7" s="3">
        <v>13</v>
      </c>
      <c r="J7" s="3">
        <v>15.683792310006687</v>
      </c>
      <c r="K7" s="3">
        <v>13.951260644558289</v>
      </c>
      <c r="L7" s="3">
        <v>-1.7325316654483984</v>
      </c>
      <c r="M7" s="3">
        <f t="shared" ref="M7" si="3">K7+1.987*298.15/1000</f>
        <v>14.543684694558289</v>
      </c>
      <c r="N7" s="3">
        <f t="shared" si="2"/>
        <v>2.2787435711771513</v>
      </c>
      <c r="O7" s="1" t="s">
        <v>21</v>
      </c>
      <c r="P7" s="1"/>
      <c r="Q7" s="1" t="s">
        <v>23</v>
      </c>
    </row>
    <row r="8" spans="1:17" x14ac:dyDescent="0.35">
      <c r="A8" s="1" t="s">
        <v>24</v>
      </c>
      <c r="B8" s="2">
        <v>1.9000000000000001E-14</v>
      </c>
      <c r="C8" s="3">
        <f t="shared" si="0"/>
        <v>-31.594337415744246</v>
      </c>
      <c r="D8" s="1">
        <v>36.1</v>
      </c>
      <c r="E8" s="1">
        <v>31.3</v>
      </c>
      <c r="F8" s="1">
        <v>-4.8</v>
      </c>
      <c r="G8" s="4">
        <f t="shared" si="1"/>
        <v>31.892424050000002</v>
      </c>
      <c r="H8" s="1"/>
      <c r="I8" s="3"/>
      <c r="J8" s="3"/>
      <c r="K8" s="3"/>
      <c r="L8" s="3"/>
      <c r="M8" s="3"/>
      <c r="N8" s="3"/>
      <c r="O8" s="1" t="s">
        <v>11</v>
      </c>
      <c r="P8" s="1" t="s">
        <v>18</v>
      </c>
      <c r="Q8" s="1"/>
    </row>
    <row r="9" spans="1:17" x14ac:dyDescent="0.35">
      <c r="A9" s="1" t="s">
        <v>25</v>
      </c>
      <c r="B9" s="2">
        <v>3.5000000000000002E-14</v>
      </c>
      <c r="C9" s="3">
        <f t="shared" si="0"/>
        <v>-30.983428333421273</v>
      </c>
      <c r="D9" s="1">
        <v>35.700000000000003</v>
      </c>
      <c r="E9" s="1">
        <v>28.9</v>
      </c>
      <c r="F9" s="1">
        <v>-6.8</v>
      </c>
      <c r="G9" s="4">
        <f t="shared" si="1"/>
        <v>29.492424049999997</v>
      </c>
      <c r="H9" s="1" t="s">
        <v>26</v>
      </c>
      <c r="I9" s="3">
        <v>1815.3430661552832</v>
      </c>
      <c r="J9" s="3">
        <v>13.005821056056643</v>
      </c>
      <c r="K9" s="3">
        <v>13.30757595</v>
      </c>
      <c r="L9" s="3">
        <v>0.30175489394335742</v>
      </c>
      <c r="M9" s="3">
        <v>13.9</v>
      </c>
      <c r="N9" s="3">
        <f t="shared" si="2"/>
        <v>2.1971733243510498</v>
      </c>
      <c r="O9" s="1" t="s">
        <v>11</v>
      </c>
      <c r="P9" s="1"/>
      <c r="Q9" s="1" t="s">
        <v>27</v>
      </c>
    </row>
    <row r="10" spans="1:17" x14ac:dyDescent="0.35">
      <c r="A10" s="1" t="s">
        <v>28</v>
      </c>
      <c r="B10" s="2">
        <v>3.7E-14</v>
      </c>
      <c r="C10" s="3">
        <f t="shared" si="0"/>
        <v>-30.927858482266462</v>
      </c>
      <c r="D10" s="1">
        <v>35.700000000000003</v>
      </c>
      <c r="E10" s="1">
        <v>30.9</v>
      </c>
      <c r="F10" s="1">
        <v>-4.8</v>
      </c>
      <c r="G10" s="4">
        <f t="shared" si="1"/>
        <v>31.492424049999997</v>
      </c>
      <c r="H10" s="1"/>
      <c r="I10" s="3"/>
      <c r="J10" s="3"/>
      <c r="K10" s="3"/>
      <c r="L10" s="3"/>
      <c r="M10" s="3"/>
      <c r="N10" s="3"/>
      <c r="O10" s="1" t="s">
        <v>11</v>
      </c>
      <c r="P10" s="1" t="s">
        <v>18</v>
      </c>
      <c r="Q10" s="1"/>
    </row>
    <row r="11" spans="1:17" x14ac:dyDescent="0.35">
      <c r="A11" s="1" t="s">
        <v>29</v>
      </c>
      <c r="B11" s="2">
        <v>1.6E-13</v>
      </c>
      <c r="C11" s="3">
        <f t="shared" si="0"/>
        <v>-29.463602579676859</v>
      </c>
      <c r="D11" s="1">
        <v>34.9</v>
      </c>
      <c r="E11" s="1">
        <v>25.9</v>
      </c>
      <c r="F11" s="1">
        <v>-9</v>
      </c>
      <c r="G11" s="4">
        <f t="shared" si="1"/>
        <v>26.492424049999997</v>
      </c>
      <c r="H11" s="1"/>
      <c r="I11" s="3"/>
      <c r="J11" s="3"/>
      <c r="K11" s="3"/>
      <c r="L11" s="3"/>
      <c r="M11" s="3"/>
      <c r="N11" s="3"/>
      <c r="O11" s="1" t="s">
        <v>11</v>
      </c>
      <c r="P11" s="1"/>
      <c r="Q11" s="1"/>
    </row>
    <row r="12" spans="1:17" x14ac:dyDescent="0.35">
      <c r="A12" s="1" t="s">
        <v>30</v>
      </c>
      <c r="B12" s="2">
        <v>2.1999999999999999E-12</v>
      </c>
      <c r="C12" s="3">
        <f t="shared" si="0"/>
        <v>-26.842563755564278</v>
      </c>
      <c r="D12" s="1">
        <v>33.299999999999997</v>
      </c>
      <c r="E12" s="1">
        <v>26.7</v>
      </c>
      <c r="F12" s="1">
        <v>-6.5</v>
      </c>
      <c r="G12" s="4">
        <f t="shared" si="1"/>
        <v>27.292424050000001</v>
      </c>
      <c r="H12" s="1" t="s">
        <v>31</v>
      </c>
      <c r="I12" s="3">
        <f>VLOOKUP($A12,[1]Sheet4!$A$2:$N$12,9,FALSE)</f>
        <v>3.8</v>
      </c>
      <c r="J12" s="3">
        <f>VLOOKUP($A12,[1]Sheet4!$A$2:$N$12,11,FALSE)</f>
        <v>16.600000000000001</v>
      </c>
      <c r="K12" s="3">
        <f>VLOOKUP($A12,[1]Sheet4!$A$2:$N$12,12,FALSE)</f>
        <v>9.4</v>
      </c>
      <c r="L12" s="3">
        <f>VLOOKUP($A12,[1]Sheet4!$A$2:$N$13,13,FALSE)</f>
        <v>-7.2</v>
      </c>
      <c r="M12" s="3">
        <f>K12+1.987*298.15/1000</f>
        <v>9.9924240500000003</v>
      </c>
      <c r="N12" s="3">
        <f t="shared" si="2"/>
        <v>1.7609994695603561</v>
      </c>
      <c r="O12" s="1" t="s">
        <v>11</v>
      </c>
      <c r="P12" s="1"/>
      <c r="Q12" s="1"/>
    </row>
    <row r="13" spans="1:17" x14ac:dyDescent="0.35">
      <c r="A13" s="1" t="s">
        <v>32</v>
      </c>
      <c r="B13" s="2">
        <v>4.1999999999999999E-12</v>
      </c>
      <c r="C13" s="3">
        <f t="shared" si="0"/>
        <v>-26.195936590639224</v>
      </c>
      <c r="D13" s="1">
        <v>32.9</v>
      </c>
      <c r="E13" s="1">
        <v>22.3</v>
      </c>
      <c r="F13" s="1">
        <v>-10.6</v>
      </c>
      <c r="G13" s="4">
        <f t="shared" si="1"/>
        <v>22.892424050000002</v>
      </c>
      <c r="H13" s="1"/>
      <c r="I13" s="3"/>
      <c r="J13" s="3"/>
      <c r="K13" s="3"/>
      <c r="L13" s="3"/>
      <c r="M13" s="3"/>
      <c r="N13" s="3"/>
      <c r="O13" s="1" t="s">
        <v>11</v>
      </c>
      <c r="P13" s="1"/>
      <c r="Q13" s="1"/>
    </row>
    <row r="14" spans="1:17" x14ac:dyDescent="0.35">
      <c r="A14" s="1" t="s">
        <v>33</v>
      </c>
      <c r="B14" s="2">
        <v>1.7999999999999999E-11</v>
      </c>
      <c r="C14" s="3">
        <f t="shared" si="0"/>
        <v>-24.740649358032382</v>
      </c>
      <c r="D14" s="1">
        <v>32</v>
      </c>
      <c r="E14" s="1">
        <v>22.5</v>
      </c>
      <c r="F14" s="1">
        <v>-9.5</v>
      </c>
      <c r="G14" s="4">
        <f t="shared" si="1"/>
        <v>23.092424049999998</v>
      </c>
      <c r="H14" s="1"/>
      <c r="I14" s="3"/>
      <c r="J14" s="3"/>
      <c r="K14" s="3"/>
      <c r="L14" s="3"/>
      <c r="M14" s="3"/>
      <c r="N14" s="3"/>
      <c r="O14" s="1" t="s">
        <v>11</v>
      </c>
      <c r="P14" s="1"/>
      <c r="Q14" s="1"/>
    </row>
    <row r="15" spans="1:17" x14ac:dyDescent="0.35">
      <c r="A15" s="1" t="s">
        <v>34</v>
      </c>
      <c r="B15" s="2">
        <v>4.4000000000000003E-11</v>
      </c>
      <c r="C15" s="3">
        <f t="shared" si="0"/>
        <v>-23.846831482010288</v>
      </c>
      <c r="D15" s="1">
        <v>31.5</v>
      </c>
      <c r="E15" s="1">
        <v>24.4</v>
      </c>
      <c r="F15" s="1">
        <v>-7.1</v>
      </c>
      <c r="G15" s="4">
        <f t="shared" si="1"/>
        <v>24.992424049999997</v>
      </c>
      <c r="H15" s="1" t="s">
        <v>35</v>
      </c>
      <c r="I15" s="3">
        <v>78</v>
      </c>
      <c r="J15" s="3">
        <v>15</v>
      </c>
      <c r="K15" s="3">
        <v>8.6</v>
      </c>
      <c r="L15" s="3">
        <f>-21.4*298.15/1000</f>
        <v>-6.3804099999999986</v>
      </c>
      <c r="M15" s="3">
        <f>K15+1.987*298.15/1000</f>
        <v>9.1924240499999996</v>
      </c>
      <c r="N15" s="3">
        <f t="shared" si="2"/>
        <v>1.682997926717581</v>
      </c>
      <c r="O15" s="1" t="s">
        <v>11</v>
      </c>
      <c r="P15" s="1"/>
      <c r="Q15" s="1" t="s">
        <v>36</v>
      </c>
    </row>
    <row r="16" spans="1:17" x14ac:dyDescent="0.35">
      <c r="A16" s="1" t="s">
        <v>37</v>
      </c>
      <c r="B16" s="2">
        <v>3.5999999999999998E-11</v>
      </c>
      <c r="C16" s="3">
        <f t="shared" si="0"/>
        <v>-24.047502177472438</v>
      </c>
      <c r="D16" s="1">
        <v>31.5</v>
      </c>
      <c r="E16" s="1">
        <v>22.9</v>
      </c>
      <c r="F16" s="1">
        <v>-8.6</v>
      </c>
      <c r="G16" s="4">
        <f t="shared" si="1"/>
        <v>23.492424049999997</v>
      </c>
      <c r="H16" s="1" t="s">
        <v>38</v>
      </c>
      <c r="I16" s="3"/>
      <c r="J16" s="3"/>
      <c r="K16" s="3">
        <f>M16-1.987*298.15/1000</f>
        <v>11.40757595</v>
      </c>
      <c r="L16" s="3"/>
      <c r="M16" s="3">
        <v>12</v>
      </c>
      <c r="N16" s="3">
        <f t="shared" si="2"/>
        <v>1.9730344247681069</v>
      </c>
      <c r="O16" s="1" t="s">
        <v>11</v>
      </c>
      <c r="P16" s="1"/>
      <c r="Q16" s="1" t="s">
        <v>39</v>
      </c>
    </row>
    <row r="17" spans="1:17" x14ac:dyDescent="0.35">
      <c r="A17" s="1" t="s">
        <v>40</v>
      </c>
      <c r="B17" s="2">
        <v>5.0999999999999998E-11</v>
      </c>
      <c r="C17" s="3">
        <f t="shared" si="0"/>
        <v>-23.699195483204221</v>
      </c>
      <c r="D17" s="1">
        <v>31.4</v>
      </c>
      <c r="E17" s="1">
        <v>23.8</v>
      </c>
      <c r="F17" s="1">
        <v>-7.6</v>
      </c>
      <c r="G17" s="4">
        <f t="shared" si="1"/>
        <v>24.392424050000002</v>
      </c>
      <c r="H17" s="1"/>
      <c r="I17" s="3"/>
      <c r="J17" s="3"/>
      <c r="K17" s="3"/>
      <c r="L17" s="3"/>
      <c r="M17" s="3"/>
      <c r="N17" s="3"/>
      <c r="O17" s="1" t="s">
        <v>11</v>
      </c>
      <c r="P17" s="1"/>
      <c r="Q17" s="1"/>
    </row>
    <row r="18" spans="1:17" x14ac:dyDescent="0.35">
      <c r="A18" s="1" t="s">
        <v>41</v>
      </c>
      <c r="B18" s="2">
        <v>3.7000000000000001E-11</v>
      </c>
      <c r="C18" s="3">
        <f t="shared" si="0"/>
        <v>-24.020103203284325</v>
      </c>
      <c r="D18" s="1">
        <v>31.4</v>
      </c>
      <c r="E18" s="1">
        <v>27.4</v>
      </c>
      <c r="F18" s="1">
        <v>-4.2</v>
      </c>
      <c r="G18" s="4">
        <f t="shared" si="1"/>
        <v>27.992424049999997</v>
      </c>
      <c r="H18" s="1"/>
      <c r="I18" s="3"/>
      <c r="J18" s="3"/>
      <c r="K18" s="3"/>
      <c r="L18" s="3"/>
      <c r="M18" s="3"/>
      <c r="N18" s="3"/>
      <c r="O18" s="1" t="s">
        <v>11</v>
      </c>
      <c r="P18" s="1" t="s">
        <v>18</v>
      </c>
      <c r="Q18" s="1"/>
    </row>
    <row r="19" spans="1:17" x14ac:dyDescent="0.35">
      <c r="A19" s="1" t="s">
        <v>42</v>
      </c>
      <c r="B19" s="2">
        <v>3.1999999999999999E-11</v>
      </c>
      <c r="C19" s="3">
        <f t="shared" si="0"/>
        <v>-24.165285213128822</v>
      </c>
      <c r="D19" s="1">
        <v>30.7</v>
      </c>
      <c r="E19" s="1">
        <v>24.7</v>
      </c>
      <c r="F19" s="1">
        <v>-6.9</v>
      </c>
      <c r="G19" s="4">
        <f t="shared" si="1"/>
        <v>25.292424050000001</v>
      </c>
      <c r="H19" s="1" t="s">
        <v>43</v>
      </c>
      <c r="I19" s="3">
        <f>VLOOKUP($A19,[1]Sheet4!$A$2:$N$12,9,FALSE)</f>
        <v>1.2</v>
      </c>
      <c r="J19" s="3">
        <f>VLOOKUP($A19,[1]Sheet4!$A$2:$N$12,11,FALSE)</f>
        <v>17.5</v>
      </c>
      <c r="K19" s="3">
        <f>VLOOKUP($A19,[1]Sheet4!$A$2:$N$12,12,FALSE)</f>
        <v>12.3</v>
      </c>
      <c r="L19" s="3">
        <f>VLOOKUP($A19,[1]Sheet4!$A$2:$N$13,13,FALSE)</f>
        <v>-5.2</v>
      </c>
      <c r="M19" s="3">
        <f>K19+1.987*298.15/1000</f>
        <v>12.892424050000001</v>
      </c>
      <c r="N19" s="3">
        <f t="shared" si="2"/>
        <v>2.0753121817040832</v>
      </c>
      <c r="O19" s="1" t="s">
        <v>11</v>
      </c>
      <c r="P19" s="1"/>
      <c r="Q19" s="1"/>
    </row>
    <row r="20" spans="1:17" x14ac:dyDescent="0.35">
      <c r="A20" s="1" t="s">
        <v>44</v>
      </c>
      <c r="B20" s="2">
        <v>6.4104316000678899E-10</v>
      </c>
      <c r="C20" s="3">
        <f t="shared" si="0"/>
        <v>-21.167924328970713</v>
      </c>
      <c r="D20" s="3">
        <v>29.991776210566513</v>
      </c>
      <c r="E20" s="3">
        <v>31.737646992267884</v>
      </c>
      <c r="F20" s="3">
        <v>1.7458707817013703</v>
      </c>
      <c r="G20" s="4">
        <f t="shared" si="1"/>
        <v>32.330071042267882</v>
      </c>
      <c r="H20" s="1" t="s">
        <v>45</v>
      </c>
      <c r="I20" s="3">
        <f>3.6*10^-4</f>
        <v>3.6000000000000002E-4</v>
      </c>
      <c r="J20" s="3">
        <f>VLOOKUP($A20,[1]Sheet4!$A$2:$N$12,11,FALSE)</f>
        <v>22.1</v>
      </c>
      <c r="K20" s="3">
        <f>VLOOKUP($A20,[1]Sheet4!$A$2:$N$12,12,FALSE)</f>
        <v>9.9</v>
      </c>
      <c r="L20" s="3">
        <f>VLOOKUP($A20,[1]Sheet4!$A$2:$N$13,13,FALSE)</f>
        <v>-12.2</v>
      </c>
      <c r="M20" s="3">
        <f>K20+1.987*298.15/1000</f>
        <v>10.49242405</v>
      </c>
      <c r="N20" s="3">
        <f t="shared" si="2"/>
        <v>1.8115757676869899</v>
      </c>
      <c r="O20" s="1" t="s">
        <v>46</v>
      </c>
      <c r="P20" s="1"/>
      <c r="Q20" s="1" t="s">
        <v>47</v>
      </c>
    </row>
    <row r="21" spans="1:17" x14ac:dyDescent="0.35">
      <c r="A21" s="1" t="s">
        <v>48</v>
      </c>
      <c r="B21" s="2">
        <v>1.0999999999999999E-10</v>
      </c>
      <c r="C21" s="3">
        <f t="shared" si="0"/>
        <v>-22.930540750136132</v>
      </c>
      <c r="D21" s="1">
        <v>30.9</v>
      </c>
      <c r="E21" s="1">
        <v>21.9</v>
      </c>
      <c r="F21" s="1">
        <v>-9</v>
      </c>
      <c r="G21" s="4">
        <f t="shared" si="1"/>
        <v>22.492424049999997</v>
      </c>
      <c r="H21" s="1"/>
      <c r="I21" s="3"/>
      <c r="J21" s="3"/>
      <c r="K21" s="3"/>
      <c r="L21" s="3"/>
      <c r="M21" s="3"/>
      <c r="N21" s="3"/>
      <c r="O21" s="1" t="s">
        <v>11</v>
      </c>
      <c r="P21" s="1" t="s">
        <v>49</v>
      </c>
      <c r="Q21" s="1"/>
    </row>
    <row r="22" spans="1:17" x14ac:dyDescent="0.35">
      <c r="A22" s="1" t="s">
        <v>50</v>
      </c>
      <c r="B22" s="2">
        <v>2.4E-10</v>
      </c>
      <c r="C22" s="3">
        <f t="shared" si="0"/>
        <v>-22.150382192586555</v>
      </c>
      <c r="D22" s="1">
        <v>30.6</v>
      </c>
      <c r="E22" s="1">
        <v>30</v>
      </c>
      <c r="F22" s="1">
        <v>-0.6</v>
      </c>
      <c r="G22" s="4">
        <f t="shared" si="1"/>
        <v>30.592424049999998</v>
      </c>
      <c r="H22" s="1"/>
      <c r="I22" s="3"/>
      <c r="J22" s="3"/>
      <c r="K22" s="3"/>
      <c r="L22" s="3"/>
      <c r="M22" s="3"/>
      <c r="N22" s="3"/>
      <c r="O22" s="1" t="s">
        <v>11</v>
      </c>
      <c r="P22" s="1"/>
      <c r="Q22" s="1"/>
    </row>
    <row r="23" spans="1:17" x14ac:dyDescent="0.35">
      <c r="A23" s="1" t="s">
        <v>51</v>
      </c>
      <c r="B23" s="2">
        <v>2.7E-10</v>
      </c>
      <c r="C23" s="3">
        <f t="shared" si="0"/>
        <v>-22.032599156930175</v>
      </c>
      <c r="D23" s="1">
        <v>30.4</v>
      </c>
      <c r="E23" s="1">
        <v>22.1</v>
      </c>
      <c r="F23" s="1">
        <v>-8.3000000000000007</v>
      </c>
      <c r="G23" s="4">
        <f t="shared" si="1"/>
        <v>22.69242405</v>
      </c>
      <c r="H23" s="1" t="s">
        <v>52</v>
      </c>
      <c r="I23" s="3">
        <f>VLOOKUP($A23,[1]Sheet4!$A$2:$N$12,9,FALSE)</f>
        <v>300</v>
      </c>
      <c r="J23" s="3">
        <f>VLOOKUP($A23,[1]Sheet4!$A$2:$N$12,11,FALSE)</f>
        <v>14</v>
      </c>
      <c r="K23" s="3">
        <f>VLOOKUP($A23,[1]Sheet4!$A$2:$N$12,12,FALSE)</f>
        <v>14.9</v>
      </c>
      <c r="L23" s="3">
        <f>VLOOKUP($A23,[1]Sheet4!$A$2:$N$13,13,FALSE)</f>
        <v>0.9</v>
      </c>
      <c r="M23" s="3">
        <f>K23+1.987*298.15/1000</f>
        <v>15.49242405</v>
      </c>
      <c r="N23" s="3">
        <f t="shared" si="2"/>
        <v>2.4045249007838367</v>
      </c>
      <c r="O23" s="1" t="s">
        <v>11</v>
      </c>
      <c r="P23" s="1"/>
      <c r="Q23" s="1" t="s">
        <v>53</v>
      </c>
    </row>
    <row r="24" spans="1:17" x14ac:dyDescent="0.35">
      <c r="A24" s="1" t="s">
        <v>54</v>
      </c>
      <c r="B24" s="2">
        <v>4.6000000000000001E-10</v>
      </c>
      <c r="C24" s="3">
        <f t="shared" si="0"/>
        <v>-21.499794626445407</v>
      </c>
      <c r="D24" s="1">
        <v>30.1</v>
      </c>
      <c r="E24" s="1">
        <v>22.5</v>
      </c>
      <c r="F24" s="1">
        <v>-7.6</v>
      </c>
      <c r="G24" s="4">
        <f t="shared" si="1"/>
        <v>23.092424049999998</v>
      </c>
      <c r="H24" s="1"/>
      <c r="I24" s="3"/>
      <c r="J24" s="3"/>
      <c r="K24" s="3"/>
      <c r="L24" s="3"/>
      <c r="M24" s="3"/>
      <c r="N24" s="3"/>
      <c r="O24" s="1" t="s">
        <v>11</v>
      </c>
      <c r="P24" s="1" t="s">
        <v>49</v>
      </c>
      <c r="Q24" s="1"/>
    </row>
    <row r="25" spans="1:17" x14ac:dyDescent="0.35">
      <c r="A25" s="1" t="s">
        <v>55</v>
      </c>
      <c r="B25" s="2">
        <v>2.1999999999999999E-10</v>
      </c>
      <c r="C25" s="3">
        <f t="shared" si="0"/>
        <v>-22.237393569576188</v>
      </c>
      <c r="D25" s="1">
        <v>29.2</v>
      </c>
      <c r="E25" s="1">
        <v>28.7</v>
      </c>
      <c r="F25" s="1">
        <v>-0.4</v>
      </c>
      <c r="G25" s="4">
        <f t="shared" si="1"/>
        <v>29.292424050000001</v>
      </c>
      <c r="H25" s="1"/>
      <c r="I25" s="3"/>
      <c r="J25" s="3"/>
      <c r="K25" s="3"/>
      <c r="L25" s="3"/>
      <c r="M25" s="3"/>
      <c r="N25" s="3"/>
      <c r="O25" s="1" t="s">
        <v>11</v>
      </c>
      <c r="P25" s="1"/>
      <c r="Q25" s="1"/>
    </row>
    <row r="26" spans="1:17" x14ac:dyDescent="0.35">
      <c r="A26" s="1" t="s">
        <v>56</v>
      </c>
      <c r="B26" s="2">
        <v>2E-8</v>
      </c>
      <c r="C26" s="3">
        <f t="shared" si="0"/>
        <v>-17.72753356339242</v>
      </c>
      <c r="D26" s="1">
        <v>28.1</v>
      </c>
      <c r="E26" s="1">
        <v>22.6</v>
      </c>
      <c r="F26" s="1">
        <v>-5.5</v>
      </c>
      <c r="G26" s="4">
        <f t="shared" si="1"/>
        <v>23.19242405</v>
      </c>
      <c r="H26" s="1" t="s">
        <v>57</v>
      </c>
      <c r="I26" s="3"/>
      <c r="J26" s="3"/>
      <c r="K26" s="3"/>
      <c r="L26" s="3"/>
      <c r="M26" s="3"/>
      <c r="N26" s="3"/>
      <c r="O26" s="1" t="s">
        <v>11</v>
      </c>
      <c r="P26" s="1"/>
      <c r="Q26" s="1"/>
    </row>
    <row r="27" spans="1:17" x14ac:dyDescent="0.35">
      <c r="A27" s="1" t="s">
        <v>58</v>
      </c>
      <c r="B27" s="2">
        <v>2.7E-8</v>
      </c>
      <c r="C27" s="3">
        <f t="shared" si="0"/>
        <v>-17.427428970942081</v>
      </c>
      <c r="D27" s="1">
        <v>27.7</v>
      </c>
      <c r="E27" s="1">
        <v>26.6</v>
      </c>
      <c r="F27" s="1">
        <v>-1.1000000000000001</v>
      </c>
      <c r="G27" s="4">
        <f t="shared" si="1"/>
        <v>27.19242405</v>
      </c>
      <c r="H27" s="1"/>
      <c r="I27" s="3"/>
      <c r="J27" s="3"/>
      <c r="K27" s="3"/>
      <c r="L27" s="3"/>
      <c r="M27" s="3"/>
      <c r="N27" s="3"/>
      <c r="O27" s="1" t="s">
        <v>11</v>
      </c>
      <c r="P27" s="1"/>
      <c r="Q27" s="1"/>
    </row>
    <row r="28" spans="1:17" x14ac:dyDescent="0.35">
      <c r="A28" s="1" t="s">
        <v>59</v>
      </c>
      <c r="B28" s="2">
        <v>2.9000000000000002E-8</v>
      </c>
      <c r="C28" s="3">
        <f t="shared" si="0"/>
        <v>-17.355970006959936</v>
      </c>
      <c r="D28" s="1">
        <v>27.7</v>
      </c>
      <c r="E28" s="1">
        <v>26</v>
      </c>
      <c r="F28" s="1">
        <v>-1.7</v>
      </c>
      <c r="G28" s="4">
        <f t="shared" si="1"/>
        <v>26.592424049999998</v>
      </c>
      <c r="H28" s="1"/>
      <c r="I28" s="3"/>
      <c r="J28" s="3"/>
      <c r="K28" s="3"/>
      <c r="L28" s="3"/>
      <c r="M28" s="3"/>
      <c r="N28" s="3"/>
      <c r="O28" s="1" t="s">
        <v>11</v>
      </c>
      <c r="P28" s="1"/>
      <c r="Q28" s="1"/>
    </row>
    <row r="29" spans="1:17" x14ac:dyDescent="0.35">
      <c r="A29" s="1" t="s">
        <v>60</v>
      </c>
      <c r="B29" s="2">
        <v>4.0000000000000001E-8</v>
      </c>
      <c r="C29" s="3">
        <f t="shared" si="0"/>
        <v>-17.034386382832476</v>
      </c>
      <c r="D29" s="1">
        <v>27.5</v>
      </c>
      <c r="E29" s="1">
        <v>22.9</v>
      </c>
      <c r="F29" s="1">
        <v>-4.5</v>
      </c>
      <c r="G29" s="4">
        <f t="shared" si="1"/>
        <v>23.492424049999997</v>
      </c>
      <c r="H29" s="1"/>
      <c r="I29" s="3"/>
      <c r="J29" s="3"/>
      <c r="K29" s="3"/>
      <c r="L29" s="3"/>
      <c r="M29" s="3"/>
      <c r="N29" s="3"/>
      <c r="O29" s="1" t="s">
        <v>11</v>
      </c>
      <c r="P29" s="1"/>
      <c r="Q29" s="1"/>
    </row>
    <row r="30" spans="1:17" x14ac:dyDescent="0.35">
      <c r="A30" s="1" t="s">
        <v>61</v>
      </c>
      <c r="B30" s="2">
        <v>1.1999999999999999E-7</v>
      </c>
      <c r="C30" s="3">
        <f t="shared" si="0"/>
        <v>-15.935774094164366</v>
      </c>
      <c r="D30" s="1">
        <v>26.8</v>
      </c>
      <c r="E30" s="1">
        <v>25.7</v>
      </c>
      <c r="F30" s="1">
        <v>-1.1000000000000001</v>
      </c>
      <c r="G30" s="4">
        <f t="shared" si="1"/>
        <v>26.292424050000001</v>
      </c>
      <c r="H30" s="1"/>
      <c r="I30" s="3"/>
      <c r="J30" s="3"/>
      <c r="K30" s="3"/>
      <c r="L30" s="3"/>
      <c r="M30" s="3"/>
      <c r="N30" s="3"/>
      <c r="O30" s="1" t="s">
        <v>11</v>
      </c>
      <c r="P30" s="1"/>
      <c r="Q30" s="1"/>
    </row>
    <row r="31" spans="1:17" x14ac:dyDescent="0.35">
      <c r="A31" s="1" t="s">
        <v>62</v>
      </c>
      <c r="B31" s="2">
        <v>1.9E-3</v>
      </c>
      <c r="C31" s="3">
        <f t="shared" si="0"/>
        <v>-6.2659013928097425</v>
      </c>
      <c r="D31" s="1">
        <v>21.1</v>
      </c>
      <c r="E31" s="1">
        <v>22.1</v>
      </c>
      <c r="F31" s="1">
        <v>1</v>
      </c>
      <c r="G31" s="4">
        <f t="shared" si="1"/>
        <v>22.69242405</v>
      </c>
      <c r="H31" s="1"/>
      <c r="I31" s="3"/>
      <c r="J31" s="3"/>
      <c r="K31" s="3"/>
      <c r="L31" s="3"/>
      <c r="M31" s="3"/>
      <c r="N31" s="3"/>
      <c r="O31" s="1" t="s">
        <v>11</v>
      </c>
      <c r="P31" s="1"/>
      <c r="Q31" s="1"/>
    </row>
    <row r="32" spans="1:17" x14ac:dyDescent="0.35">
      <c r="A32" s="1" t="s">
        <v>63</v>
      </c>
      <c r="B32" s="2">
        <v>1.0000000000000001E-15</v>
      </c>
      <c r="C32" s="3">
        <f t="shared" si="0"/>
        <v>-34.538776394910684</v>
      </c>
      <c r="D32" s="1">
        <v>37.9</v>
      </c>
      <c r="E32" s="1">
        <v>35</v>
      </c>
      <c r="F32" s="1">
        <v>-2.5</v>
      </c>
      <c r="G32" s="4">
        <f t="shared" si="1"/>
        <v>35.592424049999998</v>
      </c>
      <c r="H32" s="1"/>
      <c r="I32" s="3"/>
      <c r="J32" s="3"/>
      <c r="K32" s="3"/>
      <c r="L32" s="3"/>
      <c r="M32" s="3"/>
      <c r="N32" s="3"/>
      <c r="O32" s="1" t="s">
        <v>64</v>
      </c>
      <c r="P32" s="1"/>
      <c r="Q32" s="1"/>
    </row>
    <row r="33" spans="1:17" x14ac:dyDescent="0.35">
      <c r="A33" s="1" t="s">
        <v>65</v>
      </c>
      <c r="B33" s="2">
        <v>5.0000000000000002E-11</v>
      </c>
      <c r="C33" s="3">
        <f t="shared" si="0"/>
        <v>-23.718998110500401</v>
      </c>
      <c r="D33" s="1">
        <v>31.4</v>
      </c>
      <c r="E33" s="1">
        <v>27.3</v>
      </c>
      <c r="F33" s="1">
        <v>-4.0999999999999996</v>
      </c>
      <c r="G33" s="4">
        <f t="shared" si="1"/>
        <v>27.892424050000002</v>
      </c>
      <c r="H33" s="1" t="s">
        <v>66</v>
      </c>
      <c r="I33" s="3"/>
      <c r="J33" s="3"/>
      <c r="K33" s="3">
        <f>M33-1.987*298.15/1000</f>
        <v>11.65757595</v>
      </c>
      <c r="L33" s="3"/>
      <c r="M33" s="3">
        <f>(11.5+13)/2</f>
        <v>12.25</v>
      </c>
      <c r="N33" s="3">
        <f t="shared" si="2"/>
        <v>2.0011668568927758</v>
      </c>
      <c r="O33" s="1" t="s">
        <v>64</v>
      </c>
      <c r="P33" s="1"/>
      <c r="Q33" s="1" t="s">
        <v>67</v>
      </c>
    </row>
    <row r="34" spans="1:17" x14ac:dyDescent="0.35">
      <c r="A34" s="1" t="s">
        <v>68</v>
      </c>
      <c r="B34" s="2">
        <v>3.3E-15</v>
      </c>
      <c r="C34" s="3">
        <f t="shared" si="0"/>
        <v>-33.344853926438248</v>
      </c>
      <c r="D34" s="1">
        <v>37.1</v>
      </c>
      <c r="E34" s="1">
        <v>32</v>
      </c>
      <c r="F34" s="1">
        <v>-5.0999999999999996</v>
      </c>
      <c r="G34" s="4">
        <f t="shared" si="1"/>
        <v>32.592424049999998</v>
      </c>
      <c r="H34" s="1"/>
      <c r="I34" s="3"/>
      <c r="J34" s="3"/>
      <c r="K34" s="3"/>
      <c r="L34" s="3"/>
      <c r="M34" s="3"/>
      <c r="N34" s="3"/>
      <c r="O34" s="1" t="s">
        <v>64</v>
      </c>
      <c r="P34" s="1"/>
      <c r="Q34" s="1"/>
    </row>
    <row r="35" spans="1:17" x14ac:dyDescent="0.35">
      <c r="A35" s="1" t="s">
        <v>69</v>
      </c>
      <c r="B35" s="2">
        <v>2.3000000000000001E-10</v>
      </c>
      <c r="C35" s="3">
        <f t="shared" si="0"/>
        <v>-22.192941807005354</v>
      </c>
      <c r="D35" s="1">
        <v>30.5</v>
      </c>
      <c r="E35" s="1">
        <v>28</v>
      </c>
      <c r="F35" s="1">
        <v>-2.5</v>
      </c>
      <c r="G35" s="4">
        <f t="shared" si="1"/>
        <v>28.592424049999998</v>
      </c>
      <c r="H35" s="1"/>
      <c r="I35" s="3">
        <v>7.6371453333333297E-2</v>
      </c>
      <c r="J35" s="3">
        <v>18.975190077803529</v>
      </c>
      <c r="K35" s="3">
        <v>9.6591538597183746</v>
      </c>
      <c r="L35" s="3">
        <v>-9.3160362180851539</v>
      </c>
      <c r="M35" s="3">
        <f>K35+1.987*298.15/1000</f>
        <v>10.251577909718375</v>
      </c>
      <c r="N35" s="3"/>
      <c r="O35" s="1" t="s">
        <v>64</v>
      </c>
      <c r="P35" s="1"/>
      <c r="Q35" s="1" t="s">
        <v>70</v>
      </c>
    </row>
    <row r="36" spans="1:17" x14ac:dyDescent="0.35">
      <c r="A36" s="1" t="s">
        <v>71</v>
      </c>
      <c r="B36" s="2">
        <v>1.1000000000000001E-7</v>
      </c>
      <c r="C36" s="3">
        <f t="shared" si="0"/>
        <v>-16.022785471153995</v>
      </c>
      <c r="D36" s="1">
        <v>26.8</v>
      </c>
      <c r="E36" s="1">
        <v>15.9</v>
      </c>
      <c r="F36" s="1">
        <v>-10.9</v>
      </c>
      <c r="G36" s="4">
        <f t="shared" si="1"/>
        <v>16.49242405</v>
      </c>
      <c r="H36" s="1"/>
      <c r="I36" s="3"/>
      <c r="J36" s="3"/>
      <c r="K36" s="3"/>
      <c r="L36" s="3"/>
      <c r="M36" s="3"/>
      <c r="N36" s="3"/>
      <c r="O36" s="1" t="s">
        <v>64</v>
      </c>
      <c r="P36" s="1"/>
      <c r="Q36" s="1"/>
    </row>
    <row r="37" spans="1:17" x14ac:dyDescent="0.35">
      <c r="A37" s="1" t="s">
        <v>72</v>
      </c>
      <c r="B37" s="2">
        <v>8.0000000000000002E-8</v>
      </c>
      <c r="C37" s="3">
        <f t="shared" si="0"/>
        <v>-16.341239202272529</v>
      </c>
      <c r="D37" s="1">
        <v>27</v>
      </c>
      <c r="E37" s="1">
        <v>16.600000000000001</v>
      </c>
      <c r="F37" s="1">
        <v>-10.4</v>
      </c>
      <c r="G37" s="4">
        <f t="shared" si="1"/>
        <v>17.19242405</v>
      </c>
      <c r="H37" s="1"/>
      <c r="I37" s="3"/>
      <c r="J37" s="3"/>
      <c r="K37" s="3"/>
      <c r="L37" s="3"/>
      <c r="M37" s="3"/>
      <c r="N37" s="3"/>
      <c r="O37" s="1" t="s">
        <v>64</v>
      </c>
      <c r="P37" s="1"/>
      <c r="Q37" s="1"/>
    </row>
    <row r="38" spans="1:17" x14ac:dyDescent="0.35">
      <c r="A38" s="1" t="s">
        <v>73</v>
      </c>
      <c r="B38" s="2">
        <v>1.6E-11</v>
      </c>
      <c r="C38" s="3">
        <f t="shared" si="0"/>
        <v>-24.858432393688766</v>
      </c>
      <c r="D38" s="1">
        <v>33.6</v>
      </c>
      <c r="E38" s="1">
        <v>27.4</v>
      </c>
      <c r="F38" s="1">
        <v>-6.2</v>
      </c>
      <c r="G38" s="4">
        <f t="shared" si="1"/>
        <v>27.992424049999997</v>
      </c>
      <c r="H38" s="1"/>
      <c r="I38" s="3"/>
      <c r="J38" s="3"/>
      <c r="K38" s="3"/>
      <c r="L38" s="3"/>
      <c r="M38" s="3"/>
      <c r="N38" s="3"/>
      <c r="O38" s="1" t="s">
        <v>64</v>
      </c>
      <c r="P38" s="1"/>
      <c r="Q38" s="1"/>
    </row>
    <row r="39" spans="1:17" x14ac:dyDescent="0.35">
      <c r="A39" s="1" t="s">
        <v>74</v>
      </c>
      <c r="B39" s="2">
        <v>1.8E-12</v>
      </c>
      <c r="C39" s="3">
        <f t="shared" si="0"/>
        <v>-27.043234451026429</v>
      </c>
      <c r="D39" s="1">
        <v>34.299999999999997</v>
      </c>
      <c r="E39" s="1">
        <v>29.1</v>
      </c>
      <c r="F39" s="1">
        <v>-5.3</v>
      </c>
      <c r="G39" s="4">
        <f t="shared" si="1"/>
        <v>29.69242405</v>
      </c>
      <c r="H39" s="1"/>
      <c r="I39" s="3"/>
      <c r="J39" s="3"/>
      <c r="K39" s="3"/>
      <c r="L39" s="3"/>
      <c r="M39" s="3"/>
      <c r="N39" s="3"/>
      <c r="O39" s="1" t="s">
        <v>64</v>
      </c>
      <c r="P39" s="1"/>
      <c r="Q39" s="1"/>
    </row>
    <row r="40" spans="1:17" x14ac:dyDescent="0.35">
      <c r="A40" s="1" t="s">
        <v>75</v>
      </c>
      <c r="B40" s="2">
        <v>7.5E-11</v>
      </c>
      <c r="C40" s="3">
        <f t="shared" si="0"/>
        <v>-23.313533002392237</v>
      </c>
      <c r="D40" s="1">
        <v>30.7</v>
      </c>
      <c r="E40" s="1">
        <v>24.8</v>
      </c>
      <c r="F40" s="1">
        <v>-5.9</v>
      </c>
      <c r="G40" s="4">
        <f t="shared" si="1"/>
        <v>25.392424050000002</v>
      </c>
      <c r="H40" s="1"/>
      <c r="I40" s="3"/>
      <c r="J40" s="3"/>
      <c r="K40" s="3"/>
      <c r="L40" s="3"/>
      <c r="M40" s="3"/>
      <c r="N40" s="3"/>
      <c r="O40" s="1" t="s">
        <v>64</v>
      </c>
      <c r="P40" s="1"/>
      <c r="Q40" s="1"/>
    </row>
    <row r="41" spans="1:17" x14ac:dyDescent="0.35">
      <c r="A41" s="1" t="s">
        <v>76</v>
      </c>
      <c r="B41" s="2">
        <v>1.2999999999999999E-10</v>
      </c>
      <c r="C41" s="3">
        <f t="shared" si="0"/>
        <v>-22.763486665472964</v>
      </c>
      <c r="D41" s="1">
        <v>30.8</v>
      </c>
      <c r="E41" s="1">
        <v>19.8</v>
      </c>
      <c r="F41" s="1">
        <v>-10.8</v>
      </c>
      <c r="G41" s="4">
        <f t="shared" si="1"/>
        <v>20.392424050000002</v>
      </c>
      <c r="H41" s="1"/>
      <c r="I41" s="3"/>
      <c r="J41" s="3"/>
      <c r="K41" s="3"/>
      <c r="L41" s="3"/>
      <c r="M41" s="3"/>
      <c r="N41" s="3"/>
      <c r="O41" s="1" t="s">
        <v>64</v>
      </c>
      <c r="P41" s="1"/>
      <c r="Q41" s="1"/>
    </row>
    <row r="42" spans="1:17" x14ac:dyDescent="0.35">
      <c r="A42" s="1" t="s">
        <v>77</v>
      </c>
      <c r="B42" s="2">
        <v>4.3999999999999998E-10</v>
      </c>
      <c r="C42" s="3">
        <f t="shared" si="0"/>
        <v>-21.544246389016241</v>
      </c>
      <c r="D42" s="1">
        <v>30.1</v>
      </c>
      <c r="E42" s="1">
        <v>20.5</v>
      </c>
      <c r="F42" s="1">
        <v>-9.6999999999999993</v>
      </c>
      <c r="G42" s="4">
        <f t="shared" si="1"/>
        <v>21.092424049999998</v>
      </c>
      <c r="H42" s="1"/>
      <c r="I42" s="3"/>
      <c r="J42" s="3"/>
      <c r="K42" s="3"/>
      <c r="L42" s="3"/>
      <c r="M42" s="3"/>
      <c r="N42" s="3"/>
      <c r="O42" s="1" t="s">
        <v>64</v>
      </c>
      <c r="P42" s="1"/>
      <c r="Q42" s="1"/>
    </row>
    <row r="43" spans="1:17" x14ac:dyDescent="0.35">
      <c r="A43" s="1" t="s">
        <v>78</v>
      </c>
      <c r="B43" s="2">
        <v>1.0999999999999999E-10</v>
      </c>
      <c r="C43" s="3">
        <f t="shared" si="0"/>
        <v>-22.930540750136132</v>
      </c>
      <c r="D43" s="1">
        <v>31</v>
      </c>
      <c r="E43" s="1">
        <v>21.6</v>
      </c>
      <c r="F43" s="1">
        <v>-9.4</v>
      </c>
      <c r="G43" s="4">
        <f t="shared" si="1"/>
        <v>22.19242405</v>
      </c>
      <c r="H43" s="1"/>
      <c r="I43" s="3"/>
      <c r="J43" s="3"/>
      <c r="K43" s="3"/>
      <c r="L43" s="3"/>
      <c r="M43" s="3"/>
      <c r="N43" s="3"/>
      <c r="O43" s="1" t="s">
        <v>64</v>
      </c>
      <c r="P43" s="1"/>
      <c r="Q43" s="1"/>
    </row>
    <row r="44" spans="1:17" x14ac:dyDescent="0.35">
      <c r="A44" s="1" t="s">
        <v>79</v>
      </c>
      <c r="B44" s="2">
        <v>3.1999999999999999E-11</v>
      </c>
      <c r="C44" s="3">
        <f t="shared" si="0"/>
        <v>-24.165285213128822</v>
      </c>
      <c r="D44" s="1">
        <v>31.7</v>
      </c>
      <c r="E44" s="1">
        <v>24.7</v>
      </c>
      <c r="F44" s="1">
        <v>-7</v>
      </c>
      <c r="G44" s="4">
        <f t="shared" si="1"/>
        <v>25.292424050000001</v>
      </c>
      <c r="H44" s="1"/>
      <c r="I44" s="3"/>
      <c r="J44" s="3"/>
      <c r="K44" s="3"/>
      <c r="L44" s="3"/>
      <c r="M44" s="3"/>
      <c r="N44" s="3"/>
      <c r="O44" s="1" t="s">
        <v>64</v>
      </c>
      <c r="P44" s="1"/>
      <c r="Q44" s="1"/>
    </row>
    <row r="45" spans="1:17" x14ac:dyDescent="0.35">
      <c r="A45" s="1" t="s">
        <v>80</v>
      </c>
      <c r="B45" s="2">
        <v>8.9999999999999999E-18</v>
      </c>
      <c r="C45" s="3">
        <f t="shared" si="0"/>
        <v>-39.249307096556606</v>
      </c>
      <c r="D45" s="1">
        <v>40.6</v>
      </c>
      <c r="E45" s="1">
        <v>41.2</v>
      </c>
      <c r="F45" s="1">
        <v>0.7</v>
      </c>
      <c r="G45" s="4">
        <f t="shared" si="1"/>
        <v>41.792424050000001</v>
      </c>
      <c r="H45" s="1"/>
      <c r="I45" s="3"/>
      <c r="J45" s="3"/>
      <c r="K45" s="3"/>
      <c r="L45" s="3"/>
      <c r="M45" s="3"/>
      <c r="N45" s="3"/>
      <c r="O45" s="1" t="s">
        <v>64</v>
      </c>
      <c r="P45" s="1"/>
      <c r="Q45" s="1"/>
    </row>
    <row r="46" spans="1:17" x14ac:dyDescent="0.35">
      <c r="A46" s="1" t="s">
        <v>81</v>
      </c>
      <c r="B46" s="2">
        <v>3.9000000000000002E-9</v>
      </c>
      <c r="C46" s="3">
        <f t="shared" si="0"/>
        <v>-19.36228928381081</v>
      </c>
      <c r="D46" s="1">
        <v>28.8</v>
      </c>
      <c r="E46" s="1">
        <v>22.8</v>
      </c>
      <c r="F46" s="1">
        <v>-6</v>
      </c>
      <c r="G46" s="4">
        <f t="shared" si="1"/>
        <v>23.392424050000002</v>
      </c>
      <c r="H46" s="1" t="s">
        <v>82</v>
      </c>
      <c r="I46" s="3">
        <v>10000</v>
      </c>
      <c r="J46" s="3">
        <v>12</v>
      </c>
      <c r="K46" s="3">
        <v>15.2</v>
      </c>
      <c r="L46" s="3">
        <v>3.2</v>
      </c>
      <c r="M46" s="3">
        <f>K46+1.987*298.15/1000</f>
        <v>15.792424049999999</v>
      </c>
      <c r="N46" s="3">
        <f t="shared" si="2"/>
        <v>2.4457251271089868</v>
      </c>
      <c r="O46" s="1" t="s">
        <v>64</v>
      </c>
      <c r="P46" s="1"/>
      <c r="Q46" s="1" t="s">
        <v>83</v>
      </c>
    </row>
    <row r="47" spans="1:17" x14ac:dyDescent="0.35">
      <c r="A47" s="1" t="s">
        <v>81</v>
      </c>
      <c r="B47" s="2">
        <v>3.9000000000000002E-9</v>
      </c>
      <c r="C47" s="3">
        <f t="shared" si="0"/>
        <v>-19.36228928381081</v>
      </c>
      <c r="D47" s="1">
        <v>28.8</v>
      </c>
      <c r="E47" s="1">
        <v>22.8</v>
      </c>
      <c r="F47" s="1">
        <v>-6</v>
      </c>
      <c r="G47" s="4">
        <f t="shared" si="1"/>
        <v>23.392424050000002</v>
      </c>
      <c r="H47" s="1" t="s">
        <v>84</v>
      </c>
      <c r="I47" s="3">
        <v>180000</v>
      </c>
      <c r="J47" s="3">
        <v>10.3</v>
      </c>
      <c r="K47" s="3">
        <v>10.1</v>
      </c>
      <c r="L47" s="3">
        <v>-0.2</v>
      </c>
      <c r="M47" s="3">
        <f t="shared" ref="M47:M48" si="4">K47+1.987*298.15/1000</f>
        <v>10.69242405</v>
      </c>
      <c r="N47" s="3">
        <f t="shared" si="2"/>
        <v>1.8322106947007906</v>
      </c>
      <c r="O47" s="1" t="s">
        <v>64</v>
      </c>
      <c r="P47" s="1"/>
      <c r="Q47" s="1" t="s">
        <v>85</v>
      </c>
    </row>
    <row r="48" spans="1:17" x14ac:dyDescent="0.35">
      <c r="A48" s="1" t="s">
        <v>81</v>
      </c>
      <c r="B48" s="2">
        <v>3.9000000000000002E-9</v>
      </c>
      <c r="C48" s="3">
        <f t="shared" si="0"/>
        <v>-19.36228928381081</v>
      </c>
      <c r="D48" s="1">
        <v>28.8</v>
      </c>
      <c r="E48" s="1">
        <v>22.8</v>
      </c>
      <c r="F48" s="1">
        <v>-6</v>
      </c>
      <c r="G48" s="4">
        <f t="shared" si="1"/>
        <v>23.392424050000002</v>
      </c>
      <c r="H48" s="1" t="s">
        <v>86</v>
      </c>
      <c r="I48" s="3">
        <v>1800000</v>
      </c>
      <c r="J48" s="3">
        <v>8.9</v>
      </c>
      <c r="K48" s="3">
        <v>9.4</v>
      </c>
      <c r="L48" s="3">
        <v>0.6</v>
      </c>
      <c r="M48" s="3">
        <f t="shared" si="4"/>
        <v>9.9924240500000003</v>
      </c>
      <c r="N48" s="3">
        <f t="shared" si="2"/>
        <v>1.7609994695603561</v>
      </c>
      <c r="O48" s="1" t="s">
        <v>64</v>
      </c>
      <c r="P48" s="1"/>
      <c r="Q48" s="1" t="s">
        <v>87</v>
      </c>
    </row>
    <row r="49" spans="1:17" x14ac:dyDescent="0.35">
      <c r="A49" s="1" t="s">
        <v>88</v>
      </c>
      <c r="B49" s="2">
        <v>8.0000000000000005E-9</v>
      </c>
      <c r="C49" s="3">
        <f t="shared" si="0"/>
        <v>-18.643824295266576</v>
      </c>
      <c r="D49" s="1">
        <v>28.4</v>
      </c>
      <c r="E49" s="1">
        <v>21.5</v>
      </c>
      <c r="F49" s="1">
        <v>-6.9</v>
      </c>
      <c r="G49" s="4">
        <f t="shared" si="1"/>
        <v>22.092424049999998</v>
      </c>
      <c r="H49" s="1"/>
      <c r="I49" s="3"/>
      <c r="J49" s="3"/>
      <c r="K49" s="3"/>
      <c r="L49" s="3"/>
      <c r="M49" s="3"/>
      <c r="N49" s="3"/>
      <c r="O49" s="1" t="s">
        <v>64</v>
      </c>
      <c r="P49" s="1"/>
      <c r="Q49" s="1"/>
    </row>
    <row r="50" spans="1:17" x14ac:dyDescent="0.35">
      <c r="A50" s="1" t="s">
        <v>89</v>
      </c>
      <c r="B50" s="2">
        <v>3.0000000000000001E-5</v>
      </c>
      <c r="C50" s="3">
        <f>LN(B50)</f>
        <v>-10.41431317630212</v>
      </c>
      <c r="D50" s="1">
        <v>23.5</v>
      </c>
      <c r="E50" s="1">
        <v>7.8</v>
      </c>
      <c r="F50" s="1">
        <v>-15.7</v>
      </c>
      <c r="G50" s="4">
        <f t="shared" si="1"/>
        <v>8.3924240499999989</v>
      </c>
      <c r="H50" s="1"/>
      <c r="I50" s="3"/>
      <c r="J50" s="3"/>
      <c r="K50" s="3"/>
      <c r="L50" s="3"/>
      <c r="M50" s="3"/>
      <c r="N50" s="3"/>
      <c r="O50" s="1" t="s">
        <v>64</v>
      </c>
      <c r="P50" s="1"/>
      <c r="Q50" s="1"/>
    </row>
    <row r="51" spans="1:17" x14ac:dyDescent="0.35">
      <c r="A51" s="1" t="s">
        <v>90</v>
      </c>
      <c r="B51" s="2">
        <v>1.08E-9</v>
      </c>
      <c r="C51" s="3">
        <f t="shared" si="0"/>
        <v>-20.646304795810284</v>
      </c>
      <c r="D51" s="1">
        <v>29.6</v>
      </c>
      <c r="E51" s="1">
        <v>25.3</v>
      </c>
      <c r="F51" s="1">
        <v>-4.3</v>
      </c>
      <c r="G51" s="4">
        <f t="shared" si="1"/>
        <v>25.892424050000002</v>
      </c>
      <c r="H51" s="1"/>
      <c r="I51" s="3"/>
      <c r="J51" s="3"/>
      <c r="K51" s="3"/>
      <c r="L51" s="3"/>
      <c r="M51" s="3"/>
      <c r="N51" s="3"/>
      <c r="O51" s="1" t="s">
        <v>91</v>
      </c>
      <c r="P51" s="1"/>
      <c r="Q51" s="1"/>
    </row>
    <row r="52" spans="1:17" x14ac:dyDescent="0.35">
      <c r="A52" s="1" t="s">
        <v>92</v>
      </c>
      <c r="B52" s="2">
        <v>1.88E-10</v>
      </c>
      <c r="C52" s="3">
        <f t="shared" si="0"/>
        <v>-22.394579153098601</v>
      </c>
      <c r="D52" s="1">
        <v>30.7</v>
      </c>
      <c r="E52" s="1">
        <v>23.4</v>
      </c>
      <c r="F52" s="1">
        <v>-7.4</v>
      </c>
      <c r="G52" s="4">
        <f t="shared" si="1"/>
        <v>23.992424049999997</v>
      </c>
      <c r="H52" s="1"/>
      <c r="I52" s="3"/>
      <c r="J52" s="3"/>
      <c r="K52" s="3"/>
      <c r="L52" s="3"/>
      <c r="M52" s="3"/>
      <c r="N52" s="3"/>
      <c r="O52" s="1" t="s">
        <v>91</v>
      </c>
      <c r="P52" s="1"/>
      <c r="Q52" s="1"/>
    </row>
    <row r="53" spans="1:17" x14ac:dyDescent="0.35">
      <c r="A53" s="1" t="s">
        <v>93</v>
      </c>
      <c r="B53" s="2">
        <v>4.9799999999999999E-11</v>
      </c>
      <c r="C53" s="3">
        <f t="shared" si="0"/>
        <v>-23.723006131897939</v>
      </c>
      <c r="D53" s="1">
        <v>31.4</v>
      </c>
      <c r="E53" s="1">
        <v>27.1</v>
      </c>
      <c r="F53" s="1">
        <v>-4.3499999999999996</v>
      </c>
      <c r="G53" s="4">
        <f t="shared" si="1"/>
        <v>27.69242405</v>
      </c>
      <c r="H53" s="1"/>
      <c r="I53" s="3"/>
      <c r="J53" s="3"/>
      <c r="K53" s="3"/>
      <c r="L53" s="3"/>
      <c r="M53" s="3"/>
      <c r="N53" s="3"/>
      <c r="O53" s="1" t="s">
        <v>91</v>
      </c>
      <c r="P53" s="1"/>
      <c r="Q53" s="1"/>
    </row>
    <row r="54" spans="1:17" x14ac:dyDescent="0.35">
      <c r="A54" s="1" t="s">
        <v>94</v>
      </c>
      <c r="B54" s="2">
        <v>1.3E-17</v>
      </c>
      <c r="C54" s="3">
        <f t="shared" si="0"/>
        <v>-38.881582316431285</v>
      </c>
      <c r="D54" s="1">
        <v>40.4</v>
      </c>
      <c r="E54" s="1">
        <v>42.8</v>
      </c>
      <c r="F54" s="1">
        <v>2.5</v>
      </c>
      <c r="G54" s="4">
        <f t="shared" si="1"/>
        <v>43.392424049999995</v>
      </c>
      <c r="H54" s="1"/>
      <c r="I54" s="3"/>
      <c r="J54" s="3"/>
      <c r="K54" s="3"/>
      <c r="L54" s="3"/>
      <c r="M54" s="3"/>
      <c r="N54" s="3"/>
      <c r="O54" s="1" t="s">
        <v>91</v>
      </c>
      <c r="P54" s="1"/>
      <c r="Q54" s="1"/>
    </row>
    <row r="55" spans="1:17" x14ac:dyDescent="0.35">
      <c r="A55" s="1" t="s">
        <v>95</v>
      </c>
      <c r="B55" s="2">
        <v>2.8000000000000001E-16</v>
      </c>
      <c r="C55" s="3">
        <f t="shared" si="0"/>
        <v>-35.811742070723575</v>
      </c>
      <c r="D55" s="1">
        <f>E55-F55</f>
        <v>38.5</v>
      </c>
      <c r="E55" s="1">
        <v>44.4</v>
      </c>
      <c r="F55" s="1">
        <v>5.9</v>
      </c>
      <c r="G55" s="4">
        <f t="shared" si="1"/>
        <v>44.992424049999997</v>
      </c>
      <c r="H55" s="1" t="s">
        <v>96</v>
      </c>
      <c r="I55" s="3">
        <v>39</v>
      </c>
      <c r="J55" s="3">
        <f>-1.987*298.15*(LN(I55)-23.76-LN(298.15))/1000</f>
        <v>15.281006721679361</v>
      </c>
      <c r="K55" s="3">
        <v>11</v>
      </c>
      <c r="L55" s="3">
        <f>K55-J55</f>
        <v>-4.2810067216793612</v>
      </c>
      <c r="M55" s="3">
        <f t="shared" ref="M55" si="5">K55+1.987*298.15/1000</f>
        <v>11.59242405</v>
      </c>
      <c r="N55" s="3">
        <f t="shared" si="2"/>
        <v>1.9280154666449478</v>
      </c>
      <c r="O55" s="1" t="s">
        <v>97</v>
      </c>
      <c r="P55" s="1"/>
      <c r="Q55" s="1"/>
    </row>
    <row r="56" spans="1:17" x14ac:dyDescent="0.35">
      <c r="A56" s="1" t="s">
        <v>98</v>
      </c>
      <c r="B56" s="2">
        <v>6.4583988758370042E-6</v>
      </c>
      <c r="C56" s="3">
        <f>LN(B56)</f>
        <v>-11.950129122927772</v>
      </c>
      <c r="D56" s="1">
        <v>24.5</v>
      </c>
      <c r="E56" s="1">
        <v>20.7</v>
      </c>
      <c r="F56" s="1">
        <v>-3.8</v>
      </c>
      <c r="G56" s="4">
        <f t="shared" si="1"/>
        <v>21.292424050000001</v>
      </c>
      <c r="H56" s="1" t="s">
        <v>99</v>
      </c>
      <c r="I56" s="3">
        <f>1.38064852E-23/6.62607004E-34*298.15*EXP(-J56*1000/(1.987*298.15))</f>
        <v>3.5139319471961374</v>
      </c>
      <c r="J56" s="3">
        <f>K56-L56</f>
        <v>16.706855000000001</v>
      </c>
      <c r="K56" s="3">
        <v>16.2</v>
      </c>
      <c r="L56" s="3">
        <f>-1.7*298.15/1000</f>
        <v>-0.50685499999999994</v>
      </c>
      <c r="M56" s="3">
        <f>K56+1.987*298.15/1000</f>
        <v>16.792424050000001</v>
      </c>
      <c r="N56" s="3">
        <f t="shared" si="2"/>
        <v>2.5882260304120539</v>
      </c>
      <c r="O56" s="1" t="s">
        <v>100</v>
      </c>
      <c r="P56" s="1"/>
      <c r="Q56" s="1" t="s">
        <v>101</v>
      </c>
    </row>
    <row r="57" spans="1:17" x14ac:dyDescent="0.35">
      <c r="A57" s="1" t="s">
        <v>98</v>
      </c>
      <c r="B57" s="2">
        <v>6.4583988758370042E-6</v>
      </c>
      <c r="C57" s="3">
        <f>LN(B57)</f>
        <v>-11.950129122927772</v>
      </c>
      <c r="D57" s="1">
        <v>24.5</v>
      </c>
      <c r="E57" s="1">
        <v>20.7</v>
      </c>
      <c r="F57" s="1">
        <v>-3.8</v>
      </c>
      <c r="G57" s="4">
        <f t="shared" si="1"/>
        <v>21.292424050000001</v>
      </c>
      <c r="H57" s="1" t="s">
        <v>99</v>
      </c>
      <c r="I57" s="3">
        <v>50.4</v>
      </c>
      <c r="J57" s="3">
        <f>-1.987*298.15*(LN(I57)-23.76-LN(298.15))/1000</f>
        <v>15.129091701600586</v>
      </c>
      <c r="K57" s="3">
        <v>12.7</v>
      </c>
      <c r="L57" s="3">
        <f>K57-J57</f>
        <v>-2.4290917016005871</v>
      </c>
      <c r="M57" s="3">
        <f t="shared" ref="M57:M59" si="6">K57+1.987*298.15/1000</f>
        <v>13.292424049999999</v>
      </c>
      <c r="N57" s="3">
        <f t="shared" si="2"/>
        <v>2.1228595281857663</v>
      </c>
      <c r="O57" s="1" t="s">
        <v>102</v>
      </c>
      <c r="P57" s="1"/>
      <c r="Q57" s="1" t="s">
        <v>103</v>
      </c>
    </row>
    <row r="58" spans="1:17" x14ac:dyDescent="0.35">
      <c r="A58" s="1" t="s">
        <v>104</v>
      </c>
      <c r="B58" s="2">
        <v>2.2000000000000002E-11</v>
      </c>
      <c r="C58" s="3">
        <f t="shared" si="0"/>
        <v>-24.539978662570231</v>
      </c>
      <c r="D58" s="1">
        <v>31.9</v>
      </c>
      <c r="E58" s="1">
        <v>30</v>
      </c>
      <c r="F58" s="1">
        <v>-1.9</v>
      </c>
      <c r="G58" s="4">
        <f t="shared" si="1"/>
        <v>30.592424049999998</v>
      </c>
      <c r="H58" s="5" t="s">
        <v>105</v>
      </c>
      <c r="I58" s="3">
        <v>2.6</v>
      </c>
      <c r="J58" s="3">
        <f>-1.987*298.15*(LN(I58)-23.76-LN(298.15))/1000</f>
        <v>16.885320789419644</v>
      </c>
      <c r="K58" s="3">
        <v>12.4</v>
      </c>
      <c r="L58" s="3">
        <f>K58-J58</f>
        <v>-4.4853207894196441</v>
      </c>
      <c r="M58" s="3">
        <f t="shared" si="6"/>
        <v>12.99242405</v>
      </c>
      <c r="N58" s="3">
        <f t="shared" si="2"/>
        <v>2.0870982351245382</v>
      </c>
      <c r="O58" s="1" t="s">
        <v>106</v>
      </c>
      <c r="P58" s="1"/>
      <c r="Q58" s="1"/>
    </row>
    <row r="59" spans="1:17" x14ac:dyDescent="0.35">
      <c r="A59" s="1" t="s">
        <v>107</v>
      </c>
      <c r="B59" s="2">
        <v>2.9999999999999998E-13</v>
      </c>
      <c r="C59" s="3">
        <f t="shared" si="0"/>
        <v>-28.834993920254483</v>
      </c>
      <c r="D59" s="4">
        <v>35</v>
      </c>
      <c r="E59" s="4">
        <v>31.9</v>
      </c>
      <c r="F59" s="4">
        <f>-9.3*298.15/1000</f>
        <v>-2.7727949999999999</v>
      </c>
      <c r="G59" s="4">
        <f>E59+1.987*298.15/1000</f>
        <v>32.492424049999997</v>
      </c>
      <c r="H59" s="1" t="s">
        <v>108</v>
      </c>
      <c r="I59" s="3">
        <v>654</v>
      </c>
      <c r="J59" s="3">
        <f>K59-L59</f>
        <v>13.4</v>
      </c>
      <c r="K59" s="3">
        <v>15.4</v>
      </c>
      <c r="L59" s="3">
        <v>2</v>
      </c>
      <c r="M59" s="3">
        <f t="shared" si="6"/>
        <v>15.99242405</v>
      </c>
      <c r="N59" s="3">
        <f t="shared" si="2"/>
        <v>2.4735833930418263</v>
      </c>
      <c r="O59" s="1" t="s">
        <v>109</v>
      </c>
      <c r="P59" s="1"/>
      <c r="Q59" s="1" t="s">
        <v>110</v>
      </c>
    </row>
    <row r="60" spans="1:17" x14ac:dyDescent="0.35">
      <c r="A60" s="1" t="s">
        <v>111</v>
      </c>
      <c r="B60" s="2">
        <v>3.0942532083201988E-11</v>
      </c>
      <c r="C60" s="3">
        <f t="shared" si="0"/>
        <v>-24.198889435631827</v>
      </c>
      <c r="D60" s="4">
        <v>31.787392834463375</v>
      </c>
      <c r="E60" s="4">
        <v>19.30757595</v>
      </c>
      <c r="F60" s="4">
        <v>-12.479816884463375</v>
      </c>
      <c r="G60" s="4">
        <f>E60+1.987*298.15/1000</f>
        <v>19.899999999999999</v>
      </c>
      <c r="H60" s="1"/>
      <c r="I60" s="1"/>
      <c r="J60" s="1"/>
      <c r="K60" s="1"/>
      <c r="L60" s="1"/>
      <c r="M60" s="4"/>
      <c r="N60" s="4"/>
      <c r="O60" s="1" t="s">
        <v>112</v>
      </c>
      <c r="P60" s="1"/>
      <c r="Q60" s="1"/>
    </row>
    <row r="61" spans="1:17" x14ac:dyDescent="0.35">
      <c r="A61" s="1" t="s">
        <v>113</v>
      </c>
      <c r="B61" s="1">
        <v>2.7820432112508387E-11</v>
      </c>
      <c r="C61" s="3">
        <f t="shared" si="0"/>
        <v>-24.305250397112886</v>
      </c>
      <c r="D61" s="4">
        <v>31.850403626025876</v>
      </c>
      <c r="E61" s="4">
        <v>27.907575950000002</v>
      </c>
      <c r="F61" s="4">
        <v>-3.9428276760258747</v>
      </c>
      <c r="G61" s="4">
        <f>E61+1.987*298.15/1000</f>
        <v>28.5</v>
      </c>
      <c r="H61" s="1"/>
      <c r="I61" s="1"/>
      <c r="J61" s="1"/>
      <c r="K61" s="1"/>
      <c r="L61" s="1"/>
      <c r="M61" s="4"/>
      <c r="N61" s="4"/>
      <c r="O61" s="1" t="s">
        <v>112</v>
      </c>
      <c r="P61" s="1"/>
      <c r="Q61" s="1"/>
    </row>
    <row r="62" spans="1:17" x14ac:dyDescent="0.35">
      <c r="M62" s="7"/>
      <c r="N62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uncat_cat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Liyin Liang</dc:creator>
  <cp:lastModifiedBy>Liyin Liang</cp:lastModifiedBy>
  <dcterms:created xsi:type="dcterms:W3CDTF">2022-11-20T10:12:49Z</dcterms:created>
  <dcterms:modified xsi:type="dcterms:W3CDTF">2022-11-20T10:19:09Z</dcterms:modified>
</cp:coreProperties>
</file>