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ighe\LSST\On-Telescope_Int.Align.&amp;Testing\ComCam\report on hex.rot.testing\"/>
    </mc:Choice>
  </mc:AlternateContent>
  <bookViews>
    <workbookView xWindow="0" yWindow="0" windowWidth="28800" windowHeight="14712"/>
  </bookViews>
  <sheets>
    <sheet name="xyzRxRy" sheetId="1" r:id="rId1"/>
    <sheet name="for reporting" sheetId="2" r:id="rId2"/>
    <sheet name="coord transf. SA to hexapod" sheetId="3" r:id="rId3"/>
  </sheets>
  <definedNames>
    <definedName name="flatx">xyzRxRy!$S$7</definedName>
    <definedName name="flaty">xyzRxRy!$T$7</definedName>
    <definedName name="flatz">xyzRxRy!$U$7</definedName>
    <definedName name="pos1x">xyzRxRy!$O$12</definedName>
    <definedName name="pos2y">xyzRxRy!$P$12</definedName>
    <definedName name="pos3z">xyzRxRy!$Q$12</definedName>
    <definedName name="radius">xyzRxRy!$AN$24</definedName>
    <definedName name="tran11">xyzRxRy!$AM$3</definedName>
    <definedName name="tran12">xyzRxRy!$AN$3</definedName>
    <definedName name="tran13">xyzRxRy!$AO$3</definedName>
    <definedName name="tran21">xyzRxRy!$AM$4</definedName>
    <definedName name="tran22">xyzRxRy!$AN$4</definedName>
    <definedName name="tran23">xyzRxRy!$AO$4</definedName>
    <definedName name="tran31">xyzRxRy!$AM$5</definedName>
    <definedName name="tran32">xyzRxRy!$AN$5</definedName>
    <definedName name="tran33">xyzRxRy!$AO$5</definedName>
  </definedNames>
  <calcPr calcId="162913"/>
</workbook>
</file>

<file path=xl/calcChain.xml><?xml version="1.0" encoding="utf-8"?>
<calcChain xmlns="http://schemas.openxmlformats.org/spreadsheetml/2006/main">
  <c r="AG63" i="1" l="1"/>
  <c r="AJ62" i="1"/>
  <c r="AE62" i="1"/>
  <c r="AH62" i="1"/>
  <c r="AG62" i="1"/>
  <c r="AF62" i="1"/>
  <c r="AH57" i="1"/>
  <c r="AG57" i="1"/>
  <c r="AF57" i="1"/>
  <c r="AH52" i="1"/>
  <c r="AG52" i="1"/>
  <c r="AF52" i="1"/>
  <c r="AH47" i="1"/>
  <c r="AG47" i="1"/>
  <c r="AF47" i="1"/>
  <c r="AH42" i="1"/>
  <c r="AG42" i="1"/>
  <c r="AF42" i="1"/>
  <c r="AH37" i="1"/>
  <c r="AG37" i="1"/>
  <c r="AF37" i="1"/>
  <c r="AH32" i="1"/>
  <c r="AG32" i="1"/>
  <c r="AF32" i="1"/>
  <c r="AH27" i="1"/>
  <c r="AG17" i="1"/>
  <c r="AF17" i="1"/>
  <c r="AC62" i="1"/>
  <c r="AC57" i="1"/>
  <c r="AC52" i="1"/>
  <c r="AC47" i="1"/>
  <c r="AC42" i="1"/>
  <c r="AC32" i="1"/>
  <c r="AC37" i="1"/>
  <c r="AC27" i="1"/>
  <c r="AC17" i="1"/>
  <c r="AH17" i="1" s="1"/>
  <c r="AC12" i="1"/>
  <c r="AC8" i="1"/>
  <c r="AC9" i="1"/>
  <c r="AC10" i="1"/>
  <c r="AC11" i="1"/>
  <c r="AC7" i="1"/>
  <c r="W9" i="1"/>
  <c r="W8" i="1"/>
  <c r="W3" i="1"/>
  <c r="AC61" i="1"/>
  <c r="AB61" i="1"/>
  <c r="AA61" i="1"/>
  <c r="AC60" i="1"/>
  <c r="AB60" i="1"/>
  <c r="AA60" i="1"/>
  <c r="AC59" i="1"/>
  <c r="AB59" i="1"/>
  <c r="AA59" i="1"/>
  <c r="AC58" i="1"/>
  <c r="AB58" i="1"/>
  <c r="AB62" i="1" s="1"/>
  <c r="AA58" i="1"/>
  <c r="AA62" i="1" s="1"/>
  <c r="AC56" i="1"/>
  <c r="AB56" i="1"/>
  <c r="AA56" i="1"/>
  <c r="AC55" i="1"/>
  <c r="AB55" i="1"/>
  <c r="AA55" i="1"/>
  <c r="AC54" i="1"/>
  <c r="AB54" i="1"/>
  <c r="AA54" i="1"/>
  <c r="AC53" i="1"/>
  <c r="AB53" i="1"/>
  <c r="AB57" i="1" s="1"/>
  <c r="AA53" i="1"/>
  <c r="AA57" i="1" s="1"/>
  <c r="AC51" i="1"/>
  <c r="AB51" i="1"/>
  <c r="AA51" i="1"/>
  <c r="AC50" i="1"/>
  <c r="AB50" i="1"/>
  <c r="AA50" i="1"/>
  <c r="AC49" i="1"/>
  <c r="AB49" i="1"/>
  <c r="AA49" i="1"/>
  <c r="AC48" i="1"/>
  <c r="AB48" i="1"/>
  <c r="AB52" i="1" s="1"/>
  <c r="AA48" i="1"/>
  <c r="AA52" i="1" s="1"/>
  <c r="AC46" i="1"/>
  <c r="AB46" i="1"/>
  <c r="AA46" i="1"/>
  <c r="AC45" i="1"/>
  <c r="AB45" i="1"/>
  <c r="AA45" i="1"/>
  <c r="AC44" i="1"/>
  <c r="AB44" i="1"/>
  <c r="AA44" i="1"/>
  <c r="AC43" i="1"/>
  <c r="AB43" i="1"/>
  <c r="AB47" i="1" s="1"/>
  <c r="AA43" i="1"/>
  <c r="AA47" i="1" s="1"/>
  <c r="AC41" i="1"/>
  <c r="AB41" i="1"/>
  <c r="AA41" i="1"/>
  <c r="AC40" i="1"/>
  <c r="AB40" i="1"/>
  <c r="AA40" i="1"/>
  <c r="AC39" i="1"/>
  <c r="AB39" i="1"/>
  <c r="AA39" i="1"/>
  <c r="AC38" i="1"/>
  <c r="AB38" i="1"/>
  <c r="AB42" i="1" s="1"/>
  <c r="AA38" i="1"/>
  <c r="AA42" i="1" s="1"/>
  <c r="AC36" i="1"/>
  <c r="AB36" i="1"/>
  <c r="AA36" i="1"/>
  <c r="AC35" i="1"/>
  <c r="AB35" i="1"/>
  <c r="AA35" i="1"/>
  <c r="AC34" i="1"/>
  <c r="AB34" i="1"/>
  <c r="AA34" i="1"/>
  <c r="AC33" i="1"/>
  <c r="AB33" i="1"/>
  <c r="AB37" i="1" s="1"/>
  <c r="AA33" i="1"/>
  <c r="AA37" i="1" s="1"/>
  <c r="AC31" i="1"/>
  <c r="AB31" i="1"/>
  <c r="AA31" i="1"/>
  <c r="AC30" i="1"/>
  <c r="AB30" i="1"/>
  <c r="AA30" i="1"/>
  <c r="AC29" i="1"/>
  <c r="AB29" i="1"/>
  <c r="AA29" i="1"/>
  <c r="AC28" i="1"/>
  <c r="AB28" i="1"/>
  <c r="AB32" i="1" s="1"/>
  <c r="AA28" i="1"/>
  <c r="AA32" i="1" s="1"/>
  <c r="AC26" i="1"/>
  <c r="AB26" i="1"/>
  <c r="AA26" i="1"/>
  <c r="AC25" i="1"/>
  <c r="AB25" i="1"/>
  <c r="AA25" i="1"/>
  <c r="AC24" i="1"/>
  <c r="AB24" i="1"/>
  <c r="AA24" i="1"/>
  <c r="AC23" i="1"/>
  <c r="AB23" i="1"/>
  <c r="AB27" i="1" s="1"/>
  <c r="AG27" i="1" s="1"/>
  <c r="AA23" i="1"/>
  <c r="AA27" i="1" s="1"/>
  <c r="AF27" i="1" s="1"/>
  <c r="AC16" i="1"/>
  <c r="AB16" i="1"/>
  <c r="AA16" i="1"/>
  <c r="AC15" i="1"/>
  <c r="AB15" i="1"/>
  <c r="AA15" i="1"/>
  <c r="AC14" i="1"/>
  <c r="AB14" i="1"/>
  <c r="AA14" i="1"/>
  <c r="AC13" i="1"/>
  <c r="AB13" i="1"/>
  <c r="AB17" i="1" s="1"/>
  <c r="AA13" i="1"/>
  <c r="AA17" i="1" s="1"/>
  <c r="AB11" i="1"/>
  <c r="AA11" i="1"/>
  <c r="AB10" i="1"/>
  <c r="AA10" i="1"/>
  <c r="AB9" i="1"/>
  <c r="AA9" i="1"/>
  <c r="AB8" i="1"/>
  <c r="AB12" i="1" s="1"/>
  <c r="AG12" i="1" s="1"/>
  <c r="AA8" i="1"/>
  <c r="AC6" i="1"/>
  <c r="AB6" i="1"/>
  <c r="AA6" i="1"/>
  <c r="AC5" i="1"/>
  <c r="AB5" i="1"/>
  <c r="AA5" i="1"/>
  <c r="AC4" i="1"/>
  <c r="AB4" i="1"/>
  <c r="AA4" i="1"/>
  <c r="AC3" i="1"/>
  <c r="AB3" i="1"/>
  <c r="AA3" i="1"/>
  <c r="AH12" i="1" l="1"/>
  <c r="AA12" i="1"/>
  <c r="AF12" i="1" s="1"/>
  <c r="W12" i="1" l="1"/>
  <c r="Z61" i="1"/>
  <c r="Z60" i="1"/>
  <c r="Z62" i="1" s="1"/>
  <c r="Z56" i="1"/>
  <c r="Z55" i="1"/>
  <c r="Z57" i="1" s="1"/>
  <c r="Z51" i="1"/>
  <c r="Z50" i="1"/>
  <c r="Z52" i="1" s="1"/>
  <c r="Z46" i="1"/>
  <c r="Z45" i="1"/>
  <c r="Z47" i="1" s="1"/>
  <c r="Z41" i="1"/>
  <c r="Z40" i="1"/>
  <c r="Z42" i="1" s="1"/>
  <c r="Z36" i="1"/>
  <c r="Z35" i="1"/>
  <c r="Z37" i="1" s="1"/>
  <c r="Z31" i="1"/>
  <c r="Z30" i="1"/>
  <c r="Z32" i="1" s="1"/>
  <c r="Z27" i="1"/>
  <c r="Z26" i="1"/>
  <c r="Z25" i="1"/>
  <c r="Z16" i="1"/>
  <c r="Z15" i="1"/>
  <c r="Z17" i="1" s="1"/>
  <c r="Z11" i="1"/>
  <c r="Z10" i="1"/>
  <c r="Z12" i="1" s="1"/>
  <c r="Z7" i="1"/>
  <c r="Z6" i="1"/>
  <c r="Z5" i="1"/>
  <c r="Y61" i="1"/>
  <c r="X61" i="1"/>
  <c r="W61" i="1"/>
  <c r="Y60" i="1"/>
  <c r="X60" i="1"/>
  <c r="W60" i="1"/>
  <c r="Y59" i="1"/>
  <c r="X59" i="1"/>
  <c r="W59" i="1"/>
  <c r="Y58" i="1"/>
  <c r="Y62" i="1" s="1"/>
  <c r="X58" i="1"/>
  <c r="X62" i="1" s="1"/>
  <c r="W58" i="1"/>
  <c r="W62" i="1" s="1"/>
  <c r="Y56" i="1"/>
  <c r="X56" i="1"/>
  <c r="W56" i="1"/>
  <c r="Y55" i="1"/>
  <c r="X55" i="1"/>
  <c r="W55" i="1"/>
  <c r="Y54" i="1"/>
  <c r="X54" i="1"/>
  <c r="W54" i="1"/>
  <c r="Y53" i="1"/>
  <c r="Y57" i="1" s="1"/>
  <c r="X53" i="1"/>
  <c r="X57" i="1" s="1"/>
  <c r="W53" i="1"/>
  <c r="W57" i="1" s="1"/>
  <c r="Y52" i="1"/>
  <c r="Y51" i="1"/>
  <c r="X51" i="1"/>
  <c r="W51" i="1"/>
  <c r="Y50" i="1"/>
  <c r="X50" i="1"/>
  <c r="W50" i="1"/>
  <c r="Y49" i="1"/>
  <c r="X49" i="1"/>
  <c r="W49" i="1"/>
  <c r="Y48" i="1"/>
  <c r="X48" i="1"/>
  <c r="X52" i="1" s="1"/>
  <c r="W48" i="1"/>
  <c r="W52" i="1" s="1"/>
  <c r="Y47" i="1"/>
  <c r="Y46" i="1"/>
  <c r="X46" i="1"/>
  <c r="W46" i="1"/>
  <c r="Y45" i="1"/>
  <c r="X45" i="1"/>
  <c r="W45" i="1"/>
  <c r="Y44" i="1"/>
  <c r="X44" i="1"/>
  <c r="W44" i="1"/>
  <c r="Y43" i="1"/>
  <c r="X43" i="1"/>
  <c r="X47" i="1" s="1"/>
  <c r="W43" i="1"/>
  <c r="W47" i="1" s="1"/>
  <c r="Y41" i="1"/>
  <c r="X41" i="1"/>
  <c r="W41" i="1"/>
  <c r="Y40" i="1"/>
  <c r="X40" i="1"/>
  <c r="W40" i="1"/>
  <c r="Y39" i="1"/>
  <c r="X39" i="1"/>
  <c r="W39" i="1"/>
  <c r="Y38" i="1"/>
  <c r="Y42" i="1" s="1"/>
  <c r="X38" i="1"/>
  <c r="X42" i="1" s="1"/>
  <c r="W38" i="1"/>
  <c r="W42" i="1" s="1"/>
  <c r="Y36" i="1"/>
  <c r="X36" i="1"/>
  <c r="W36" i="1"/>
  <c r="Y35" i="1"/>
  <c r="X35" i="1"/>
  <c r="W35" i="1"/>
  <c r="Y34" i="1"/>
  <c r="X34" i="1"/>
  <c r="W34" i="1"/>
  <c r="Y33" i="1"/>
  <c r="Y37" i="1" s="1"/>
  <c r="X33" i="1"/>
  <c r="X37" i="1" s="1"/>
  <c r="W33" i="1"/>
  <c r="W37" i="1" s="1"/>
  <c r="Y31" i="1"/>
  <c r="X31" i="1"/>
  <c r="W31" i="1"/>
  <c r="Y30" i="1"/>
  <c r="X30" i="1"/>
  <c r="W30" i="1"/>
  <c r="Y29" i="1"/>
  <c r="X29" i="1"/>
  <c r="W29" i="1"/>
  <c r="Y28" i="1"/>
  <c r="Y32" i="1" s="1"/>
  <c r="X28" i="1"/>
  <c r="X32" i="1" s="1"/>
  <c r="W28" i="1"/>
  <c r="W32" i="1" s="1"/>
  <c r="Y26" i="1"/>
  <c r="X26" i="1"/>
  <c r="W26" i="1"/>
  <c r="Y25" i="1"/>
  <c r="X25" i="1"/>
  <c r="W25" i="1"/>
  <c r="Y24" i="1"/>
  <c r="X24" i="1"/>
  <c r="W24" i="1"/>
  <c r="Y23" i="1"/>
  <c r="Y27" i="1" s="1"/>
  <c r="X23" i="1"/>
  <c r="X27" i="1" s="1"/>
  <c r="W23" i="1"/>
  <c r="W27" i="1" s="1"/>
  <c r="Y16" i="1"/>
  <c r="X16" i="1"/>
  <c r="W16" i="1"/>
  <c r="Y15" i="1"/>
  <c r="Y17" i="1" s="1"/>
  <c r="X15" i="1"/>
  <c r="W15" i="1"/>
  <c r="Y14" i="1"/>
  <c r="X14" i="1"/>
  <c r="W14" i="1"/>
  <c r="Y13" i="1"/>
  <c r="X13" i="1"/>
  <c r="X17" i="1" s="1"/>
  <c r="W13" i="1"/>
  <c r="W17" i="1" s="1"/>
  <c r="Y11" i="1"/>
  <c r="X11" i="1"/>
  <c r="W11" i="1"/>
  <c r="Y10" i="1"/>
  <c r="X10" i="1"/>
  <c r="W10" i="1"/>
  <c r="Y9" i="1"/>
  <c r="X9" i="1"/>
  <c r="Y8" i="1"/>
  <c r="Y12" i="1" s="1"/>
  <c r="X8" i="1"/>
  <c r="X12" i="1" s="1"/>
  <c r="Y3" i="1"/>
  <c r="X3" i="1"/>
  <c r="U61" i="1"/>
  <c r="T61" i="1"/>
  <c r="S61" i="1"/>
  <c r="U60" i="1"/>
  <c r="T60" i="1"/>
  <c r="S60" i="1"/>
  <c r="U59" i="1"/>
  <c r="T59" i="1"/>
  <c r="S59" i="1"/>
  <c r="U58" i="1"/>
  <c r="U62" i="1" s="1"/>
  <c r="T58" i="1"/>
  <c r="T62" i="1" s="1"/>
  <c r="S58" i="1"/>
  <c r="S62" i="1" s="1"/>
  <c r="U56" i="1"/>
  <c r="T56" i="1"/>
  <c r="S56" i="1"/>
  <c r="U55" i="1"/>
  <c r="T55" i="1"/>
  <c r="S55" i="1"/>
  <c r="U54" i="1"/>
  <c r="T54" i="1"/>
  <c r="S54" i="1"/>
  <c r="U53" i="1"/>
  <c r="U57" i="1" s="1"/>
  <c r="T53" i="1"/>
  <c r="T57" i="1" s="1"/>
  <c r="S53" i="1"/>
  <c r="S57" i="1" s="1"/>
  <c r="U51" i="1"/>
  <c r="T51" i="1"/>
  <c r="S51" i="1"/>
  <c r="U50" i="1"/>
  <c r="T50" i="1"/>
  <c r="S50" i="1"/>
  <c r="U49" i="1"/>
  <c r="T49" i="1"/>
  <c r="S49" i="1"/>
  <c r="U48" i="1"/>
  <c r="U52" i="1" s="1"/>
  <c r="T48" i="1"/>
  <c r="T52" i="1" s="1"/>
  <c r="S48" i="1"/>
  <c r="S52" i="1" s="1"/>
  <c r="U46" i="1"/>
  <c r="T46" i="1"/>
  <c r="S46" i="1"/>
  <c r="U45" i="1"/>
  <c r="T45" i="1"/>
  <c r="S45" i="1"/>
  <c r="U44" i="1"/>
  <c r="T44" i="1"/>
  <c r="S44" i="1"/>
  <c r="U43" i="1"/>
  <c r="U47" i="1" s="1"/>
  <c r="T43" i="1"/>
  <c r="T47" i="1" s="1"/>
  <c r="S43" i="1"/>
  <c r="S47" i="1" s="1"/>
  <c r="U41" i="1"/>
  <c r="T41" i="1"/>
  <c r="S41" i="1"/>
  <c r="U40" i="1"/>
  <c r="T40" i="1"/>
  <c r="S40" i="1"/>
  <c r="U39" i="1"/>
  <c r="T39" i="1"/>
  <c r="S39" i="1"/>
  <c r="S42" i="1" s="1"/>
  <c r="U38" i="1"/>
  <c r="U42" i="1" s="1"/>
  <c r="T38" i="1"/>
  <c r="T42" i="1" s="1"/>
  <c r="S38" i="1"/>
  <c r="U36" i="1"/>
  <c r="T36" i="1"/>
  <c r="S36" i="1"/>
  <c r="U35" i="1"/>
  <c r="T35" i="1"/>
  <c r="S35" i="1"/>
  <c r="U34" i="1"/>
  <c r="T34" i="1"/>
  <c r="S34" i="1"/>
  <c r="U33" i="1"/>
  <c r="U37" i="1" s="1"/>
  <c r="T33" i="1"/>
  <c r="T37" i="1" s="1"/>
  <c r="S33" i="1"/>
  <c r="S37" i="1" s="1"/>
  <c r="U31" i="1"/>
  <c r="T31" i="1"/>
  <c r="S31" i="1"/>
  <c r="U30" i="1"/>
  <c r="T30" i="1"/>
  <c r="S30" i="1"/>
  <c r="U29" i="1"/>
  <c r="T29" i="1"/>
  <c r="S29" i="1"/>
  <c r="U28" i="1"/>
  <c r="U32" i="1" s="1"/>
  <c r="T28" i="1"/>
  <c r="T32" i="1" s="1"/>
  <c r="S28" i="1"/>
  <c r="S32" i="1" s="1"/>
  <c r="U26" i="1"/>
  <c r="T26" i="1"/>
  <c r="S26" i="1"/>
  <c r="U25" i="1"/>
  <c r="T25" i="1"/>
  <c r="S25" i="1"/>
  <c r="U24" i="1"/>
  <c r="T24" i="1"/>
  <c r="S24" i="1"/>
  <c r="U23" i="1"/>
  <c r="U27" i="1" s="1"/>
  <c r="T23" i="1"/>
  <c r="T27" i="1" s="1"/>
  <c r="S23" i="1"/>
  <c r="S27" i="1" s="1"/>
  <c r="U16" i="1"/>
  <c r="T16" i="1"/>
  <c r="S16" i="1"/>
  <c r="U15" i="1"/>
  <c r="T15" i="1"/>
  <c r="S15" i="1"/>
  <c r="U14" i="1"/>
  <c r="T14" i="1"/>
  <c r="S14" i="1"/>
  <c r="U13" i="1"/>
  <c r="U17" i="1" s="1"/>
  <c r="T13" i="1"/>
  <c r="T17" i="1" s="1"/>
  <c r="S13" i="1"/>
  <c r="S17" i="1" s="1"/>
  <c r="U11" i="1"/>
  <c r="T11" i="1"/>
  <c r="S11" i="1"/>
  <c r="U10" i="1"/>
  <c r="T10" i="1"/>
  <c r="S10" i="1"/>
  <c r="U9" i="1"/>
  <c r="T9" i="1"/>
  <c r="S9" i="1"/>
  <c r="U8" i="1"/>
  <c r="U12" i="1" s="1"/>
  <c r="T8" i="1"/>
  <c r="T12" i="1" s="1"/>
  <c r="S8" i="1"/>
  <c r="S12" i="1" s="1"/>
  <c r="U6" i="1"/>
  <c r="T6" i="1"/>
  <c r="S6" i="1"/>
  <c r="U5" i="1"/>
  <c r="T5" i="1"/>
  <c r="X5" i="1" s="1"/>
  <c r="S5" i="1"/>
  <c r="S7" i="1" s="1"/>
  <c r="U4" i="1"/>
  <c r="Y4" i="1" s="1"/>
  <c r="T4" i="1"/>
  <c r="X4" i="1" s="1"/>
  <c r="S4" i="1"/>
  <c r="U3" i="1"/>
  <c r="T3" i="1"/>
  <c r="S3" i="1"/>
  <c r="U7" i="1"/>
  <c r="T7" i="1"/>
  <c r="W4" i="1" l="1"/>
  <c r="W6" i="1"/>
  <c r="Y6" i="1"/>
  <c r="X6" i="1"/>
  <c r="W5" i="1"/>
  <c r="Y5" i="1"/>
  <c r="AE37" i="2"/>
  <c r="N19" i="1"/>
  <c r="I63" i="1"/>
  <c r="I58" i="1"/>
  <c r="I53" i="1"/>
  <c r="I48" i="1"/>
  <c r="I43" i="1"/>
  <c r="I38" i="1"/>
  <c r="I33" i="1"/>
  <c r="I28" i="1"/>
  <c r="I18" i="1"/>
  <c r="I13" i="1"/>
  <c r="AK3" i="1" l="1"/>
  <c r="X18" i="1"/>
  <c r="AE38" i="2"/>
  <c r="AM21" i="1" l="1"/>
  <c r="AM22" i="1"/>
  <c r="AM23" i="1" s="1"/>
  <c r="AN23" i="1"/>
  <c r="AN24" i="1" l="1"/>
  <c r="AI7" i="1"/>
  <c r="N20" i="1"/>
  <c r="N21" i="1"/>
  <c r="AI12" i="1"/>
  <c r="AI27" i="1"/>
  <c r="AI32" i="1"/>
  <c r="AI17" i="1"/>
  <c r="K62" i="1"/>
  <c r="AI62" i="1" s="1"/>
  <c r="J62" i="1"/>
  <c r="H62" i="1"/>
  <c r="K57" i="1"/>
  <c r="AI57" i="1" s="1"/>
  <c r="J57" i="1"/>
  <c r="H57" i="1"/>
  <c r="L52" i="1"/>
  <c r="AI52" i="1" s="1"/>
  <c r="J52" i="1"/>
  <c r="L47" i="1"/>
  <c r="AI47" i="1" s="1"/>
  <c r="J47" i="1"/>
  <c r="K42" i="1"/>
  <c r="AI42" i="1" s="1"/>
  <c r="J42" i="1"/>
  <c r="H42" i="1"/>
  <c r="K37" i="1"/>
  <c r="AI37" i="1" s="1"/>
  <c r="J37" i="1"/>
  <c r="H37" i="1"/>
  <c r="I17" i="1"/>
  <c r="H32" i="1" s="1"/>
  <c r="I12" i="1"/>
  <c r="I37" i="1" s="1"/>
  <c r="I57" i="1" s="1"/>
  <c r="Q62" i="1"/>
  <c r="P62" i="1"/>
  <c r="O62" i="1"/>
  <c r="Q57" i="1"/>
  <c r="P57" i="1"/>
  <c r="O57" i="1"/>
  <c r="Q52" i="1"/>
  <c r="P52" i="1"/>
  <c r="O52" i="1"/>
  <c r="Q47" i="1"/>
  <c r="P47" i="1"/>
  <c r="O47" i="1"/>
  <c r="Q42" i="1"/>
  <c r="P42" i="1"/>
  <c r="O42" i="1"/>
  <c r="Q37" i="1"/>
  <c r="P37" i="1"/>
  <c r="O37" i="1"/>
  <c r="Q32" i="1"/>
  <c r="P32" i="1"/>
  <c r="O32" i="1"/>
  <c r="Q27" i="1"/>
  <c r="P27" i="1"/>
  <c r="O27" i="1"/>
  <c r="Q17" i="1"/>
  <c r="P17" i="1"/>
  <c r="O17" i="1"/>
  <c r="P12" i="1"/>
  <c r="O12" i="1"/>
  <c r="Q12" i="1"/>
  <c r="Q7" i="1"/>
  <c r="P7" i="1"/>
  <c r="O7" i="1"/>
  <c r="AI63" i="1" l="1"/>
  <c r="I42" i="1"/>
  <c r="H27" i="1"/>
  <c r="AK28" i="1" l="1"/>
  <c r="AB7" i="1"/>
  <c r="AA7" i="1"/>
  <c r="AK13" i="1"/>
  <c r="AK36" i="1"/>
  <c r="AK16" i="1"/>
  <c r="AK61" i="1"/>
  <c r="AK26" i="1"/>
  <c r="AK6" i="1"/>
  <c r="AK30" i="1"/>
  <c r="AK55" i="1"/>
  <c r="AK58" i="1"/>
  <c r="AK46" i="1"/>
  <c r="AK25" i="1"/>
  <c r="AK40" i="1"/>
  <c r="AK15" i="1"/>
  <c r="AK50" i="1"/>
  <c r="AK31" i="1"/>
  <c r="AK29" i="1"/>
  <c r="AK8" i="1"/>
  <c r="AK41" i="1"/>
  <c r="AK44" i="1"/>
  <c r="AK9" i="1"/>
  <c r="AK39" i="1"/>
  <c r="AK23" i="1"/>
  <c r="AK10" i="1"/>
  <c r="AK54" i="1"/>
  <c r="AK53" i="1"/>
  <c r="AK56" i="1"/>
  <c r="AK24" i="1"/>
  <c r="AK49" i="1"/>
  <c r="AK33" i="1"/>
  <c r="AK45" i="1"/>
  <c r="AK35" i="1"/>
  <c r="AK4" i="1"/>
  <c r="AK38" i="1"/>
  <c r="AK48" i="1"/>
  <c r="AK14" i="1"/>
  <c r="AK34" i="1"/>
  <c r="AK59" i="1"/>
  <c r="AK43" i="1"/>
  <c r="AK11" i="1"/>
  <c r="AK51" i="1"/>
  <c r="AK60" i="1"/>
  <c r="AE17" i="1"/>
  <c r="AJ17" i="1" s="1"/>
  <c r="H47" i="1"/>
  <c r="I62" i="1"/>
  <c r="H52" i="1"/>
  <c r="X7" i="1"/>
  <c r="AG7" i="1" s="1"/>
  <c r="AE12" i="1"/>
  <c r="AJ12" i="1" s="1"/>
  <c r="Y7" i="1"/>
  <c r="AH7" i="1" s="1"/>
  <c r="AL27" i="1" l="1"/>
  <c r="AK5" i="1"/>
  <c r="AL17" i="1"/>
  <c r="AL62" i="1"/>
  <c r="AL47" i="1"/>
  <c r="AL32" i="1"/>
  <c r="AL37" i="1"/>
  <c r="AH63" i="1"/>
  <c r="AH64" i="1"/>
  <c r="AL52" i="1"/>
  <c r="AL7" i="1"/>
  <c r="AL42" i="1"/>
  <c r="AL57" i="1"/>
  <c r="AL12" i="1"/>
  <c r="AK32" i="1"/>
  <c r="AO32" i="1" s="1"/>
  <c r="AK27" i="1"/>
  <c r="AO27" i="1" s="1"/>
  <c r="W7" i="1"/>
  <c r="AF7" i="1" s="1"/>
  <c r="AK17" i="1"/>
  <c r="AO17" i="1" s="1"/>
  <c r="AK7" i="1"/>
  <c r="AO7" i="1" s="1"/>
  <c r="AK47" i="1"/>
  <c r="AO47" i="1" s="1"/>
  <c r="AK62" i="1"/>
  <c r="AO62" i="1" s="1"/>
  <c r="AK52" i="1"/>
  <c r="AO52" i="1" s="1"/>
  <c r="AK37" i="1"/>
  <c r="AO37" i="1" s="1"/>
  <c r="AK42" i="1"/>
  <c r="AO42" i="1" s="1"/>
  <c r="AK57" i="1"/>
  <c r="AO57" i="1" s="1"/>
  <c r="AK12" i="1"/>
  <c r="AO12" i="1" s="1"/>
  <c r="AE37" i="1"/>
  <c r="AJ37" i="1" s="1"/>
  <c r="AE57" i="1"/>
  <c r="AJ57" i="1" s="1"/>
  <c r="AE47" i="1"/>
  <c r="AJ47" i="1" s="1"/>
  <c r="AE42" i="1"/>
  <c r="AJ42" i="1" s="1"/>
  <c r="AE32" i="1"/>
  <c r="AJ32" i="1" s="1"/>
  <c r="AE27" i="1"/>
  <c r="AJ27" i="1" s="1"/>
  <c r="AE52" i="1"/>
  <c r="AJ52" i="1" s="1"/>
  <c r="AD24" i="1"/>
  <c r="AD14" i="1"/>
  <c r="AF64" i="1" l="1"/>
  <c r="AF63" i="1"/>
  <c r="AO63" i="1"/>
  <c r="AO64" i="1"/>
  <c r="AG64" i="1"/>
  <c r="AJ63" i="1"/>
  <c r="AJ64" i="1"/>
  <c r="AP65" i="1" l="1"/>
  <c r="AO65" i="1"/>
  <c r="AK65" i="1"/>
  <c r="AJ65" i="1"/>
</calcChain>
</file>

<file path=xl/sharedStrings.xml><?xml version="1.0" encoding="utf-8"?>
<sst xmlns="http://schemas.openxmlformats.org/spreadsheetml/2006/main" count="237" uniqueCount="182">
  <si>
    <t>pPlaneZero1</t>
  </si>
  <si>
    <t>pPlaneZero2</t>
  </si>
  <si>
    <t>pPlaneZero3</t>
  </si>
  <si>
    <t>pPlaneZero4</t>
  </si>
  <si>
    <t>p01-1</t>
  </si>
  <si>
    <t>p01-2</t>
  </si>
  <si>
    <t>p01-3</t>
  </si>
  <si>
    <t>p01-4</t>
  </si>
  <si>
    <t>p02-1</t>
  </si>
  <si>
    <t>p02-2</t>
  </si>
  <si>
    <t>p02-3</t>
  </si>
  <si>
    <t>p02-4</t>
  </si>
  <si>
    <t>p03-1</t>
  </si>
  <si>
    <t>p03-2</t>
  </si>
  <si>
    <t>p03-3</t>
  </si>
  <si>
    <t>p03-4</t>
  </si>
  <si>
    <t>p04-1</t>
  </si>
  <si>
    <t>p04-2</t>
  </si>
  <si>
    <t>p04-3</t>
  </si>
  <si>
    <t>p04-4</t>
  </si>
  <si>
    <t>p05-1</t>
  </si>
  <si>
    <t>p05-2</t>
  </si>
  <si>
    <t>p05-3</t>
  </si>
  <si>
    <t>p05-4</t>
  </si>
  <si>
    <t>p06-1</t>
  </si>
  <si>
    <t>p06-2</t>
  </si>
  <si>
    <t>p06-3</t>
  </si>
  <si>
    <t>p06-4</t>
  </si>
  <si>
    <t>p07-1</t>
  </si>
  <si>
    <t>p07-2</t>
  </si>
  <si>
    <t>p07-3</t>
  </si>
  <si>
    <t>p07-4</t>
  </si>
  <si>
    <t>p08-1</t>
  </si>
  <si>
    <t>p08-2</t>
  </si>
  <si>
    <t>p08-3</t>
  </si>
  <si>
    <t>p08-4</t>
  </si>
  <si>
    <t>p09-1</t>
  </si>
  <si>
    <t>p09-2</t>
  </si>
  <si>
    <t>p09-3</t>
  </si>
  <si>
    <t>p09-4</t>
  </si>
  <si>
    <t>p10-1</t>
  </si>
  <si>
    <t>p10-2</t>
  </si>
  <si>
    <t>p10-3</t>
  </si>
  <si>
    <t>p10-4</t>
  </si>
  <si>
    <t>x</t>
  </si>
  <si>
    <t>y</t>
  </si>
  <si>
    <t>z</t>
  </si>
  <si>
    <t xml:space="preserve"> -Z</t>
  </si>
  <si>
    <t>from</t>
  </si>
  <si>
    <t>points</t>
  </si>
  <si>
    <t>data</t>
  </si>
  <si>
    <t xml:space="preserve"> SA line</t>
  </si>
  <si>
    <t>top-bottom</t>
  </si>
  <si>
    <t>left-right</t>
  </si>
  <si>
    <t>mm</t>
  </si>
  <si>
    <t xml:space="preserve">  Y</t>
  </si>
  <si>
    <t>Hexapod</t>
  </si>
  <si>
    <t>Rx</t>
  </si>
  <si>
    <t>Ry</t>
  </si>
  <si>
    <t>Rz</t>
  </si>
  <si>
    <t>hexapod command (pivot -1938mm)</t>
  </si>
  <si>
    <t>#</t>
  </si>
  <si>
    <t xml:space="preserve">              Measurement Error</t>
  </si>
  <si>
    <t>x mm</t>
  </si>
  <si>
    <t xml:space="preserve"> y mm</t>
  </si>
  <si>
    <t>z mm</t>
  </si>
  <si>
    <t>Rot Deg</t>
  </si>
  <si>
    <t>SA Meas.</t>
  </si>
  <si>
    <t xml:space="preserve">ok </t>
  </si>
  <si>
    <t>comments:</t>
  </si>
  <si>
    <t>Cross-check test (only with top nest):</t>
  </si>
  <si>
    <t>Pivot</t>
  </si>
  <si>
    <t>pivot</t>
  </si>
  <si>
    <t xml:space="preserve">   mm</t>
  </si>
  <si>
    <t>Circle</t>
  </si>
  <si>
    <t>Radius</t>
  </si>
  <si>
    <t>Average</t>
  </si>
  <si>
    <t>Measured</t>
  </si>
  <si>
    <t>directly</t>
  </si>
  <si>
    <t>Av.</t>
  </si>
  <si>
    <t>Radius Error</t>
  </si>
  <si>
    <t>Tilt angle ok; Pivot pos. ok, Diplacement due to Tilt ok</t>
  </si>
  <si>
    <t>but doesn't reach the X, Z displacement positions….hexapod limit range?!</t>
  </si>
  <si>
    <t xml:space="preserve">         Expected to be Measured</t>
  </si>
  <si>
    <t>Diameter</t>
  </si>
  <si>
    <t>laser tracker</t>
  </si>
  <si>
    <t>laser tracker to hexapod transformation</t>
  </si>
  <si>
    <t>L.T. in Hexapod coord orient. (mm)</t>
  </si>
  <si>
    <t xml:space="preserve">  X</t>
  </si>
  <si>
    <t>LT-Hex</t>
  </si>
  <si>
    <t>θ(Deg)</t>
  </si>
  <si>
    <t>  -0.0020921   0.9998408   0.0177192</t>
  </si>
  <si>
    <t>  -0.2328745  -0.0177192   0.9723453</t>
  </si>
  <si>
    <t xml:space="preserve">     </t>
  </si>
  <si>
    <t>       </t>
  </si>
  <si>
    <t xml:space="preserve">       </t>
  </si>
  <si>
    <t>Laser T. at Hexapod origin mm</t>
  </si>
  <si>
    <t>All degree of freedom motions arrive at the expected coordinates within expected average errors</t>
  </si>
  <si>
    <t>The pivot is also placed at the expected value, 1938mm, to within 33mm</t>
  </si>
  <si>
    <t>Hex. (Using coord transf. Matrix)</t>
  </si>
  <si>
    <r>
      <t>Angle(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)</t>
    </r>
  </si>
  <si>
    <t>Angle(°)</t>
  </si>
  <si>
    <t>% rht.m - Robbie's Hexapod Transformations script.</t>
  </si>
  <si>
    <t>% Reference points in laser tracker coordinate system.</t>
  </si>
  <si>
    <t>toplt = [428.3370 1244.0599 4240.1483]';</t>
  </si>
  <si>
    <t>bottomlt = [436.0132 -276.0683 4214.2853]';</t>
  </si>
  <si>
    <t>leftlt = [1172.3165 484.7086 4404.7369]';</t>
  </si>
  <si>
    <t>rightlt = [-306.0036    482.9152        4050.6496]';</t>
  </si>
  <si>
    <t>% Origin in laser tracker coordinate system.</t>
  </si>
  <si>
    <t>origlt = [toplt + bottomlt + rightlt + leftlt] / 4</t>
  </si>
  <si>
    <t>% Estimation of vector perpendicular to the plane defined by reference points.</t>
  </si>
  <si>
    <t>% We take the average here but note that n1, n2, n3 and n4 are really close</t>
  </si>
  <si>
    <t>% to each other anyway.</t>
  </si>
  <si>
    <t>c = cross(leftlt - bottomlt, toplt - bottomlt);</t>
  </si>
  <si>
    <t>n1 = c / norm(c);</t>
  </si>
  <si>
    <t>c = cross(leftlt - rightlt, toplt - rightlt);</t>
  </si>
  <si>
    <t>n2 = c / norm(c);</t>
  </si>
  <si>
    <t>c = cross(bottomlt - rightlt, leftlt - rightlt);</t>
  </si>
  <si>
    <t>n3 = c / norm(c);</t>
  </si>
  <si>
    <t>c = cross(bottomlt - rightlt, toplt - rightlt);</t>
  </si>
  <si>
    <t>n4 = c / norm(c);</t>
  </si>
  <si>
    <t>n = (n1 + n2 + n3 + n4) / 4</t>
  </si>
  <si>
    <t>% Estimate rotation axis</t>
  </si>
  <si>
    <t>u = cross([0 0 1]', n);</t>
  </si>
  <si>
    <t>u = u / norm(u);</t>
  </si>
  <si>
    <t>ux = u(1);</t>
  </si>
  <si>
    <t>uy = u(2);</t>
  </si>
  <si>
    <t>uz = u(3);</t>
  </si>
  <si>
    <t>% Sine and cosine of unitary rotation axis.</t>
  </si>
  <si>
    <t>costheta = dot([0 0 1]',n);</t>
  </si>
  <si>
    <t>sintheta = -norm(cross([0 0 1]',n));</t>
  </si>
  <si>
    <t>% Rotation matrix R.</t>
  </si>
  <si>
    <t>R12 = ux*uy*(1-costheta) - uz*sintheta;</t>
  </si>
  <si>
    <t>R13 = ux*uz*(1-costheta) + uy*sintheta;</t>
  </si>
  <si>
    <t>R21 = uy*ux*(1-costheta) + uz*sintheta;</t>
  </si>
  <si>
    <t>R23 = uy*uz*(1-costheta) - ux*sintheta;</t>
  </si>
  <si>
    <t>R31 = uz*ux*(1-costheta) - uy*sintheta;</t>
  </si>
  <si>
    <t>R32 = uz*uy*(1-costheta) + ux*sintheta;</t>
  </si>
  <si>
    <t>R = [R11 R12 R13; R21 R22 R23; R31 R32 R33]</t>
  </si>
  <si>
    <t>% Origin in hexapod coordinate system.</t>
  </si>
  <si>
    <t>orighx = [0 0 -854.2]'</t>
  </si>
  <si>
    <t>% Reference points in hexapod coordinate system.</t>
  </si>
  <si>
    <t>tophx = R*(toplt - origlt) + orighx</t>
  </si>
  <si>
    <t>bottomhx = R*(bottomlt - origlt) + orighx</t>
  </si>
  <si>
    <t>lefthx = R*(leftlt - origlt) + orighx</t>
  </si>
  <si>
    <t>righthx = R*(rightlt - origlt) + orighx</t>
  </si>
  <si>
    <t>return</t>
  </si>
  <si>
    <r>
      <t>R11 = costheta + uz</t>
    </r>
    <r>
      <rPr>
        <vertAlign val="superscript"/>
        <sz val="10"/>
        <color theme="1"/>
        <rFont val="Arial Unicode MS"/>
        <family val="2"/>
      </rPr>
      <t>^2</t>
    </r>
    <r>
      <rPr>
        <sz val="10"/>
        <color theme="1"/>
        <rFont val="Arial Unicode MS"/>
        <family val="2"/>
      </rPr>
      <t xml:space="preserve"> * (1 - costheta);</t>
    </r>
  </si>
  <si>
    <r>
      <t>R22 = costheta + uy</t>
    </r>
    <r>
      <rPr>
        <vertAlign val="superscript"/>
        <sz val="10"/>
        <color theme="1"/>
        <rFont val="Arial Unicode MS"/>
        <family val="2"/>
      </rPr>
      <t>^2</t>
    </r>
    <r>
      <rPr>
        <sz val="10"/>
        <color theme="1"/>
        <rFont val="Arial Unicode MS"/>
        <family val="2"/>
      </rPr>
      <t>*(1-costheta);</t>
    </r>
  </si>
  <si>
    <r>
      <t>R33 = costheta + uz</t>
    </r>
    <r>
      <rPr>
        <vertAlign val="superscript"/>
        <sz val="10"/>
        <color theme="1"/>
        <rFont val="Arial Unicode MS"/>
        <family val="2"/>
      </rPr>
      <t>^2</t>
    </r>
    <r>
      <rPr>
        <sz val="10"/>
        <color theme="1"/>
        <rFont val="Arial Unicode MS"/>
        <family val="2"/>
      </rPr>
      <t>*(1-costheta);</t>
    </r>
  </si>
  <si>
    <t>R:</t>
  </si>
  <si>
    <t>&gt;&gt; rht</t>
  </si>
  <si>
    <t>origlt =</t>
  </si>
  <si>
    <t>    432.67</t>
  </si>
  <si>
    <t>    483.90</t>
  </si>
  <si>
    <t>   4227.46</t>
  </si>
  <si>
    <t>n =</t>
  </si>
  <si>
    <t>  -0.232874</t>
  </si>
  <si>
    <t>  -0.017719</t>
  </si>
  <si>
    <t>   0.972345</t>
  </si>
  <si>
    <t>R =</t>
  </si>
  <si>
    <t>   0.9723453  -0.0020921   0.2328745</t>
  </si>
  <si>
    <t>orighx =</t>
  </si>
  <si>
    <t>     0.00000</t>
  </si>
  <si>
    <t>  -854.20000</t>
  </si>
  <si>
    <t>tophx =</t>
  </si>
  <si>
    <t>    -2.8434</t>
  </si>
  <si>
    <t>   760.2690</t>
  </si>
  <si>
    <t>  -854.3190</t>
  </si>
  <si>
    <t>bottomhx =</t>
  </si>
  <si>
    <t>     1.7779</t>
  </si>
  <si>
    <t>  -760.0915</t>
  </si>
  <si>
    <t>lefthx =</t>
  </si>
  <si>
    <t>   760.4787</t>
  </si>
  <si>
    <t>     2.3985</t>
  </si>
  <si>
    <t>  -854.0808</t>
  </si>
  <si>
    <t>righthx =</t>
  </si>
  <si>
    <t>  -759.4131</t>
  </si>
  <si>
    <t>    -2.5760</t>
  </si>
  <si>
    <t>  -854.0812</t>
  </si>
  <si>
    <t>testing the matrix:</t>
  </si>
  <si>
    <t>the Rotational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</si>
</sst>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 tint="-0.34998626667073579"/>
      <name val="Calibri"/>
      <family val="2"/>
      <scheme val="minor"/>
    </font>
    <font>
      <sz val="10"/>
      <color theme="1"/>
      <name val="Arial Unicode MS"/>
      <family val="2"/>
    </font>
    <font>
      <vertAlign val="superscript"/>
      <sz val="10"/>
      <color theme="1"/>
      <name val="Arial Unicode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F3B4"/>
        <bgColor indexed="64"/>
      </patternFill>
    </fill>
    <fill>
      <patternFill patternType="solid">
        <fgColor rgb="FFFFDC6D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double">
        <color auto="1"/>
      </left>
      <right/>
      <top style="thin">
        <color indexed="64"/>
      </top>
      <bottom/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auto="1"/>
      </right>
      <top/>
      <bottom/>
      <diagonal/>
    </border>
    <border>
      <left style="thin">
        <color indexed="64"/>
      </left>
      <right style="double">
        <color auto="1"/>
      </right>
      <top style="thin">
        <color indexed="64"/>
      </top>
      <bottom/>
      <diagonal/>
    </border>
    <border>
      <left style="thin">
        <color indexed="64"/>
      </left>
      <right style="double">
        <color auto="1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4">
    <xf numFmtId="0" fontId="0" fillId="0" borderId="0" xfId="0"/>
    <xf numFmtId="0" fontId="0" fillId="0" borderId="11" xfId="0" applyBorder="1"/>
    <xf numFmtId="0" fontId="0" fillId="0" borderId="12" xfId="0" applyBorder="1"/>
    <xf numFmtId="0" fontId="0" fillId="33" borderId="12" xfId="0" applyFill="1" applyBorder="1"/>
    <xf numFmtId="0" fontId="0" fillId="0" borderId="0" xfId="0" applyBorder="1"/>
    <xf numFmtId="0" fontId="0" fillId="33" borderId="0" xfId="0" applyFill="1" applyBorder="1"/>
    <xf numFmtId="0" fontId="0" fillId="0" borderId="0" xfId="0" applyFill="1" applyBorder="1"/>
    <xf numFmtId="0" fontId="0" fillId="33" borderId="0" xfId="0" applyFill="1"/>
    <xf numFmtId="0" fontId="0" fillId="33" borderId="13" xfId="0" applyFill="1" applyBorder="1"/>
    <xf numFmtId="0" fontId="0" fillId="0" borderId="13" xfId="0" applyBorder="1"/>
    <xf numFmtId="0" fontId="0" fillId="0" borderId="14" xfId="0" applyBorder="1"/>
    <xf numFmtId="0" fontId="0" fillId="0" borderId="13" xfId="0" applyFill="1" applyBorder="1"/>
    <xf numFmtId="0" fontId="0" fillId="0" borderId="14" xfId="0" applyFill="1" applyBorder="1"/>
    <xf numFmtId="0" fontId="18" fillId="33" borderId="0" xfId="0" applyFont="1" applyFill="1"/>
    <xf numFmtId="0" fontId="19" fillId="33" borderId="0" xfId="0" applyFont="1" applyFill="1"/>
    <xf numFmtId="0" fontId="0" fillId="0" borderId="17" xfId="0" applyBorder="1"/>
    <xf numFmtId="0" fontId="0" fillId="0" borderId="10" xfId="0" applyBorder="1"/>
    <xf numFmtId="0" fontId="0" fillId="0" borderId="15" xfId="0" applyBorder="1"/>
    <xf numFmtId="0" fontId="0" fillId="33" borderId="15" xfId="0" applyFill="1" applyBorder="1"/>
    <xf numFmtId="0" fontId="0" fillId="0" borderId="16" xfId="0" applyBorder="1"/>
    <xf numFmtId="164" fontId="0" fillId="0" borderId="0" xfId="0" applyNumberFormat="1"/>
    <xf numFmtId="164" fontId="0" fillId="0" borderId="12" xfId="0" applyNumberFormat="1" applyBorder="1"/>
    <xf numFmtId="0" fontId="0" fillId="33" borderId="18" xfId="0" applyFill="1" applyBorder="1"/>
    <xf numFmtId="0" fontId="0" fillId="0" borderId="18" xfId="0" applyBorder="1"/>
    <xf numFmtId="0" fontId="18" fillId="33" borderId="15" xfId="0" applyFont="1" applyFill="1" applyBorder="1"/>
    <xf numFmtId="0" fontId="0" fillId="33" borderId="16" xfId="0" applyFill="1" applyBorder="1"/>
    <xf numFmtId="165" fontId="0" fillId="0" borderId="0" xfId="0" applyNumberFormat="1"/>
    <xf numFmtId="165" fontId="0" fillId="0" borderId="12" xfId="0" applyNumberFormat="1" applyBorder="1"/>
    <xf numFmtId="0" fontId="0" fillId="0" borderId="19" xfId="0" applyBorder="1"/>
    <xf numFmtId="0" fontId="0" fillId="0" borderId="20" xfId="0" applyBorder="1"/>
    <xf numFmtId="165" fontId="0" fillId="0" borderId="20" xfId="0" applyNumberFormat="1" applyBorder="1"/>
    <xf numFmtId="165" fontId="0" fillId="0" borderId="0" xfId="0" applyNumberFormat="1" applyBorder="1"/>
    <xf numFmtId="0" fontId="0" fillId="0" borderId="23" xfId="0" applyBorder="1"/>
    <xf numFmtId="0" fontId="0" fillId="0" borderId="24" xfId="0" applyBorder="1"/>
    <xf numFmtId="165" fontId="0" fillId="0" borderId="24" xfId="0" applyNumberFormat="1" applyBorder="1"/>
    <xf numFmtId="0" fontId="0" fillId="33" borderId="20" xfId="0" applyFill="1" applyBorder="1"/>
    <xf numFmtId="165" fontId="0" fillId="33" borderId="20" xfId="0" applyNumberFormat="1" applyFill="1" applyBorder="1"/>
    <xf numFmtId="164" fontId="0" fillId="33" borderId="20" xfId="0" applyNumberFormat="1" applyFill="1" applyBorder="1"/>
    <xf numFmtId="0" fontId="0" fillId="33" borderId="27" xfId="0" applyFill="1" applyBorder="1"/>
    <xf numFmtId="0" fontId="0" fillId="0" borderId="27" xfId="0" applyBorder="1"/>
    <xf numFmtId="164" fontId="0" fillId="0" borderId="0" xfId="0" applyNumberFormat="1" applyBorder="1"/>
    <xf numFmtId="0" fontId="21" fillId="0" borderId="0" xfId="0" applyFont="1"/>
    <xf numFmtId="2" fontId="0" fillId="0" borderId="0" xfId="0" applyNumberFormat="1" applyBorder="1"/>
    <xf numFmtId="0" fontId="0" fillId="0" borderId="20" xfId="0" applyFill="1" applyBorder="1"/>
    <xf numFmtId="0" fontId="0" fillId="0" borderId="26" xfId="0" applyBorder="1"/>
    <xf numFmtId="0" fontId="0" fillId="33" borderId="28" xfId="0" applyFill="1" applyBorder="1"/>
    <xf numFmtId="0" fontId="0" fillId="0" borderId="26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Fill="1" applyBorder="1"/>
    <xf numFmtId="0" fontId="0" fillId="0" borderId="24" xfId="0" applyFill="1" applyBorder="1"/>
    <xf numFmtId="0" fontId="0" fillId="0" borderId="29" xfId="0" applyBorder="1"/>
    <xf numFmtId="0" fontId="0" fillId="33" borderId="24" xfId="0" applyFill="1" applyBorder="1"/>
    <xf numFmtId="0" fontId="0" fillId="33" borderId="30" xfId="0" applyFill="1" applyBorder="1"/>
    <xf numFmtId="0" fontId="0" fillId="0" borderId="29" xfId="0" applyFill="1" applyBorder="1"/>
    <xf numFmtId="0" fontId="0" fillId="0" borderId="25" xfId="0" applyBorder="1"/>
    <xf numFmtId="164" fontId="0" fillId="33" borderId="0" xfId="0" applyNumberFormat="1" applyFill="1"/>
    <xf numFmtId="1" fontId="0" fillId="0" borderId="0" xfId="0" applyNumberFormat="1"/>
    <xf numFmtId="1" fontId="0" fillId="33" borderId="20" xfId="0" applyNumberFormat="1" applyFill="1" applyBorder="1"/>
    <xf numFmtId="1" fontId="0" fillId="0" borderId="12" xfId="0" applyNumberFormat="1" applyBorder="1"/>
    <xf numFmtId="1" fontId="0" fillId="0" borderId="0" xfId="0" applyNumberFormat="1" applyBorder="1"/>
    <xf numFmtId="1" fontId="0" fillId="0" borderId="29" xfId="0" applyNumberFormat="1" applyBorder="1"/>
    <xf numFmtId="1" fontId="0" fillId="33" borderId="13" xfId="0" applyNumberFormat="1" applyFill="1" applyBorder="1"/>
    <xf numFmtId="1" fontId="0" fillId="33" borderId="0" xfId="0" applyNumberFormat="1" applyFill="1"/>
    <xf numFmtId="0" fontId="0" fillId="0" borderId="32" xfId="0" applyBorder="1"/>
    <xf numFmtId="0" fontId="0" fillId="35" borderId="19" xfId="0" applyFill="1" applyBorder="1"/>
    <xf numFmtId="0" fontId="0" fillId="35" borderId="23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31" xfId="0" applyFill="1" applyBorder="1"/>
    <xf numFmtId="164" fontId="21" fillId="0" borderId="20" xfId="0" applyNumberFormat="1" applyFont="1" applyBorder="1"/>
    <xf numFmtId="164" fontId="21" fillId="0" borderId="0" xfId="0" applyNumberFormat="1" applyFont="1" applyBorder="1"/>
    <xf numFmtId="164" fontId="21" fillId="0" borderId="24" xfId="0" applyNumberFormat="1" applyFont="1" applyBorder="1"/>
    <xf numFmtId="0" fontId="18" fillId="33" borderId="18" xfId="0" applyFont="1" applyFill="1" applyBorder="1"/>
    <xf numFmtId="0" fontId="18" fillId="33" borderId="0" xfId="0" applyFont="1" applyFill="1" applyBorder="1"/>
    <xf numFmtId="0" fontId="18" fillId="33" borderId="13" xfId="0" applyFont="1" applyFill="1" applyBorder="1"/>
    <xf numFmtId="0" fontId="18" fillId="0" borderId="13" xfId="0" applyFont="1" applyFill="1" applyBorder="1"/>
    <xf numFmtId="165" fontId="18" fillId="33" borderId="20" xfId="0" applyNumberFormat="1" applyFont="1" applyFill="1" applyBorder="1"/>
    <xf numFmtId="0" fontId="18" fillId="33" borderId="28" xfId="0" applyFont="1" applyFill="1" applyBorder="1"/>
    <xf numFmtId="0" fontId="18" fillId="33" borderId="20" xfId="0" applyFont="1" applyFill="1" applyBorder="1"/>
    <xf numFmtId="0" fontId="18" fillId="0" borderId="18" xfId="0" applyFont="1" applyBorder="1"/>
    <xf numFmtId="0" fontId="18" fillId="0" borderId="0" xfId="0" applyFont="1" applyBorder="1"/>
    <xf numFmtId="0" fontId="18" fillId="0" borderId="13" xfId="0" applyFont="1" applyBorder="1"/>
    <xf numFmtId="0" fontId="18" fillId="0" borderId="12" xfId="0" applyFont="1" applyBorder="1"/>
    <xf numFmtId="0" fontId="18" fillId="0" borderId="11" xfId="0" applyFont="1" applyBorder="1"/>
    <xf numFmtId="0" fontId="18" fillId="0" borderId="14" xfId="0" applyFont="1" applyBorder="1"/>
    <xf numFmtId="0" fontId="18" fillId="33" borderId="12" xfId="0" applyFont="1" applyFill="1" applyBorder="1"/>
    <xf numFmtId="0" fontId="18" fillId="33" borderId="16" xfId="0" applyFont="1" applyFill="1" applyBorder="1"/>
    <xf numFmtId="0" fontId="18" fillId="0" borderId="14" xfId="0" applyFont="1" applyFill="1" applyBorder="1"/>
    <xf numFmtId="165" fontId="18" fillId="0" borderId="12" xfId="0" applyNumberFormat="1" applyFont="1" applyBorder="1"/>
    <xf numFmtId="0" fontId="18" fillId="0" borderId="0" xfId="0" applyFont="1" applyFill="1" applyBorder="1"/>
    <xf numFmtId="0" fontId="18" fillId="0" borderId="20" xfId="0" applyFont="1" applyBorder="1"/>
    <xf numFmtId="165" fontId="18" fillId="0" borderId="20" xfId="0" applyNumberFormat="1" applyFont="1" applyBorder="1"/>
    <xf numFmtId="165" fontId="18" fillId="0" borderId="0" xfId="0" applyNumberFormat="1" applyFont="1" applyBorder="1"/>
    <xf numFmtId="0" fontId="18" fillId="0" borderId="24" xfId="0" applyFont="1" applyBorder="1"/>
    <xf numFmtId="165" fontId="18" fillId="0" borderId="24" xfId="0" applyNumberFormat="1" applyFont="1" applyBorder="1"/>
    <xf numFmtId="2" fontId="18" fillId="33" borderId="20" xfId="0" applyNumberFormat="1" applyFont="1" applyFill="1" applyBorder="1"/>
    <xf numFmtId="2" fontId="18" fillId="0" borderId="20" xfId="0" applyNumberFormat="1" applyFont="1" applyBorder="1"/>
    <xf numFmtId="2" fontId="18" fillId="0" borderId="0" xfId="0" applyNumberFormat="1" applyFont="1" applyBorder="1"/>
    <xf numFmtId="2" fontId="18" fillId="0" borderId="24" xfId="0" applyNumberFormat="1" applyFont="1" applyBorder="1"/>
    <xf numFmtId="2" fontId="0" fillId="0" borderId="0" xfId="0" applyNumberFormat="1"/>
    <xf numFmtId="165" fontId="18" fillId="0" borderId="15" xfId="0" applyNumberFormat="1" applyFont="1" applyBorder="1"/>
    <xf numFmtId="165" fontId="18" fillId="33" borderId="28" xfId="0" applyNumberFormat="1" applyFont="1" applyFill="1" applyBorder="1"/>
    <xf numFmtId="165" fontId="18" fillId="0" borderId="16" xfId="0" applyNumberFormat="1" applyFont="1" applyBorder="1"/>
    <xf numFmtId="1" fontId="18" fillId="0" borderId="33" xfId="0" applyNumberFormat="1" applyFont="1" applyBorder="1"/>
    <xf numFmtId="1" fontId="18" fillId="33" borderId="34" xfId="0" applyNumberFormat="1" applyFont="1" applyFill="1" applyBorder="1"/>
    <xf numFmtId="1" fontId="18" fillId="0" borderId="35" xfId="0" applyNumberFormat="1" applyFont="1" applyBorder="1"/>
    <xf numFmtId="2" fontId="18" fillId="33" borderId="12" xfId="0" applyNumberFormat="1" applyFont="1" applyFill="1" applyBorder="1"/>
    <xf numFmtId="165" fontId="18" fillId="33" borderId="12" xfId="0" applyNumberFormat="1" applyFont="1" applyFill="1" applyBorder="1"/>
    <xf numFmtId="165" fontId="18" fillId="33" borderId="27" xfId="0" applyNumberFormat="1" applyFont="1" applyFill="1" applyBorder="1" applyAlignment="1">
      <alignment horizontal="center"/>
    </xf>
    <xf numFmtId="165" fontId="18" fillId="0" borderId="17" xfId="0" applyNumberFormat="1" applyFont="1" applyBorder="1"/>
    <xf numFmtId="165" fontId="18" fillId="0" borderId="10" xfId="0" applyNumberFormat="1" applyFont="1" applyBorder="1"/>
    <xf numFmtId="165" fontId="18" fillId="33" borderId="17" xfId="0" applyNumberFormat="1" applyFont="1" applyFill="1" applyBorder="1"/>
    <xf numFmtId="0" fontId="18" fillId="0" borderId="20" xfId="0" applyFont="1" applyFill="1" applyBorder="1"/>
    <xf numFmtId="0" fontId="18" fillId="0" borderId="24" xfId="0" applyFont="1" applyFill="1" applyBorder="1"/>
    <xf numFmtId="0" fontId="18" fillId="0" borderId="17" xfId="0" applyFont="1" applyBorder="1" applyAlignment="1"/>
    <xf numFmtId="0" fontId="18" fillId="0" borderId="10" xfId="0" applyFont="1" applyBorder="1" applyAlignment="1"/>
    <xf numFmtId="0" fontId="18" fillId="0" borderId="18" xfId="0" applyFont="1" applyBorder="1" applyAlignment="1"/>
    <xf numFmtId="0" fontId="18" fillId="0" borderId="0" xfId="0" applyFont="1" applyAlignment="1"/>
    <xf numFmtId="0" fontId="18" fillId="0" borderId="27" xfId="0" applyFont="1" applyBorder="1" applyAlignment="1"/>
    <xf numFmtId="0" fontId="18" fillId="33" borderId="19" xfId="0" applyFont="1" applyFill="1" applyBorder="1"/>
    <xf numFmtId="0" fontId="18" fillId="33" borderId="26" xfId="0" applyFont="1" applyFill="1" applyBorder="1"/>
    <xf numFmtId="0" fontId="18" fillId="0" borderId="26" xfId="0" applyFont="1" applyFill="1" applyBorder="1"/>
    <xf numFmtId="2" fontId="18" fillId="36" borderId="20" xfId="0" applyNumberFormat="1" applyFont="1" applyFill="1" applyBorder="1"/>
    <xf numFmtId="165" fontId="18" fillId="37" borderId="20" xfId="0" applyNumberFormat="1" applyFont="1" applyFill="1" applyBorder="1"/>
    <xf numFmtId="1" fontId="18" fillId="0" borderId="34" xfId="0" applyNumberFormat="1" applyFont="1" applyBorder="1"/>
    <xf numFmtId="165" fontId="18" fillId="0" borderId="28" xfId="0" applyNumberFormat="1" applyFont="1" applyBorder="1"/>
    <xf numFmtId="165" fontId="18" fillId="0" borderId="27" xfId="0" applyNumberFormat="1" applyFont="1" applyBorder="1" applyAlignment="1">
      <alignment horizontal="center"/>
    </xf>
    <xf numFmtId="1" fontId="18" fillId="0" borderId="31" xfId="0" applyNumberFormat="1" applyFont="1" applyBorder="1"/>
    <xf numFmtId="1" fontId="18" fillId="33" borderId="22" xfId="0" applyNumberFormat="1" applyFont="1" applyFill="1" applyBorder="1"/>
    <xf numFmtId="1" fontId="18" fillId="0" borderId="22" xfId="0" applyNumberFormat="1" applyFont="1" applyBorder="1"/>
    <xf numFmtId="1" fontId="18" fillId="0" borderId="22" xfId="0" applyNumberFormat="1" applyFont="1" applyFill="1" applyBorder="1"/>
    <xf numFmtId="0" fontId="18" fillId="0" borderId="23" xfId="0" applyFont="1" applyBorder="1" applyAlignment="1"/>
    <xf numFmtId="0" fontId="18" fillId="0" borderId="19" xfId="0" applyFont="1" applyBorder="1" applyAlignment="1"/>
    <xf numFmtId="164" fontId="0" fillId="0" borderId="15" xfId="0" applyNumberFormat="1" applyBorder="1"/>
    <xf numFmtId="164" fontId="0" fillId="0" borderId="15" xfId="0" applyNumberFormat="1" applyFill="1" applyBorder="1"/>
    <xf numFmtId="164" fontId="0" fillId="34" borderId="16" xfId="0" applyNumberFormat="1" applyFill="1" applyBorder="1"/>
    <xf numFmtId="164" fontId="0" fillId="0" borderId="16" xfId="0" applyNumberFormat="1" applyBorder="1"/>
    <xf numFmtId="165" fontId="0" fillId="33" borderId="18" xfId="0" applyNumberFormat="1" applyFill="1" applyBorder="1"/>
    <xf numFmtId="165" fontId="0" fillId="33" borderId="0" xfId="0" applyNumberFormat="1" applyFill="1" applyBorder="1"/>
    <xf numFmtId="165" fontId="0" fillId="33" borderId="22" xfId="0" applyNumberFormat="1" applyFill="1" applyBorder="1"/>
    <xf numFmtId="165" fontId="0" fillId="0" borderId="17" xfId="0" applyNumberFormat="1" applyBorder="1"/>
    <xf numFmtId="165" fontId="20" fillId="33" borderId="27" xfId="0" applyNumberFormat="1" applyFont="1" applyFill="1" applyBorder="1"/>
    <xf numFmtId="165" fontId="0" fillId="0" borderId="10" xfId="0" applyNumberFormat="1" applyBorder="1"/>
    <xf numFmtId="0" fontId="19" fillId="35" borderId="0" xfId="0" applyFont="1" applyFill="1"/>
    <xf numFmtId="165" fontId="0" fillId="0" borderId="16" xfId="0" applyNumberFormat="1" applyBorder="1"/>
    <xf numFmtId="0" fontId="18" fillId="0" borderId="21" xfId="0" applyFont="1" applyBorder="1"/>
    <xf numFmtId="0" fontId="18" fillId="0" borderId="22" xfId="0" applyFont="1" applyFill="1" applyBorder="1"/>
    <xf numFmtId="0" fontId="18" fillId="0" borderId="22" xfId="0" applyFont="1" applyBorder="1"/>
    <xf numFmtId="0" fontId="18" fillId="34" borderId="31" xfId="0" applyFont="1" applyFill="1" applyBorder="1"/>
    <xf numFmtId="0" fontId="18" fillId="0" borderId="25" xfId="0" applyFont="1" applyBorder="1"/>
    <xf numFmtId="0" fontId="18" fillId="0" borderId="19" xfId="0" applyFont="1" applyFill="1" applyBorder="1"/>
    <xf numFmtId="0" fontId="18" fillId="0" borderId="18" xfId="0" applyFont="1" applyFill="1" applyBorder="1"/>
    <xf numFmtId="0" fontId="18" fillId="0" borderId="23" xfId="0" applyFont="1" applyFill="1" applyBorder="1"/>
    <xf numFmtId="165" fontId="0" fillId="33" borderId="24" xfId="0" applyNumberFormat="1" applyFill="1" applyBorder="1"/>
    <xf numFmtId="165" fontId="0" fillId="33" borderId="0" xfId="0" applyNumberFormat="1" applyFill="1"/>
    <xf numFmtId="165" fontId="0" fillId="33" borderId="12" xfId="0" applyNumberFormat="1" applyFill="1" applyBorder="1"/>
    <xf numFmtId="164" fontId="0" fillId="33" borderId="12" xfId="0" applyNumberFormat="1" applyFill="1" applyBorder="1"/>
    <xf numFmtId="164" fontId="0" fillId="33" borderId="0" xfId="0" applyNumberFormat="1" applyFill="1" applyBorder="1"/>
    <xf numFmtId="0" fontId="0" fillId="0" borderId="0" xfId="0" applyAlignment="1">
      <alignment vertical="center"/>
    </xf>
    <xf numFmtId="0" fontId="22" fillId="0" borderId="0" xfId="0" applyFont="1" applyAlignment="1">
      <alignment vertical="center"/>
    </xf>
    <xf numFmtId="164" fontId="0" fillId="0" borderId="22" xfId="0" applyNumberFormat="1" applyBorder="1"/>
    <xf numFmtId="164" fontId="0" fillId="0" borderId="24" xfId="0" applyNumberFormat="1" applyBorder="1"/>
    <xf numFmtId="164" fontId="0" fillId="0" borderId="25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DC6D"/>
      <color rgb="FFFEF3B4"/>
      <color rgb="FFFDDF0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7"/>
  <sheetViews>
    <sheetView tabSelected="1" workbookViewId="0">
      <pane ySplit="2" topLeftCell="A3" activePane="bottomLeft" state="frozen"/>
      <selection pane="bottomLeft" activeCell="AG68" sqref="AG68"/>
    </sheetView>
  </sheetViews>
  <sheetFormatPr defaultRowHeight="14.4"/>
  <cols>
    <col min="1" max="1" width="2.6640625" style="15" customWidth="1"/>
    <col min="2" max="2" width="5.5546875" customWidth="1"/>
    <col min="3" max="3" width="6" customWidth="1"/>
    <col min="4" max="6" width="5.5546875" customWidth="1"/>
    <col min="7" max="7" width="3.33203125" style="9" customWidth="1"/>
    <col min="8" max="8" width="5.5546875" style="7" customWidth="1"/>
    <col min="9" max="9" width="5.6640625" style="7" customWidth="1"/>
    <col min="10" max="10" width="5.5546875" style="7" customWidth="1"/>
    <col min="11" max="11" width="5.5546875" style="18" customWidth="1"/>
    <col min="12" max="12" width="5.5546875" style="7" customWidth="1"/>
    <col min="13" max="13" width="3.5546875" style="11" customWidth="1"/>
    <col min="14" max="14" width="11.6640625" customWidth="1"/>
    <col min="18" max="18" width="1.5546875" style="15" customWidth="1"/>
    <col min="22" max="22" width="1.5546875" style="15" customWidth="1"/>
    <col min="23" max="25" width="9.109375" style="26"/>
    <col min="26" max="26" width="6.5546875" style="141" customWidth="1"/>
    <col min="27" max="27" width="11.88671875" style="155" customWidth="1"/>
    <col min="28" max="29" width="9.109375" style="155"/>
    <col min="30" max="30" width="7.5546875" style="56" customWidth="1"/>
    <col min="31" max="31" width="5.5546875" style="57" customWidth="1"/>
    <col min="32" max="32" width="7.88671875" style="17" customWidth="1"/>
    <col min="33" max="33" width="7.33203125" customWidth="1"/>
    <col min="34" max="34" width="7.5546875" customWidth="1"/>
    <col min="35" max="35" width="7.44140625" customWidth="1"/>
    <col min="36" max="36" width="7.44140625" style="57" customWidth="1"/>
    <col min="37" max="37" width="9.5546875" style="134" bestFit="1" customWidth="1"/>
    <col min="38" max="38" width="9.5546875" style="4" customWidth="1"/>
    <col min="39" max="39" width="9.109375" style="4"/>
    <col min="40" max="40" width="9.88671875" customWidth="1"/>
    <col min="46" max="46" width="11.33203125" customWidth="1"/>
    <col min="53" max="53" width="12" customWidth="1"/>
  </cols>
  <sheetData>
    <row r="1" spans="1:41">
      <c r="A1" s="15" t="s">
        <v>61</v>
      </c>
      <c r="B1" s="7" t="s">
        <v>60</v>
      </c>
      <c r="C1" s="7"/>
      <c r="D1" s="7"/>
      <c r="E1" s="22"/>
      <c r="F1" s="5"/>
      <c r="G1" s="8"/>
      <c r="H1" s="14" t="s">
        <v>83</v>
      </c>
      <c r="I1" s="13"/>
      <c r="J1" s="13"/>
      <c r="K1" s="24"/>
      <c r="N1" s="41" t="s">
        <v>56</v>
      </c>
      <c r="O1" s="41" t="s">
        <v>88</v>
      </c>
      <c r="P1" s="41" t="s">
        <v>47</v>
      </c>
      <c r="Q1" s="41" t="s">
        <v>55</v>
      </c>
      <c r="S1" s="144" t="s">
        <v>87</v>
      </c>
      <c r="T1" s="144"/>
      <c r="U1" s="144"/>
      <c r="W1" s="26" t="s">
        <v>96</v>
      </c>
      <c r="Z1" s="141" t="s">
        <v>89</v>
      </c>
      <c r="AA1" s="154" t="s">
        <v>99</v>
      </c>
      <c r="AB1" s="154"/>
      <c r="AC1" s="154"/>
      <c r="AD1" s="144" t="s">
        <v>67</v>
      </c>
      <c r="AE1" s="57" t="s">
        <v>71</v>
      </c>
      <c r="AF1" s="17" t="s">
        <v>62</v>
      </c>
      <c r="AJ1" s="61" t="s">
        <v>72</v>
      </c>
      <c r="AK1" s="134" t="s">
        <v>74</v>
      </c>
      <c r="AO1" t="s">
        <v>80</v>
      </c>
    </row>
    <row r="2" spans="1:41">
      <c r="B2" s="7" t="s">
        <v>44</v>
      </c>
      <c r="C2" s="7" t="s">
        <v>45</v>
      </c>
      <c r="D2" s="7" t="s">
        <v>46</v>
      </c>
      <c r="E2" s="22" t="s">
        <v>57</v>
      </c>
      <c r="F2" s="5" t="s">
        <v>58</v>
      </c>
      <c r="G2" s="8" t="s">
        <v>59</v>
      </c>
      <c r="H2" s="7" t="s">
        <v>44</v>
      </c>
      <c r="I2" s="7" t="s">
        <v>45</v>
      </c>
      <c r="J2" s="7" t="s">
        <v>46</v>
      </c>
      <c r="K2" s="18" t="s">
        <v>57</v>
      </c>
      <c r="L2" s="7" t="s">
        <v>58</v>
      </c>
      <c r="M2" s="11" t="s">
        <v>59</v>
      </c>
      <c r="N2" s="25" t="s">
        <v>85</v>
      </c>
      <c r="O2" s="3" t="s">
        <v>44</v>
      </c>
      <c r="P2" s="3" t="s">
        <v>45</v>
      </c>
      <c r="Q2" s="3" t="s">
        <v>46</v>
      </c>
      <c r="R2" s="38"/>
      <c r="S2" s="35" t="s">
        <v>44</v>
      </c>
      <c r="T2" s="35" t="s">
        <v>45</v>
      </c>
      <c r="U2" s="35" t="s">
        <v>46</v>
      </c>
      <c r="V2" s="39"/>
      <c r="W2" s="36" t="s">
        <v>44</v>
      </c>
      <c r="X2" s="36" t="s">
        <v>45</v>
      </c>
      <c r="Y2" s="36" t="s">
        <v>46</v>
      </c>
      <c r="Z2" s="142" t="s">
        <v>90</v>
      </c>
      <c r="AA2" s="36" t="s">
        <v>44</v>
      </c>
      <c r="AB2" s="36" t="s">
        <v>45</v>
      </c>
      <c r="AC2" s="36" t="s">
        <v>46</v>
      </c>
      <c r="AD2" s="37" t="s">
        <v>100</v>
      </c>
      <c r="AE2" s="58" t="s">
        <v>54</v>
      </c>
      <c r="AF2" s="45" t="s">
        <v>63</v>
      </c>
      <c r="AG2" s="35" t="s">
        <v>64</v>
      </c>
      <c r="AH2" s="35" t="s">
        <v>65</v>
      </c>
      <c r="AI2" s="35" t="s">
        <v>66</v>
      </c>
      <c r="AJ2" s="62" t="s">
        <v>73</v>
      </c>
      <c r="AK2" s="135" t="s">
        <v>75</v>
      </c>
      <c r="AL2" s="6"/>
      <c r="AM2" s="6"/>
      <c r="AN2" s="6"/>
    </row>
    <row r="3" spans="1:41">
      <c r="E3" s="23"/>
      <c r="F3" s="4"/>
      <c r="N3" t="s">
        <v>0</v>
      </c>
      <c r="O3">
        <v>428.336994</v>
      </c>
      <c r="P3">
        <v>-4240.1482660000001</v>
      </c>
      <c r="Q3">
        <v>1244.0599070000001</v>
      </c>
      <c r="S3">
        <f>O3</f>
        <v>428.336994</v>
      </c>
      <c r="T3">
        <f>Q3</f>
        <v>1244.0599070000001</v>
      </c>
      <c r="U3">
        <f>-P3</f>
        <v>4240.1482660000001</v>
      </c>
      <c r="W3" s="26">
        <f>S3-flatx</f>
        <v>-4.3287772500000301</v>
      </c>
      <c r="X3" s="26">
        <f>T3-flaty</f>
        <v>760.15606675000004</v>
      </c>
      <c r="Y3" s="26">
        <f>U3-flatz</f>
        <v>12.693224999999984</v>
      </c>
      <c r="AA3" s="155">
        <f>tran11*W3+tran12*X3+tran13*Y3+0</f>
        <v>-2.8434602957696322</v>
      </c>
      <c r="AB3" s="155">
        <f>tran21*W3+tran22*X3+tran23*Y3+0</f>
        <v>760.26901993147817</v>
      </c>
      <c r="AC3" s="155">
        <f>tran31*W3+tran32*X3+tran33*Y3+(-854.2)</f>
        <v>-854.319097869659</v>
      </c>
      <c r="AK3" s="134">
        <f>SQRT(W3*W3+X3*X3+Y3*Y3)</f>
        <v>760.27435974798686</v>
      </c>
      <c r="AM3" s="138">
        <v>0.97234529999999997</v>
      </c>
      <c r="AN3" s="139">
        <v>-2.0920999999999999E-3</v>
      </c>
      <c r="AO3" s="140">
        <v>0.23287450000000001</v>
      </c>
    </row>
    <row r="4" spans="1:41">
      <c r="E4" s="23"/>
      <c r="F4" s="4"/>
      <c r="N4" t="s">
        <v>1</v>
      </c>
      <c r="O4">
        <v>436.01324799999998</v>
      </c>
      <c r="P4">
        <v>-4214.2853329999998</v>
      </c>
      <c r="Q4">
        <v>-276.06834600000002</v>
      </c>
      <c r="S4">
        <f t="shared" ref="S4:S6" si="0">O4</f>
        <v>436.01324799999998</v>
      </c>
      <c r="T4">
        <f t="shared" ref="T4:T6" si="1">Q4</f>
        <v>-276.06834600000002</v>
      </c>
      <c r="U4">
        <f t="shared" ref="U4:U6" si="2">-P4</f>
        <v>4214.2853329999998</v>
      </c>
      <c r="W4" s="26">
        <f>S4-flatx</f>
        <v>3.3474767499999416</v>
      </c>
      <c r="X4" s="26">
        <f>T4-flaty</f>
        <v>-759.97218625000005</v>
      </c>
      <c r="Y4" s="26">
        <f>U4-flatz</f>
        <v>-13.169708000000355</v>
      </c>
      <c r="AA4" s="155">
        <f>tran11*W4+tran12*X4+tran13*Y4+0</f>
        <v>1.777951929929261</v>
      </c>
      <c r="AB4" s="155">
        <f>tran21*W4+tran22*X4+tran23*Y4+0</f>
        <v>-760.09155862405123</v>
      </c>
      <c r="AC4" s="155">
        <f>tran31*W4+tran32*X4+tran33*Y4+(-854.2)</f>
        <v>-854.31894648798971</v>
      </c>
      <c r="AK4" s="134">
        <f>SQRT(W4*W4+X4*X4+Y4*Y4)</f>
        <v>760.09365915195076</v>
      </c>
      <c r="AM4" s="138">
        <v>-2.0920999999999999E-3</v>
      </c>
      <c r="AN4" s="139">
        <v>0.99984079999999997</v>
      </c>
      <c r="AO4" s="140">
        <v>1.7719200000000001E-2</v>
      </c>
    </row>
    <row r="5" spans="1:41">
      <c r="E5" s="23"/>
      <c r="F5" s="4"/>
      <c r="N5" t="s">
        <v>2</v>
      </c>
      <c r="O5">
        <v>1172.316491</v>
      </c>
      <c r="P5">
        <v>-4404.7369159999998</v>
      </c>
      <c r="Q5">
        <v>484.70857799999999</v>
      </c>
      <c r="S5">
        <f t="shared" si="0"/>
        <v>1172.316491</v>
      </c>
      <c r="T5">
        <f t="shared" si="1"/>
        <v>484.70857799999999</v>
      </c>
      <c r="U5">
        <f t="shared" si="2"/>
        <v>4404.7369159999998</v>
      </c>
      <c r="W5" s="26">
        <f>S5-flatx</f>
        <v>739.65071975000001</v>
      </c>
      <c r="X5" s="26">
        <f>T5-flaty</f>
        <v>0.8047377499999584</v>
      </c>
      <c r="Y5" s="26">
        <f>U5-flatz</f>
        <v>177.28187499999967</v>
      </c>
      <c r="Z5" s="141">
        <f>180*ATAN(Y5/W5)/3.1416</f>
        <v>13.478539528370741</v>
      </c>
      <c r="AA5" s="155">
        <f>tran11*W5+tran12*X5+tran13*Y5+0</f>
        <v>760.4786453983703</v>
      </c>
      <c r="AB5" s="155">
        <f>tran21*W5+tran22*X5+tran23*Y5+0</f>
        <v>2.3984793644611777</v>
      </c>
      <c r="AC5" s="155">
        <f>tran31*W5+tran32*X5+tran33*Y5+(-854.2)</f>
        <v>-854.08085291412408</v>
      </c>
      <c r="AK5" s="134">
        <f>SQRT(W5*W5+X5*X5+Y5*Y5)</f>
        <v>760.60022221470251</v>
      </c>
      <c r="AM5" s="138">
        <v>-0.23287450000000001</v>
      </c>
      <c r="AN5" s="139">
        <v>-1.7719200000000001E-2</v>
      </c>
      <c r="AO5" s="140">
        <v>0.97234529999999997</v>
      </c>
    </row>
    <row r="6" spans="1:41">
      <c r="E6" s="23"/>
      <c r="F6" s="4"/>
      <c r="N6" t="s">
        <v>3</v>
      </c>
      <c r="O6">
        <v>-306.003648</v>
      </c>
      <c r="P6">
        <v>-4050.649649</v>
      </c>
      <c r="Q6">
        <v>482.91522200000003</v>
      </c>
      <c r="S6">
        <f t="shared" si="0"/>
        <v>-306.003648</v>
      </c>
      <c r="T6">
        <f t="shared" si="1"/>
        <v>482.91522200000003</v>
      </c>
      <c r="U6">
        <f t="shared" si="2"/>
        <v>4050.649649</v>
      </c>
      <c r="W6" s="26">
        <f>S6-flatx</f>
        <v>-738.66941925000003</v>
      </c>
      <c r="X6" s="26">
        <f>T6-flaty</f>
        <v>-0.98861825000000181</v>
      </c>
      <c r="Y6" s="26">
        <f>U6-flatz</f>
        <v>-176.80539200000021</v>
      </c>
      <c r="Z6" s="141">
        <f>180*ATAN(Y6/W6)/3.1416</f>
        <v>13.460839701195134</v>
      </c>
      <c r="AA6" s="155">
        <f>tran11*W6+tran12*X6+tran13*Y6+0</f>
        <v>-759.41313703253024</v>
      </c>
      <c r="AB6" s="155">
        <f>tran21*W6+tran22*X6+tran23*Y6+0</f>
        <v>-2.5759406718880808</v>
      </c>
      <c r="AC6" s="155">
        <f>tran31*W6+tran32*X6+tran33*Y6+(-854.2)</f>
        <v>-854.0811027282283</v>
      </c>
      <c r="AK6" s="134">
        <f>SQRT(W6*W6+X6*X6+Y6*Y6)</f>
        <v>759.53514398048117</v>
      </c>
    </row>
    <row r="7" spans="1:41" s="2" customFormat="1">
      <c r="A7" s="16">
        <v>0</v>
      </c>
      <c r="B7" s="2">
        <v>0</v>
      </c>
      <c r="C7" s="2">
        <v>0</v>
      </c>
      <c r="D7" s="2">
        <v>0</v>
      </c>
      <c r="E7" s="1">
        <v>0</v>
      </c>
      <c r="F7" s="2">
        <v>0</v>
      </c>
      <c r="G7" s="10">
        <v>0</v>
      </c>
      <c r="H7" s="3">
        <v>0</v>
      </c>
      <c r="I7" s="3">
        <v>0</v>
      </c>
      <c r="J7" s="3">
        <v>0</v>
      </c>
      <c r="K7" s="25">
        <v>0</v>
      </c>
      <c r="L7" s="3">
        <v>0</v>
      </c>
      <c r="M7" s="12">
        <v>0</v>
      </c>
      <c r="O7" s="2">
        <f>AVERAGE(O3:O6)</f>
        <v>432.66577125000003</v>
      </c>
      <c r="P7" s="2">
        <f>AVERAGE(P3:P6)</f>
        <v>-4227.4550410000002</v>
      </c>
      <c r="Q7" s="2">
        <f>AVERAGE(Q3:Q6)</f>
        <v>483.90384025000003</v>
      </c>
      <c r="R7" s="16"/>
      <c r="S7" s="2">
        <f>AVERAGE(S3:S6)</f>
        <v>432.66577125000003</v>
      </c>
      <c r="T7" s="2">
        <f>AVERAGE(T3:T6)</f>
        <v>483.90384025000003</v>
      </c>
      <c r="U7" s="2">
        <f>AVERAGE(U3:U6)</f>
        <v>4227.4550410000002</v>
      </c>
      <c r="V7" s="16"/>
      <c r="W7" s="27">
        <f t="shared" ref="W7:AB7" si="3">AVERAGE(W3:W6)</f>
        <v>0</v>
      </c>
      <c r="X7" s="27">
        <f t="shared" si="3"/>
        <v>-1.4210854715202004E-14</v>
      </c>
      <c r="Y7" s="27">
        <f t="shared" si="3"/>
        <v>-2.2737367544323206E-13</v>
      </c>
      <c r="Z7" s="143">
        <f t="shared" si="3"/>
        <v>13.469689614782936</v>
      </c>
      <c r="AA7" s="156">
        <f t="shared" si="3"/>
        <v>0</v>
      </c>
      <c r="AB7" s="156">
        <f t="shared" si="3"/>
        <v>8.7707618945387367E-15</v>
      </c>
      <c r="AC7" s="156">
        <f>-854.2-AVERAGE(AC3:AC6)</f>
        <v>0</v>
      </c>
      <c r="AD7" s="157">
        <v>0</v>
      </c>
      <c r="AE7" s="59"/>
      <c r="AF7" s="19">
        <f>W7-H7</f>
        <v>0</v>
      </c>
      <c r="AG7" s="27">
        <f>X7-I7</f>
        <v>-1.4210854715202004E-14</v>
      </c>
      <c r="AH7" s="27">
        <f>Y7-J7</f>
        <v>-2.2737367544323206E-13</v>
      </c>
      <c r="AI7" s="21">
        <f>ABS(AD7-K7)</f>
        <v>0</v>
      </c>
      <c r="AJ7" s="59"/>
      <c r="AK7" s="136">
        <f>AVERAGE(AK3:AK6)</f>
        <v>760.12584627378033</v>
      </c>
      <c r="AL7" s="2">
        <f>STDEV(AK3:AK6)</f>
        <v>0.44611433342707996</v>
      </c>
      <c r="AO7" s="2">
        <f>AK7-radius</f>
        <v>-5.4419709620106005E-3</v>
      </c>
    </row>
    <row r="8" spans="1:41">
      <c r="E8" s="23"/>
      <c r="F8" s="4"/>
      <c r="N8" t="s">
        <v>4</v>
      </c>
      <c r="O8">
        <v>431.57441399999999</v>
      </c>
      <c r="P8">
        <v>-4251.1004929999999</v>
      </c>
      <c r="Q8">
        <v>1238.2918560000001</v>
      </c>
      <c r="S8" s="6">
        <f>O8</f>
        <v>431.57441399999999</v>
      </c>
      <c r="T8" s="6">
        <f>Q8</f>
        <v>1238.2918560000001</v>
      </c>
      <c r="U8" s="6">
        <f>-P8</f>
        <v>4251.1004929999999</v>
      </c>
      <c r="W8" s="26">
        <f>S8-flatx</f>
        <v>-1.0913572500000441</v>
      </c>
      <c r="X8" s="26">
        <f>T8-flaty</f>
        <v>754.38801575000002</v>
      </c>
      <c r="Y8" s="26">
        <f>U8-flatz</f>
        <v>23.64545199999975</v>
      </c>
      <c r="AA8" s="155">
        <f>tran11*W8+tran12*X8+tran13*Y8+0</f>
        <v>2.8669915513648991</v>
      </c>
      <c r="AB8" s="155">
        <f>tran21*W8+tran22*X8+tran23*Y8+0</f>
        <v>754.68917889947375</v>
      </c>
      <c r="AC8" s="155">
        <f>tran31*W8+tran32*X8+tran33*Y8+(-854.2)</f>
        <v>-844.32145873618697</v>
      </c>
      <c r="AK8" s="134">
        <f t="shared" ref="AK8:AK10" si="4">SQRT(W8*W8+X8*X8+Y8*Y8)</f>
        <v>754.75928398937481</v>
      </c>
    </row>
    <row r="9" spans="1:41">
      <c r="E9" s="23"/>
      <c r="F9" s="4"/>
      <c r="N9" t="s">
        <v>5</v>
      </c>
      <c r="O9">
        <v>440.250945</v>
      </c>
      <c r="P9">
        <v>-4220.8745989999998</v>
      </c>
      <c r="Q9">
        <v>-281.77595700000001</v>
      </c>
      <c r="S9">
        <f t="shared" ref="S9:S11" si="5">O9</f>
        <v>440.250945</v>
      </c>
      <c r="T9">
        <f t="shared" ref="T9:T11" si="6">Q9</f>
        <v>-281.77595700000001</v>
      </c>
      <c r="U9">
        <f t="shared" ref="U9:U11" si="7">-P9</f>
        <v>4220.8745989999998</v>
      </c>
      <c r="W9" s="26">
        <f>S9-flatx</f>
        <v>7.5851737499999672</v>
      </c>
      <c r="X9" s="26">
        <f>T9-flaty</f>
        <v>-765.67979725000009</v>
      </c>
      <c r="Y9" s="26">
        <f>U9-flatz</f>
        <v>-6.5804420000004029</v>
      </c>
      <c r="AA9" s="155">
        <f>tran11*W9+tran12*X9+tran13*Y9+0</f>
        <v>7.444869608793474</v>
      </c>
      <c r="AB9" s="155">
        <f>tran21*W9+tran22*X9+tran23*Y9+0</f>
        <v>-765.69037013616662</v>
      </c>
      <c r="AC9" s="155">
        <f>tran31*W9+tran32*X9+tran33*Y9+(-854.2)</f>
        <v>-848.79762193163515</v>
      </c>
      <c r="AK9" s="134">
        <f t="shared" si="4"/>
        <v>765.7456424913787</v>
      </c>
    </row>
    <row r="10" spans="1:41">
      <c r="E10" s="23"/>
      <c r="F10" s="4"/>
      <c r="N10" t="s">
        <v>6</v>
      </c>
      <c r="O10">
        <v>1176.049031</v>
      </c>
      <c r="P10">
        <v>-4413.4787319999996</v>
      </c>
      <c r="Q10">
        <v>478.96228100000002</v>
      </c>
      <c r="S10">
        <f t="shared" si="5"/>
        <v>1176.049031</v>
      </c>
      <c r="T10">
        <f t="shared" si="6"/>
        <v>478.96228100000002</v>
      </c>
      <c r="U10">
        <f t="shared" si="7"/>
        <v>4413.4787319999996</v>
      </c>
      <c r="W10" s="26">
        <f>S10-flatx</f>
        <v>743.38325974999998</v>
      </c>
      <c r="X10" s="26">
        <f>T10-flaty</f>
        <v>-4.9415592500000116</v>
      </c>
      <c r="Y10" s="26">
        <f>U10-flatz</f>
        <v>186.02369099999942</v>
      </c>
      <c r="Z10" s="141">
        <f>180*ATAN(Y10/W10)/3.1416</f>
        <v>14.0491131179108</v>
      </c>
      <c r="AA10" s="155">
        <f>tran11*W10+tran12*X10+tran13*Y10+0</f>
        <v>766.15573098247796</v>
      </c>
      <c r="AB10" s="155">
        <f>tran21*W10+tran22*X10+tran23*Y10+0</f>
        <v>-3.1998136859231963</v>
      </c>
      <c r="AC10" s="155">
        <f>tran31*W10+tran32*X10+tran33*Y10+(-854.2)</f>
        <v>-846.34818281348703</v>
      </c>
      <c r="AK10" s="134">
        <f t="shared" si="4"/>
        <v>766.32101856703662</v>
      </c>
    </row>
    <row r="11" spans="1:41">
      <c r="E11" s="23"/>
      <c r="F11" s="4"/>
      <c r="N11" t="s">
        <v>7</v>
      </c>
      <c r="O11">
        <v>-302.23784899999998</v>
      </c>
      <c r="P11">
        <v>-4059.3348700000001</v>
      </c>
      <c r="Q11">
        <v>477.17503199999999</v>
      </c>
      <c r="S11">
        <f t="shared" si="5"/>
        <v>-302.23784899999998</v>
      </c>
      <c r="T11">
        <f t="shared" si="6"/>
        <v>477.17503199999999</v>
      </c>
      <c r="U11">
        <f t="shared" si="7"/>
        <v>4059.3348700000001</v>
      </c>
      <c r="W11" s="26">
        <f>S11-flatx</f>
        <v>-734.90362025000002</v>
      </c>
      <c r="X11" s="26">
        <f>T11-flaty</f>
        <v>-6.7288082500000428</v>
      </c>
      <c r="Y11" s="26">
        <f>U11-flatz</f>
        <v>-168.12017100000003</v>
      </c>
      <c r="Z11" s="141">
        <f>180*ATAN(Y11/W11)/3.1416</f>
        <v>12.885507015273813</v>
      </c>
      <c r="AA11" s="155">
        <f>tran11*W11+tran12*X11+tran13*Y11+0</f>
        <v>-753.71690452487201</v>
      </c>
      <c r="AB11" s="155">
        <f>tran21*W11+tran22*X11+tran23*Y11+0</f>
        <v>-8.1692000937848182</v>
      </c>
      <c r="AC11" s="155">
        <f>tran31*W11+tran32*X11+tran33*Y11+(-854.2)</f>
        <v>-846.41131589399436</v>
      </c>
      <c r="AK11" s="134">
        <f>SQRT(W11*W11+X11*X11+Y11*Y11)</f>
        <v>753.91843047778764</v>
      </c>
    </row>
    <row r="12" spans="1:41" s="2" customFormat="1">
      <c r="A12" s="16">
        <v>1</v>
      </c>
      <c r="B12" s="2">
        <v>5.66</v>
      </c>
      <c r="C12" s="2">
        <v>0</v>
      </c>
      <c r="D12" s="2">
        <v>7.73</v>
      </c>
      <c r="E12" s="1">
        <v>0.17</v>
      </c>
      <c r="F12" s="2">
        <v>0</v>
      </c>
      <c r="G12" s="10">
        <v>0</v>
      </c>
      <c r="H12" s="3">
        <v>5.66</v>
      </c>
      <c r="I12" s="3">
        <f>-1938*E12*3.1416/180</f>
        <v>-5.750175200000001</v>
      </c>
      <c r="J12" s="3">
        <v>7.73</v>
      </c>
      <c r="K12" s="25">
        <v>0.17</v>
      </c>
      <c r="L12" s="3">
        <v>0</v>
      </c>
      <c r="M12" s="12">
        <v>0</v>
      </c>
      <c r="O12" s="2">
        <f>AVERAGE(O8:O11)</f>
        <v>436.40913524999996</v>
      </c>
      <c r="P12" s="2">
        <f>AVERAGE(P8:P11)</f>
        <v>-4236.1971734999997</v>
      </c>
      <c r="Q12" s="2">
        <f>AVERAGE(Q8:Q11)</f>
        <v>478.16330300000004</v>
      </c>
      <c r="R12" s="16"/>
      <c r="S12" s="2">
        <f>AVERAGE(S8:S11)</f>
        <v>436.40913524999996</v>
      </c>
      <c r="T12" s="2">
        <f>AVERAGE(T8:T11)</f>
        <v>478.16330300000004</v>
      </c>
      <c r="U12" s="2">
        <f>AVERAGE(U8:U11)</f>
        <v>4236.1971734999997</v>
      </c>
      <c r="V12" s="16"/>
      <c r="W12" s="27">
        <f t="shared" ref="W12:AB12" si="8">AVERAGE(W8:W11)</f>
        <v>3.7433639999999571</v>
      </c>
      <c r="X12" s="27">
        <f t="shared" si="8"/>
        <v>-5.7405372500000311</v>
      </c>
      <c r="Y12" s="27">
        <f t="shared" si="8"/>
        <v>8.7421324999996841</v>
      </c>
      <c r="Z12" s="143">
        <f t="shared" si="8"/>
        <v>13.467310066592306</v>
      </c>
      <c r="AA12" s="156">
        <f t="shared" si="8"/>
        <v>5.6876719044410891</v>
      </c>
      <c r="AB12" s="156">
        <f t="shared" si="8"/>
        <v>-5.592551254100222</v>
      </c>
      <c r="AC12" s="156">
        <f>-(-854.2-AVERAGE(AC8:AC11))</f>
        <v>7.7303551561741415</v>
      </c>
      <c r="AD12" s="157">
        <v>0.16869999999999999</v>
      </c>
      <c r="AE12" s="59">
        <f>X12/TAN(K12*3.1416/180)</f>
        <v>-1934.7460132610358</v>
      </c>
      <c r="AF12" s="145">
        <f>AA12-H12</f>
        <v>2.7671904441088913E-2</v>
      </c>
      <c r="AG12" s="27">
        <f>AB12-I12</f>
        <v>0.15762394589977902</v>
      </c>
      <c r="AH12" s="27">
        <f>AC12-J12</f>
        <v>3.5515617414105805E-4</v>
      </c>
      <c r="AI12" s="21">
        <f>ABS(AD12-K12)</f>
        <v>1.3000000000000234E-3</v>
      </c>
      <c r="AJ12" s="59">
        <f>(AE12)-(-1938+33.75)</f>
        <v>-30.496013261035841</v>
      </c>
      <c r="AK12" s="136">
        <f>AVERAGE(AK8:AK11)</f>
        <v>760.18609388139441</v>
      </c>
      <c r="AL12" s="2">
        <f>STDEV(AK8:AK11)</f>
        <v>6.7646076947179985</v>
      </c>
      <c r="AO12" s="2">
        <f>AK12-radius</f>
        <v>5.4805636652076828E-2</v>
      </c>
    </row>
    <row r="13" spans="1:41">
      <c r="E13" s="23"/>
      <c r="F13" s="4"/>
      <c r="I13" s="7">
        <f>SQRT(H12*H12+I12*I12+J12*J12)</f>
        <v>11.17376457737924</v>
      </c>
      <c r="N13" t="s">
        <v>8</v>
      </c>
      <c r="O13">
        <v>432.52586300000002</v>
      </c>
      <c r="P13">
        <v>-4246.9046829999997</v>
      </c>
      <c r="Q13">
        <v>1249.6321869999999</v>
      </c>
      <c r="S13">
        <f>O13</f>
        <v>432.52586300000002</v>
      </c>
      <c r="T13">
        <f>Q13</f>
        <v>1249.6321869999999</v>
      </c>
      <c r="U13">
        <f>-P13</f>
        <v>4246.9046829999997</v>
      </c>
      <c r="W13" s="26">
        <f>S13-flatx</f>
        <v>-0.13990825000001905</v>
      </c>
      <c r="X13" s="26">
        <f>T13-flaty</f>
        <v>765.7283467499999</v>
      </c>
      <c r="Y13" s="26">
        <f>U13-flatz</f>
        <v>19.449641999999585</v>
      </c>
      <c r="AA13" s="155">
        <f>tran11*W13+tran12*X13+tran13*Y13+0</f>
        <v>2.7913062523744849</v>
      </c>
      <c r="AB13" s="155">
        <f>tran21*W13+tran22*X13+tran23*Y13+0</f>
        <v>765.95136759577349</v>
      </c>
      <c r="AC13" s="155">
        <f>tran31*W13+tran32*X13+tran33*Y13+(-854.2)</f>
        <v>-848.8237446725858</v>
      </c>
      <c r="AK13" s="134">
        <f t="shared" ref="AK13:AK15" si="9">SQRT(W13*W13+X13*X13+Y13*Y13)</f>
        <v>765.97533195575863</v>
      </c>
    </row>
    <row r="14" spans="1:41">
      <c r="E14" s="23"/>
      <c r="F14" s="4"/>
      <c r="N14" t="s">
        <v>9</v>
      </c>
      <c r="O14">
        <v>439.11609600000003</v>
      </c>
      <c r="P14">
        <v>-4225.3374030000004</v>
      </c>
      <c r="Q14">
        <v>-270.58510699999999</v>
      </c>
      <c r="S14">
        <f t="shared" ref="S14:S16" si="10">O14</f>
        <v>439.11609600000003</v>
      </c>
      <c r="T14">
        <f t="shared" ref="T14:T16" si="11">Q14</f>
        <v>-270.58510699999999</v>
      </c>
      <c r="U14">
        <f t="shared" ref="U14:U16" si="12">-P14</f>
        <v>4225.3374030000004</v>
      </c>
      <c r="W14" s="26">
        <f>S14-flatx</f>
        <v>6.4503247499999929</v>
      </c>
      <c r="X14" s="26">
        <f>T14-flaty</f>
        <v>-754.48894725000002</v>
      </c>
      <c r="Y14" s="26">
        <f>U14-flatz</f>
        <v>-2.1176379999997152</v>
      </c>
      <c r="AA14" s="155">
        <f>tran11*W14+tran12*X14+tran13*Y14+0</f>
        <v>7.3572653902469591</v>
      </c>
      <c r="AB14" s="155">
        <f>tran21*W14+tran22*X14+tran23*Y14+0</f>
        <v>-754.41985018525691</v>
      </c>
      <c r="AC14" s="155">
        <f>tran31*W14+tran32*X14+tran33*Y14+(-854.2)</f>
        <v>-844.39225095328288</v>
      </c>
      <c r="AD14" s="56">
        <f>180*X12/-1938/3.1416</f>
        <v>0.1697150605950242</v>
      </c>
      <c r="AK14" s="134">
        <f t="shared" si="9"/>
        <v>754.51949120118354</v>
      </c>
    </row>
    <row r="15" spans="1:41">
      <c r="E15" s="23"/>
      <c r="F15" s="4"/>
      <c r="N15" t="s">
        <v>10</v>
      </c>
      <c r="O15">
        <v>1175.949779</v>
      </c>
      <c r="P15">
        <v>-4413.7386900000001</v>
      </c>
      <c r="Q15">
        <v>490.20576699999998</v>
      </c>
      <c r="S15">
        <f t="shared" si="10"/>
        <v>1175.949779</v>
      </c>
      <c r="T15">
        <f t="shared" si="11"/>
        <v>490.20576699999998</v>
      </c>
      <c r="U15">
        <f t="shared" si="12"/>
        <v>4413.7386900000001</v>
      </c>
      <c r="W15" s="26">
        <f>S15-flatx</f>
        <v>743.28400775</v>
      </c>
      <c r="X15" s="26">
        <f>T15-flaty</f>
        <v>6.3019267499999501</v>
      </c>
      <c r="Y15" s="26">
        <f>U15-flatz</f>
        <v>186.28364899999997</v>
      </c>
      <c r="Z15" s="141">
        <f>180*ATAN(Y15/W15)/3.1416</f>
        <v>14.069770807154903</v>
      </c>
      <c r="AA15" s="155">
        <f>tran11*W15+tran12*X15+tran13*Y15+0</f>
        <v>766.09623885897292</v>
      </c>
      <c r="AB15" s="155">
        <f>tran21*W15+tran22*X15+tran23*Y15+0</f>
        <v>8.0466962440083751</v>
      </c>
      <c r="AC15" s="155">
        <f>tran31*W15+tran32*X15+tran33*Y15+(-854.2)</f>
        <v>-846.27152619124638</v>
      </c>
      <c r="AK15" s="134">
        <f t="shared" si="9"/>
        <v>766.29787181122958</v>
      </c>
    </row>
    <row r="16" spans="1:41">
      <c r="E16" s="23"/>
      <c r="F16" s="4"/>
      <c r="N16" t="s">
        <v>11</v>
      </c>
      <c r="O16">
        <v>-302.37581</v>
      </c>
      <c r="P16">
        <v>-4059.555738</v>
      </c>
      <c r="Q16">
        <v>488.43584900000002</v>
      </c>
      <c r="S16">
        <f t="shared" si="10"/>
        <v>-302.37581</v>
      </c>
      <c r="T16">
        <f t="shared" si="11"/>
        <v>488.43584900000002</v>
      </c>
      <c r="U16">
        <f t="shared" si="12"/>
        <v>4059.555738</v>
      </c>
      <c r="W16" s="26">
        <f>S16-flatx</f>
        <v>-735.04158125000004</v>
      </c>
      <c r="X16" s="26">
        <f>T16-flaty</f>
        <v>4.5320087499999886</v>
      </c>
      <c r="Y16" s="26">
        <f>U16-flatz</f>
        <v>-167.89930300000015</v>
      </c>
      <c r="Z16" s="141">
        <f>180*ATAN(Y16/W16)/3.1416</f>
        <v>12.866807627398623</v>
      </c>
      <c r="AA16" s="155">
        <f>tran11*W16+tran12*X16+tran13*Y16+0</f>
        <v>-753.82317448498509</v>
      </c>
      <c r="AB16" s="155">
        <f>tran21*W16+tran22*X16+tran23*Y16+0</f>
        <v>3.0940264166225111</v>
      </c>
      <c r="AC16" s="155">
        <f>tran31*W16+tran32*X16+tran33*Y16+(-854.2)</f>
        <v>-846.36396100196589</v>
      </c>
      <c r="AK16" s="134">
        <f>SQRT(W16*W16+X16*X16+Y16*Y16)</f>
        <v>753.98729513016087</v>
      </c>
    </row>
    <row r="17" spans="1:41" s="2" customFormat="1">
      <c r="A17" s="16">
        <v>2</v>
      </c>
      <c r="B17" s="2">
        <v>5.66</v>
      </c>
      <c r="C17" s="2">
        <v>0</v>
      </c>
      <c r="D17" s="2">
        <v>7.73</v>
      </c>
      <c r="E17" s="1">
        <v>-0.17</v>
      </c>
      <c r="F17" s="2">
        <v>0</v>
      </c>
      <c r="G17" s="10">
        <v>0</v>
      </c>
      <c r="H17" s="3">
        <v>5.66</v>
      </c>
      <c r="I17" s="3">
        <f>-1938*E17*3.1416/180</f>
        <v>5.750175200000001</v>
      </c>
      <c r="J17" s="3">
        <v>7.73</v>
      </c>
      <c r="K17" s="25">
        <v>-0.17</v>
      </c>
      <c r="L17" s="3">
        <v>0</v>
      </c>
      <c r="M17" s="12">
        <v>0</v>
      </c>
      <c r="O17" s="2">
        <f>AVERAGE(O13:O16)</f>
        <v>436.30398200000002</v>
      </c>
      <c r="P17" s="2">
        <f>AVERAGE(P13:P16)</f>
        <v>-4236.3841284999999</v>
      </c>
      <c r="Q17" s="2">
        <f>AVERAGE(Q13:Q16)</f>
        <v>489.42217399999998</v>
      </c>
      <c r="R17" s="16"/>
      <c r="S17" s="2">
        <f>AVERAGE(S13:S16)</f>
        <v>436.30398200000002</v>
      </c>
      <c r="T17" s="2">
        <f>AVERAGE(T13:T16)</f>
        <v>489.42217399999998</v>
      </c>
      <c r="U17" s="2">
        <f>AVERAGE(U13:U16)</f>
        <v>4236.3841284999999</v>
      </c>
      <c r="V17" s="16"/>
      <c r="W17" s="27">
        <f t="shared" ref="W17:AB17" si="13">AVERAGE(W13:W16)</f>
        <v>3.6382107499999847</v>
      </c>
      <c r="X17" s="27">
        <f t="shared" si="13"/>
        <v>5.5183337499999539</v>
      </c>
      <c r="Y17" s="27">
        <f t="shared" si="13"/>
        <v>8.9290874999999232</v>
      </c>
      <c r="Z17" s="143">
        <f t="shared" si="13"/>
        <v>13.468289217276762</v>
      </c>
      <c r="AA17" s="156">
        <f t="shared" si="13"/>
        <v>5.6054090041523068</v>
      </c>
      <c r="AB17" s="156">
        <f t="shared" si="13"/>
        <v>5.6680600177868676</v>
      </c>
      <c r="AC17" s="156">
        <f>-(-854.2-AVERAGE(AC13:AC16))</f>
        <v>7.7371292952298063</v>
      </c>
      <c r="AD17" s="157">
        <v>-0.16700000000000001</v>
      </c>
      <c r="AE17" s="59">
        <f>X17/TAN(K17*3.1416/180)</f>
        <v>-1859.8562743680784</v>
      </c>
      <c r="AF17" s="19">
        <f>AA17-H17</f>
        <v>-5.4590995847693335E-2</v>
      </c>
      <c r="AG17" s="2">
        <f>AB17-I17</f>
        <v>-8.2115182213133409E-2</v>
      </c>
      <c r="AH17" s="27">
        <f>AC17-J17</f>
        <v>7.1292952298058765E-3</v>
      </c>
      <c r="AI17" s="21">
        <f>ABS(AD17-K17)</f>
        <v>3.0000000000000027E-3</v>
      </c>
      <c r="AJ17" s="59">
        <f>(AE17)-(-1938+33.75)</f>
        <v>44.393725631921598</v>
      </c>
      <c r="AK17" s="136">
        <f>AVERAGE(AK13:AK16)</f>
        <v>760.19499752458319</v>
      </c>
      <c r="AL17" s="2">
        <f>STDEV(AK13:AK16)</f>
        <v>6.8654759907697596</v>
      </c>
      <c r="AO17" s="2">
        <f>AK17-radius</f>
        <v>6.3709279840850286E-2</v>
      </c>
    </row>
    <row r="18" spans="1:41">
      <c r="B18" s="5" t="s">
        <v>70</v>
      </c>
      <c r="C18" s="5"/>
      <c r="D18" s="5"/>
      <c r="E18" s="22"/>
      <c r="F18" s="5"/>
      <c r="G18" s="8"/>
      <c r="H18" s="5"/>
      <c r="I18" s="5">
        <f>SQRT(H17*H17+I17*I17+J17*J17)</f>
        <v>11.17376457737924</v>
      </c>
      <c r="J18" s="5"/>
      <c r="L18" s="5"/>
      <c r="N18" s="4"/>
      <c r="O18" s="4"/>
      <c r="P18" s="4"/>
      <c r="Q18" s="4"/>
      <c r="S18" s="4"/>
      <c r="T18" s="4"/>
      <c r="U18" s="4"/>
      <c r="W18" s="31"/>
      <c r="X18" s="31">
        <f>SQRT(W17*W17+X17*X17+Y17*Y17)</f>
        <v>11.109328891542409</v>
      </c>
      <c r="Y18" s="31"/>
      <c r="AA18" s="139"/>
      <c r="AB18" s="139"/>
      <c r="AC18" s="139"/>
      <c r="AD18" s="158"/>
      <c r="AE18" s="60"/>
      <c r="AG18" s="4"/>
      <c r="AH18" s="4"/>
      <c r="AI18" s="40"/>
      <c r="AJ18" s="60"/>
      <c r="AL18" s="65" t="s">
        <v>77</v>
      </c>
      <c r="AM18" s="39" t="s">
        <v>48</v>
      </c>
      <c r="AN18" s="47" t="s">
        <v>78</v>
      </c>
    </row>
    <row r="19" spans="1:41">
      <c r="B19" s="28">
        <v>5.66</v>
      </c>
      <c r="C19" s="29">
        <v>0</v>
      </c>
      <c r="D19" s="29">
        <v>0</v>
      </c>
      <c r="E19" s="28">
        <v>0</v>
      </c>
      <c r="F19" s="43">
        <v>0</v>
      </c>
      <c r="G19" s="44">
        <v>0</v>
      </c>
      <c r="H19" s="35"/>
      <c r="I19" s="35"/>
      <c r="J19" s="35"/>
      <c r="K19" s="45"/>
      <c r="L19" s="35"/>
      <c r="M19" s="46"/>
      <c r="N19" s="70">
        <f>SQRT(O19*O19+Q19*Q19)</f>
        <v>5.6149532500279999</v>
      </c>
      <c r="O19" s="29">
        <v>5.46</v>
      </c>
      <c r="P19" s="29">
        <v>0</v>
      </c>
      <c r="Q19" s="47">
        <v>1.31</v>
      </c>
      <c r="S19" s="42"/>
      <c r="T19" s="42"/>
      <c r="U19" s="42"/>
      <c r="W19" s="31"/>
      <c r="X19" s="31"/>
      <c r="Y19" s="31"/>
      <c r="AA19" s="139"/>
      <c r="AB19" s="139"/>
      <c r="AC19" s="139"/>
      <c r="AD19" s="158"/>
      <c r="AE19" s="60"/>
      <c r="AG19" s="4"/>
      <c r="AH19" s="4"/>
      <c r="AI19" s="40"/>
      <c r="AJ19" s="60"/>
      <c r="AL19" s="66" t="s">
        <v>84</v>
      </c>
      <c r="AM19" s="15" t="s">
        <v>49</v>
      </c>
      <c r="AN19" s="48" t="s">
        <v>48</v>
      </c>
    </row>
    <row r="20" spans="1:41">
      <c r="B20" s="23">
        <v>0</v>
      </c>
      <c r="C20" s="4">
        <v>7.73</v>
      </c>
      <c r="D20" s="4">
        <v>0</v>
      </c>
      <c r="E20" s="23">
        <v>0</v>
      </c>
      <c r="F20" s="6">
        <v>0</v>
      </c>
      <c r="G20" s="9">
        <v>0</v>
      </c>
      <c r="H20" s="5"/>
      <c r="I20" s="5"/>
      <c r="J20" s="5"/>
      <c r="L20" s="5"/>
      <c r="N20" s="71">
        <f>SQRT(O20*O20+P20*P20+Q20*Q20)</f>
        <v>7.3112379252764024</v>
      </c>
      <c r="O20" s="4">
        <v>0.09</v>
      </c>
      <c r="P20" s="4">
        <v>7.31</v>
      </c>
      <c r="Q20" s="48">
        <v>0.1</v>
      </c>
      <c r="S20" s="42"/>
      <c r="T20" s="42"/>
      <c r="U20" s="42"/>
      <c r="W20" s="31"/>
      <c r="X20" s="31"/>
      <c r="Y20" s="31"/>
      <c r="AA20" s="139"/>
      <c r="AB20" s="139"/>
      <c r="AC20" s="139"/>
      <c r="AD20" s="158"/>
      <c r="AE20" s="60"/>
      <c r="AG20" s="4"/>
      <c r="AH20" s="4"/>
      <c r="AI20" s="40"/>
      <c r="AJ20" s="60"/>
      <c r="AL20" s="23"/>
      <c r="AM20" s="15" t="s">
        <v>50</v>
      </c>
      <c r="AN20" s="48" t="s">
        <v>51</v>
      </c>
    </row>
    <row r="21" spans="1:41">
      <c r="B21" s="49">
        <v>0</v>
      </c>
      <c r="C21" s="50">
        <v>-7.73</v>
      </c>
      <c r="D21" s="50">
        <v>0</v>
      </c>
      <c r="E21" s="32">
        <v>0</v>
      </c>
      <c r="F21" s="50">
        <v>0</v>
      </c>
      <c r="G21" s="51">
        <v>0</v>
      </c>
      <c r="H21" s="52"/>
      <c r="I21" s="52"/>
      <c r="J21" s="52"/>
      <c r="K21" s="53"/>
      <c r="L21" s="52"/>
      <c r="M21" s="54"/>
      <c r="N21" s="72">
        <f>SQRT(O21*O21+P21*P21+Q21*Q21)</f>
        <v>7.2811880898655543</v>
      </c>
      <c r="O21" s="33">
        <v>0.02</v>
      </c>
      <c r="P21" s="33">
        <v>-7.28</v>
      </c>
      <c r="Q21" s="55">
        <v>-0.13</v>
      </c>
      <c r="S21" s="42"/>
      <c r="T21" s="42"/>
      <c r="U21" s="42"/>
      <c r="W21" s="31"/>
      <c r="X21" s="31"/>
      <c r="Y21" s="31"/>
      <c r="AA21" s="139"/>
      <c r="AB21" s="139"/>
      <c r="AC21" s="139"/>
      <c r="AD21" s="158"/>
      <c r="AE21" s="60"/>
      <c r="AG21" s="4"/>
      <c r="AH21" s="4"/>
      <c r="AI21" s="40"/>
      <c r="AJ21" s="60"/>
      <c r="AL21" s="28" t="s">
        <v>52</v>
      </c>
      <c r="AM21" s="39">
        <f>SQRT((O3-O4)*(O3-O4)+(P3-P4)*(P3-P4)+(Q3-Q4)*(Q3-Q4))</f>
        <v>1520.3676271703719</v>
      </c>
      <c r="AN21" s="47">
        <v>1520.396542</v>
      </c>
    </row>
    <row r="22" spans="1:41" s="2" customFormat="1">
      <c r="A22" s="16"/>
      <c r="E22" s="1"/>
      <c r="G22" s="10"/>
      <c r="H22" s="3"/>
      <c r="I22" s="3"/>
      <c r="J22" s="3"/>
      <c r="K22" s="25"/>
      <c r="L22" s="3"/>
      <c r="M22" s="12"/>
      <c r="R22" s="16"/>
      <c r="V22" s="16"/>
      <c r="W22" s="27"/>
      <c r="X22" s="27"/>
      <c r="Y22" s="27"/>
      <c r="Z22" s="143"/>
      <c r="AA22" s="156"/>
      <c r="AB22" s="156"/>
      <c r="AC22" s="156"/>
      <c r="AD22" s="157"/>
      <c r="AE22" s="59"/>
      <c r="AF22" s="19"/>
      <c r="AI22" s="21"/>
      <c r="AJ22" s="59"/>
      <c r="AK22" s="137"/>
      <c r="AL22" s="32" t="s">
        <v>53</v>
      </c>
      <c r="AM22" s="64">
        <f>SQRT((O5-O6)*(O5-O6)+(P5-P6)*(P5-P6)+(Q5-Q6)*(Q5-Q6))</f>
        <v>1520.1353367875674</v>
      </c>
      <c r="AN22" s="55">
        <v>1520.1507999999999</v>
      </c>
    </row>
    <row r="23" spans="1:41">
      <c r="E23" s="23"/>
      <c r="F23" s="4"/>
      <c r="N23" t="s">
        <v>12</v>
      </c>
      <c r="O23">
        <v>437.51492300000001</v>
      </c>
      <c r="P23">
        <v>-4249.9074849999997</v>
      </c>
      <c r="Q23">
        <v>1243.9873</v>
      </c>
      <c r="S23">
        <f>O23</f>
        <v>437.51492300000001</v>
      </c>
      <c r="T23">
        <f>Q23</f>
        <v>1243.9873</v>
      </c>
      <c r="U23">
        <f>-P23</f>
        <v>4249.9074849999997</v>
      </c>
      <c r="W23" s="26">
        <f>S23-flatx</f>
        <v>4.8491517499999759</v>
      </c>
      <c r="X23" s="26">
        <f>T23-flaty</f>
        <v>760.08345974999997</v>
      </c>
      <c r="Y23" s="26">
        <f>U23-flatz</f>
        <v>22.452443999999559</v>
      </c>
      <c r="AA23" s="155">
        <f>tran11*W23+tran12*X23+tran13*Y23+0</f>
        <v>8.3534809772341738</v>
      </c>
      <c r="AB23" s="155">
        <f>tran21*W23+tran22*X23+tran23*Y23+0</f>
        <v>760.35014889855643</v>
      </c>
      <c r="AC23" s="155">
        <f>tran31*W23+tran32*X23+tran33*Y23+(-854.2)</f>
        <v>-846.96578623229482</v>
      </c>
      <c r="AK23" s="134">
        <f t="shared" ref="AK23:AK25" si="14">SQRT(W23*W23+X23*X23+Y23*Y23)</f>
        <v>760.43046513129491</v>
      </c>
      <c r="AL23" s="23" t="s">
        <v>79</v>
      </c>
      <c r="AM23" s="64">
        <f>AVERAGE(AM21:AM22)</f>
        <v>1520.2514819789697</v>
      </c>
      <c r="AN23" s="48">
        <f>AVERAGE(AN21:AN22)</f>
        <v>1520.2736709999999</v>
      </c>
    </row>
    <row r="24" spans="1:41">
      <c r="E24" s="23"/>
      <c r="F24" s="4"/>
      <c r="N24" t="s">
        <v>13</v>
      </c>
      <c r="O24">
        <v>445.155553</v>
      </c>
      <c r="P24">
        <v>-4223.9956970000003</v>
      </c>
      <c r="Q24">
        <v>-276.17734100000001</v>
      </c>
      <c r="S24">
        <f t="shared" ref="S24:S26" si="15">O24</f>
        <v>445.155553</v>
      </c>
      <c r="T24">
        <f t="shared" ref="T24:T26" si="16">Q24</f>
        <v>-276.17734100000001</v>
      </c>
      <c r="U24">
        <f t="shared" ref="U24:U26" si="17">-P24</f>
        <v>4223.9956970000003</v>
      </c>
      <c r="W24" s="26">
        <f>S24-flatx</f>
        <v>12.489781749999963</v>
      </c>
      <c r="X24" s="26">
        <f>T24-flaty</f>
        <v>-760.0811812500001</v>
      </c>
      <c r="Y24" s="26">
        <f>U24-flatz</f>
        <v>-3.4593439999998736</v>
      </c>
      <c r="AA24" s="155">
        <f>tran11*W24+tran12*X24+tran13*Y24+0</f>
        <v>12.928953417603392</v>
      </c>
      <c r="AB24" s="155">
        <f>tran21*W24+tran22*X24+tran23*Y24+0</f>
        <v>-760.04760300654914</v>
      </c>
      <c r="AC24" s="155">
        <f>tran31*W24+tran32*X24+tran33*Y24+(-854.2)</f>
        <v>-847.00419809281846</v>
      </c>
      <c r="AD24" s="56">
        <f>180*X17/-1938/3.1416</f>
        <v>-0.16314576597596403</v>
      </c>
      <c r="AK24" s="134">
        <f t="shared" si="14"/>
        <v>760.19166254272238</v>
      </c>
      <c r="AL24" s="67" t="s">
        <v>76</v>
      </c>
      <c r="AM24" s="68" t="s">
        <v>75</v>
      </c>
      <c r="AN24" s="69">
        <f>(AVERAGE(AM23:AN23)/2)</f>
        <v>760.13128824474234</v>
      </c>
    </row>
    <row r="25" spans="1:41">
      <c r="E25" s="23"/>
      <c r="F25" s="4"/>
      <c r="N25" t="s">
        <v>14</v>
      </c>
      <c r="O25">
        <v>1182.0092749999999</v>
      </c>
      <c r="P25">
        <v>-4412.3403529999996</v>
      </c>
      <c r="Q25">
        <v>484.637585</v>
      </c>
      <c r="S25">
        <f t="shared" si="15"/>
        <v>1182.0092749999999</v>
      </c>
      <c r="T25">
        <f t="shared" si="16"/>
        <v>484.637585</v>
      </c>
      <c r="U25">
        <f t="shared" si="17"/>
        <v>4412.3403529999996</v>
      </c>
      <c r="W25" s="26">
        <f>S25-flatx</f>
        <v>749.34350374999985</v>
      </c>
      <c r="X25" s="26">
        <f>T25-flaty</f>
        <v>0.73374474999997119</v>
      </c>
      <c r="Y25" s="26">
        <f>U25-flatz</f>
        <v>184.88531199999943</v>
      </c>
      <c r="Z25" s="141">
        <f>180*ATAN(Y25/W25)/3.1416</f>
        <v>13.859724464465474</v>
      </c>
      <c r="AA25" s="155">
        <f>tran11*W25+tran12*X25+tran13*Y25+0</f>
        <v>771.67417347879712</v>
      </c>
      <c r="AB25" s="155">
        <f>tran21*W25+tran22*X25+tran23*Y25+0</f>
        <v>2.4419462140307866</v>
      </c>
      <c r="AC25" s="155">
        <f>tran31*W25+tran32*X25+tran33*Y25+(-854.2)</f>
        <v>-848.94363097177052</v>
      </c>
      <c r="AK25" s="134">
        <f t="shared" si="14"/>
        <v>771.81526519434772</v>
      </c>
    </row>
    <row r="26" spans="1:41">
      <c r="E26" s="23"/>
      <c r="F26" s="4"/>
      <c r="N26" t="s">
        <v>15</v>
      </c>
      <c r="O26">
        <v>-297.33825000000002</v>
      </c>
      <c r="P26">
        <v>-4062.5045749999999</v>
      </c>
      <c r="Q26">
        <v>482.795884</v>
      </c>
      <c r="S26">
        <f t="shared" si="15"/>
        <v>-297.33825000000002</v>
      </c>
      <c r="T26">
        <f t="shared" si="16"/>
        <v>482.795884</v>
      </c>
      <c r="U26">
        <f t="shared" si="17"/>
        <v>4062.5045749999999</v>
      </c>
      <c r="W26" s="26">
        <f>S26-flatx</f>
        <v>-730.00402125000005</v>
      </c>
      <c r="X26" s="26">
        <f>T26-flaty</f>
        <v>-1.1079562500000293</v>
      </c>
      <c r="Y26" s="26">
        <f>U26-flatz</f>
        <v>-164.95046600000023</v>
      </c>
      <c r="Z26" s="141">
        <f>180*ATAN(Y26/W26)/3.1416</f>
        <v>12.732603698171381</v>
      </c>
      <c r="AA26" s="155">
        <f>tran11*W26+tran12*X26+tran13*Y26+0</f>
        <v>-748.226418382784</v>
      </c>
      <c r="AB26" s="155">
        <f>tran21*W26+tran22*X26+tran23*Y26+0</f>
        <v>-2.5033287476551083</v>
      </c>
      <c r="AC26" s="155">
        <f>tran31*W26+tran32*X26+tran33*Y26+(-854.2)</f>
        <v>-844.5698568029419</v>
      </c>
      <c r="AK26" s="134">
        <f>SQRT(W26*W26+X26*X26+Y26*Y26)</f>
        <v>748.40881531542618</v>
      </c>
    </row>
    <row r="27" spans="1:41" s="2" customFormat="1">
      <c r="A27" s="16">
        <v>3</v>
      </c>
      <c r="B27" s="2">
        <v>5.66</v>
      </c>
      <c r="C27" s="2">
        <v>0</v>
      </c>
      <c r="D27" s="2">
        <v>7.73</v>
      </c>
      <c r="E27" s="1">
        <v>0</v>
      </c>
      <c r="F27" s="2">
        <v>0.17</v>
      </c>
      <c r="G27" s="10">
        <v>0</v>
      </c>
      <c r="H27" s="3">
        <f>5.66+I17</f>
        <v>11.410175200000001</v>
      </c>
      <c r="I27" s="3">
        <v>0</v>
      </c>
      <c r="J27" s="3">
        <v>7.73</v>
      </c>
      <c r="K27" s="25">
        <v>0</v>
      </c>
      <c r="L27" s="3">
        <v>0.17</v>
      </c>
      <c r="M27" s="12">
        <v>0</v>
      </c>
      <c r="O27" s="2">
        <f>AVERAGE(O23:O26)</f>
        <v>441.83537524999991</v>
      </c>
      <c r="P27" s="2">
        <f>AVERAGE(P23:P26)</f>
        <v>-4237.1870275000001</v>
      </c>
      <c r="Q27" s="2">
        <f>AVERAGE(Q23:Q26)</f>
        <v>483.81085699999994</v>
      </c>
      <c r="R27" s="16"/>
      <c r="S27" s="2">
        <f>AVERAGE(S23:S26)</f>
        <v>441.83537524999991</v>
      </c>
      <c r="T27" s="2">
        <f>AVERAGE(T23:T26)</f>
        <v>483.81085699999994</v>
      </c>
      <c r="U27" s="2">
        <f>AVERAGE(U23:U26)</f>
        <v>4237.1870275000001</v>
      </c>
      <c r="V27" s="16"/>
      <c r="W27" s="27">
        <f t="shared" ref="W27:AB27" si="18">AVERAGE(W23:W26)</f>
        <v>9.1696039999999357</v>
      </c>
      <c r="X27" s="27">
        <f t="shared" si="18"/>
        <v>-9.2983250000045814E-2</v>
      </c>
      <c r="Y27" s="27">
        <f t="shared" si="18"/>
        <v>9.7319864999997208</v>
      </c>
      <c r="Z27" s="143">
        <f t="shared" si="18"/>
        <v>13.296164081318427</v>
      </c>
      <c r="AA27" s="156">
        <f t="shared" si="18"/>
        <v>11.182547372712662</v>
      </c>
      <c r="AB27" s="156">
        <f t="shared" si="18"/>
        <v>6.0290839595741552E-2</v>
      </c>
      <c r="AC27" s="156">
        <f>-(-854.2-AVERAGE(AC23:AC26))</f>
        <v>7.3291319750435378</v>
      </c>
      <c r="AD27" s="157">
        <v>0.16489999999999999</v>
      </c>
      <c r="AE27" s="59">
        <f>(W17-W27)/TAN(L27*3.1416/180)</f>
        <v>-1864.2577466449418</v>
      </c>
      <c r="AF27" s="19">
        <f>AA27-H27</f>
        <v>-0.2276278272873391</v>
      </c>
      <c r="AG27" s="2">
        <f>AB27-I27</f>
        <v>6.0290839595741552E-2</v>
      </c>
      <c r="AH27" s="27">
        <f>AC27-J27</f>
        <v>-0.40086802495646268</v>
      </c>
      <c r="AI27" s="21">
        <f>ABS(AD27-L27)</f>
        <v>5.1000000000000212E-3</v>
      </c>
      <c r="AJ27" s="59">
        <f>(AE27)-(-1938+33.75)</f>
        <v>39.99225335505821</v>
      </c>
      <c r="AK27" s="136">
        <f>AVERAGE(AK23:AK26)</f>
        <v>760.21155204594777</v>
      </c>
      <c r="AL27" s="2">
        <f>STDEV(AK23:AK26)</f>
        <v>9.5568312686376</v>
      </c>
      <c r="AO27" s="2">
        <f>AK27-radius</f>
        <v>8.0263801205433083E-2</v>
      </c>
    </row>
    <row r="28" spans="1:41">
      <c r="E28" s="23"/>
      <c r="F28" s="4"/>
      <c r="I28" s="7">
        <f>SQRT(H27*H27+I27*I27+J27*J27)</f>
        <v>13.78205347887952</v>
      </c>
      <c r="N28" t="s">
        <v>16</v>
      </c>
      <c r="O28">
        <v>426.57144199999999</v>
      </c>
      <c r="P28">
        <v>-4247.2731249999997</v>
      </c>
      <c r="Q28">
        <v>1243.9781640000001</v>
      </c>
      <c r="S28">
        <f>O28</f>
        <v>426.57144199999999</v>
      </c>
      <c r="T28">
        <f>Q28</f>
        <v>1243.9781640000001</v>
      </c>
      <c r="U28">
        <f>-P28</f>
        <v>4247.2731249999997</v>
      </c>
      <c r="W28" s="26">
        <f>S28-flatx</f>
        <v>-6.0943292500000439</v>
      </c>
      <c r="X28" s="26">
        <f>T28-flaty</f>
        <v>760.07432375000008</v>
      </c>
      <c r="Y28" s="26">
        <f>U28-flatz</f>
        <v>19.818083999999544</v>
      </c>
      <c r="AA28" s="155">
        <f>tran11*W28+tran12*X28+tran13*Y28+0</f>
        <v>-2.9008174931495487</v>
      </c>
      <c r="AB28" s="155">
        <f>tran21*W28+tran22*X28+tran23*Y28+0</f>
        <v>760.31723045789579</v>
      </c>
      <c r="AC28" s="155">
        <f>tran31*W28+tran32*X28+tran33*Y28+(-854.2)</f>
        <v>-846.97867424805713</v>
      </c>
      <c r="AK28" s="134">
        <f t="shared" ref="AK28:AK30" si="19">SQRT(W28*W28+X28*X28+Y28*Y28)</f>
        <v>760.35707067565204</v>
      </c>
    </row>
    <row r="29" spans="1:41">
      <c r="E29" s="23"/>
      <c r="F29" s="4"/>
      <c r="N29" t="s">
        <v>17</v>
      </c>
      <c r="O29">
        <v>434.23924499999998</v>
      </c>
      <c r="P29">
        <v>-4221.3742439999996</v>
      </c>
      <c r="Q29">
        <v>-276.171404</v>
      </c>
      <c r="S29">
        <f t="shared" ref="S29:S31" si="20">O29</f>
        <v>434.23924499999998</v>
      </c>
      <c r="T29">
        <f t="shared" ref="T29:T31" si="21">Q29</f>
        <v>-276.171404</v>
      </c>
      <c r="U29">
        <f t="shared" ref="U29:U31" si="22">-P29</f>
        <v>4221.3742439999996</v>
      </c>
      <c r="W29" s="26">
        <f>S29-flatx</f>
        <v>1.5734737499999483</v>
      </c>
      <c r="X29" s="26">
        <f>T29-flaty</f>
        <v>-760.07524424999997</v>
      </c>
      <c r="Y29" s="26">
        <f>U29-flatz</f>
        <v>-6.0807970000005298</v>
      </c>
      <c r="AA29" s="155">
        <f>tran11*W29+tran12*X29+tran13*Y29+0</f>
        <v>1.7040506630046259</v>
      </c>
      <c r="AB29" s="155">
        <f>tran21*W29+tran22*X29+tran23*Y29+0</f>
        <v>-760.06527899375021</v>
      </c>
      <c r="AC29" s="155">
        <f>tran31*W29+tran32*X29+tran33*Y29+(-854.2)</f>
        <v>-847.01113102808438</v>
      </c>
      <c r="AK29" s="134">
        <f t="shared" si="19"/>
        <v>760.10119644261465</v>
      </c>
    </row>
    <row r="30" spans="1:41">
      <c r="E30" s="23"/>
      <c r="F30" s="4"/>
      <c r="N30" t="s">
        <v>18</v>
      </c>
      <c r="O30">
        <v>1170.0149590000001</v>
      </c>
      <c r="P30">
        <v>-4414.0732029999999</v>
      </c>
      <c r="Q30">
        <v>484.561759</v>
      </c>
      <c r="S30">
        <f t="shared" si="20"/>
        <v>1170.0149590000001</v>
      </c>
      <c r="T30">
        <f t="shared" si="21"/>
        <v>484.561759</v>
      </c>
      <c r="U30">
        <f t="shared" si="22"/>
        <v>4414.0732029999999</v>
      </c>
      <c r="W30" s="26">
        <f>S30-flatx</f>
        <v>737.34918775000006</v>
      </c>
      <c r="X30" s="26">
        <f>T30-flaty</f>
        <v>0.6579187499999648</v>
      </c>
      <c r="Y30" s="26">
        <f>U30-flatz</f>
        <v>186.61816199999976</v>
      </c>
      <c r="Z30" s="141">
        <f>180*ATAN(Y30/W30)/3.1416</f>
        <v>14.202897693609874</v>
      </c>
      <c r="AA30" s="155">
        <f>tran11*W30+tran12*X30+tran13*Y30+0</f>
        <v>760.41525190238212</v>
      </c>
      <c r="AB30" s="155">
        <f>tran21*W30+tran22*X30+tran23*Y30+0</f>
        <v>2.4219303097535856</v>
      </c>
      <c r="AC30" s="155">
        <f>tran31*W30+tran32*X30+tran33*Y30+(-854.2)</f>
        <v>-844.46418850126406</v>
      </c>
      <c r="AK30" s="134">
        <f t="shared" si="19"/>
        <v>760.5988403363001</v>
      </c>
    </row>
    <row r="31" spans="1:41">
      <c r="E31" s="23"/>
      <c r="F31" s="4"/>
      <c r="N31" t="s">
        <v>19</v>
      </c>
      <c r="O31">
        <v>-307.24487599999998</v>
      </c>
      <c r="P31">
        <v>-4055.5292679999998</v>
      </c>
      <c r="Q31">
        <v>482.86605200000002</v>
      </c>
      <c r="S31">
        <f t="shared" si="20"/>
        <v>-307.24487599999998</v>
      </c>
      <c r="T31">
        <f t="shared" si="21"/>
        <v>482.86605200000002</v>
      </c>
      <c r="U31">
        <f t="shared" si="22"/>
        <v>4055.5292679999998</v>
      </c>
      <c r="W31" s="26">
        <f>S31-flatx</f>
        <v>-739.91064725000001</v>
      </c>
      <c r="X31" s="26">
        <f>T31-flaty</f>
        <v>-1.0377882500000055</v>
      </c>
      <c r="Y31" s="26">
        <f>U31-flatz</f>
        <v>-171.92577300000039</v>
      </c>
      <c r="Z31" s="141">
        <f>180*ATAN(Y31/W31)/3.1416</f>
        <v>13.081101845191442</v>
      </c>
      <c r="AA31" s="155">
        <f>tran11*W31+tran12*X31+tran13*Y31+0</f>
        <v>-759.48359754118621</v>
      </c>
      <c r="AB31" s="155">
        <f>tran21*W31+tran22*X31+tran23*Y31+0</f>
        <v>-2.5360431259404876</v>
      </c>
      <c r="AC31" s="155">
        <f>tran31*W31+tran32*X31+tran33*Y31+(-854.2)</f>
        <v>-849.04650652483781</v>
      </c>
      <c r="AK31" s="134">
        <f>SQRT(W31*W31+X31*X31+Y31*Y31)</f>
        <v>759.62313968178557</v>
      </c>
    </row>
    <row r="32" spans="1:41" s="2" customFormat="1">
      <c r="A32" s="16">
        <v>4</v>
      </c>
      <c r="B32" s="2">
        <v>5.66</v>
      </c>
      <c r="C32" s="2">
        <v>0</v>
      </c>
      <c r="D32" s="2">
        <v>7.73</v>
      </c>
      <c r="E32" s="1">
        <v>0</v>
      </c>
      <c r="F32" s="2">
        <v>-0.17</v>
      </c>
      <c r="G32" s="10">
        <v>0</v>
      </c>
      <c r="H32" s="3">
        <f>5.66-I17</f>
        <v>-9.0175200000000899E-2</v>
      </c>
      <c r="I32" s="3">
        <v>0</v>
      </c>
      <c r="J32" s="3">
        <v>7.73</v>
      </c>
      <c r="K32" s="25">
        <v>0</v>
      </c>
      <c r="L32" s="3">
        <v>-0.17</v>
      </c>
      <c r="M32" s="12">
        <v>0</v>
      </c>
      <c r="O32" s="2">
        <f>AVERAGE(O28:O31)</f>
        <v>430.89519250000001</v>
      </c>
      <c r="P32" s="2">
        <f>AVERAGE(P28:P31)</f>
        <v>-4234.5624599999992</v>
      </c>
      <c r="Q32" s="2">
        <f>AVERAGE(Q28:Q31)</f>
        <v>483.80864275000005</v>
      </c>
      <c r="R32" s="16"/>
      <c r="S32" s="2">
        <f>AVERAGE(S28:S31)</f>
        <v>430.89519250000001</v>
      </c>
      <c r="T32" s="2">
        <f>AVERAGE(T28:T31)</f>
        <v>483.80864275000005</v>
      </c>
      <c r="U32" s="2">
        <f>AVERAGE(U28:U31)</f>
        <v>4234.5624599999992</v>
      </c>
      <c r="V32" s="16"/>
      <c r="W32" s="27">
        <f t="shared" ref="W32:AB32" si="23">AVERAGE(W28:W31)</f>
        <v>-1.770578750000027</v>
      </c>
      <c r="X32" s="27">
        <f t="shared" si="23"/>
        <v>-9.5197499999983393E-2</v>
      </c>
      <c r="Y32" s="27">
        <f t="shared" si="23"/>
        <v>7.1074189999995951</v>
      </c>
      <c r="Z32" s="143">
        <f t="shared" si="23"/>
        <v>13.641999769400659</v>
      </c>
      <c r="AA32" s="156">
        <f t="shared" si="23"/>
        <v>-6.6278117237260403E-2</v>
      </c>
      <c r="AB32" s="156">
        <f t="shared" si="23"/>
        <v>3.4459661989668766E-2</v>
      </c>
      <c r="AC32" s="156">
        <f>-(-854.2-AVERAGE(AC28:AC31))</f>
        <v>7.3248749244393139</v>
      </c>
      <c r="AD32" s="157">
        <v>-0.17269999999999999</v>
      </c>
      <c r="AE32" s="59">
        <f>(W17-W32)/TAN(L32*3.1416/180)</f>
        <v>-1822.9363326042553</v>
      </c>
      <c r="AF32" s="19">
        <f>AA32-H32</f>
        <v>2.3897082762740496E-2</v>
      </c>
      <c r="AG32" s="2">
        <f>AB32-I32</f>
        <v>3.4459661989668766E-2</v>
      </c>
      <c r="AH32" s="27">
        <f>AC32-J32</f>
        <v>-0.40512507556068655</v>
      </c>
      <c r="AI32" s="21">
        <f>ABS(AD32-L32)</f>
        <v>2.6999999999999802E-3</v>
      </c>
      <c r="AJ32" s="59">
        <f>(AE32)-(-1938+33.75)</f>
        <v>81.313667395744687</v>
      </c>
      <c r="AK32" s="136">
        <f>AVERAGE(AK28:AK31)</f>
        <v>760.17006178408815</v>
      </c>
      <c r="AL32" s="2">
        <f>STDEV(AK28:AK31)</f>
        <v>0.4174085103765301</v>
      </c>
      <c r="AO32" s="2">
        <f>AK32-radius</f>
        <v>3.8773539345811514E-2</v>
      </c>
    </row>
    <row r="33" spans="1:41">
      <c r="E33" s="23"/>
      <c r="F33" s="4"/>
      <c r="I33" s="7">
        <f>SQRT(H32*H32+I32*I32+J32*J32)</f>
        <v>7.7305259566665345</v>
      </c>
      <c r="N33" t="s">
        <v>20</v>
      </c>
      <c r="O33">
        <v>434.95274799999999</v>
      </c>
      <c r="P33">
        <v>-4236.4105490000002</v>
      </c>
      <c r="Q33">
        <v>1238.590913</v>
      </c>
      <c r="S33">
        <f>O33</f>
        <v>434.95274799999999</v>
      </c>
      <c r="T33">
        <f>Q33</f>
        <v>1238.590913</v>
      </c>
      <c r="U33">
        <f>-P33</f>
        <v>4236.4105490000002</v>
      </c>
      <c r="W33" s="26">
        <f>S33-flatx</f>
        <v>2.2869767499999512</v>
      </c>
      <c r="X33" s="26">
        <f>T33-flaty</f>
        <v>754.68707274999997</v>
      </c>
      <c r="Y33" s="26">
        <f>U33-flatz</f>
        <v>8.9555080000000089</v>
      </c>
      <c r="AA33" s="155">
        <f>tran11*W33+tran12*X33+tran13*Y33+0</f>
        <v>2.7303597169174552</v>
      </c>
      <c r="AB33" s="155">
        <f>tran21*W33+tran22*X33+tran23*Y33+0</f>
        <v>754.72082642131306</v>
      </c>
      <c r="AC33" s="155">
        <f>tran31*W33+tran32*X33+tran33*Y33+(-854.2)</f>
        <v>-859.39718363372731</v>
      </c>
      <c r="AK33" s="134">
        <f t="shared" ref="AK33:AK35" si="24">SQRT(W33*W33+X33*X33+Y33*Y33)</f>
        <v>754.74367116402959</v>
      </c>
    </row>
    <row r="34" spans="1:41">
      <c r="E34" s="23"/>
      <c r="F34" s="4"/>
      <c r="N34" t="s">
        <v>21</v>
      </c>
      <c r="O34">
        <v>443.62394399999999</v>
      </c>
      <c r="P34">
        <v>-4206.1548069999999</v>
      </c>
      <c r="Q34">
        <v>-281.50530600000002</v>
      </c>
      <c r="S34">
        <f t="shared" ref="S34:S36" si="25">O34</f>
        <v>443.62394399999999</v>
      </c>
      <c r="T34">
        <f t="shared" ref="T34:T36" si="26">Q34</f>
        <v>-281.50530600000002</v>
      </c>
      <c r="U34">
        <f t="shared" ref="U34:U36" si="27">-P34</f>
        <v>4206.1548069999999</v>
      </c>
      <c r="W34" s="26">
        <f>S34-flatx</f>
        <v>10.95817274999996</v>
      </c>
      <c r="X34" s="26">
        <f>T34-flaty</f>
        <v>-765.40914625000005</v>
      </c>
      <c r="Y34" s="26">
        <f>U34-flatz</f>
        <v>-21.300234000000273</v>
      </c>
      <c r="AA34" s="155">
        <f>tran11*W34+tran12*X34+tran13*Y34+0</f>
        <v>7.2961589022870958</v>
      </c>
      <c r="AB34" s="155">
        <f>tran21*W34+tran22*X34+tran23*Y34+0</f>
        <v>-765.6876418134201</v>
      </c>
      <c r="AC34" s="155">
        <f>tran31*W34+tran32*X34+tran33*Y34+(-854.2)</f>
        <v>-863.90062367463736</v>
      </c>
      <c r="AK34" s="134">
        <f t="shared" si="24"/>
        <v>765.7838746550018</v>
      </c>
    </row>
    <row r="35" spans="1:41">
      <c r="E35" s="23"/>
      <c r="F35" s="4"/>
      <c r="N35" t="s">
        <v>22</v>
      </c>
      <c r="O35">
        <v>1179.427676</v>
      </c>
      <c r="P35">
        <v>-4398.7943930000001</v>
      </c>
      <c r="Q35">
        <v>479.24186800000001</v>
      </c>
      <c r="S35">
        <f t="shared" si="25"/>
        <v>1179.427676</v>
      </c>
      <c r="T35">
        <f t="shared" si="26"/>
        <v>479.24186800000001</v>
      </c>
      <c r="U35">
        <f t="shared" si="27"/>
        <v>4398.7943930000001</v>
      </c>
      <c r="W35" s="26">
        <f>S35-flatx</f>
        <v>746.76190474999999</v>
      </c>
      <c r="X35" s="26">
        <f>T35-flaty</f>
        <v>-4.6619722500000194</v>
      </c>
      <c r="Y35" s="26">
        <f>U35-flatz</f>
        <v>171.33935199999996</v>
      </c>
      <c r="Z35" s="141">
        <f>180*ATAN(Y35/W35)/3.1416</f>
        <v>12.922424671280586</v>
      </c>
      <c r="AA35" s="155">
        <f>tran11*W35+tran12*X35+tran13*Y35+0</f>
        <v>766.02074754217836</v>
      </c>
      <c r="AB35" s="155">
        <f>tran21*W35+tran22*X35+tran23*Y35+0</f>
        <v>-3.1875343989868945</v>
      </c>
      <c r="AC35" s="155">
        <f>tran31*W35+tran32*X35+tran33*Y35+(-854.2)</f>
        <v>-861.41818514676618</v>
      </c>
      <c r="AK35" s="134">
        <f t="shared" si="24"/>
        <v>766.18029856874273</v>
      </c>
    </row>
    <row r="36" spans="1:41">
      <c r="E36" s="23"/>
      <c r="F36" s="4"/>
      <c r="N36" t="s">
        <v>23</v>
      </c>
      <c r="O36">
        <v>-298.86843800000003</v>
      </c>
      <c r="P36">
        <v>-4044.6341990000001</v>
      </c>
      <c r="Q36">
        <v>477.471496</v>
      </c>
      <c r="S36">
        <f t="shared" si="25"/>
        <v>-298.86843800000003</v>
      </c>
      <c r="T36">
        <f t="shared" si="26"/>
        <v>477.471496</v>
      </c>
      <c r="U36">
        <f t="shared" si="27"/>
        <v>4044.6341990000001</v>
      </c>
      <c r="W36" s="26">
        <f>S36-flatx</f>
        <v>-731.53420925</v>
      </c>
      <c r="X36" s="26">
        <f>T36-flaty</f>
        <v>-6.4323442500000283</v>
      </c>
      <c r="Y36" s="26">
        <f>U36-flatz</f>
        <v>-182.82084200000008</v>
      </c>
      <c r="Z36" s="141">
        <f>180*ATAN(Y36/W36)/3.1416</f>
        <v>14.031587838162809</v>
      </c>
      <c r="AA36" s="155">
        <f>tran11*W36+tran12*X36+tran13*Y36+0</f>
        <v>-753.86470521637762</v>
      </c>
      <c r="AB36" s="155">
        <f>tran21*W36+tran22*X36+tran23*Y36+0</f>
        <v>-8.1403165651899059</v>
      </c>
      <c r="AC36" s="155">
        <f>tran31*W36+tran32*X36+tran33*Y36+(-854.2)</f>
        <v>-861.49534725451895</v>
      </c>
      <c r="AK36" s="134">
        <f>SQRT(W36*W36+X36*X36+Y36*Y36)</f>
        <v>754.06043167982386</v>
      </c>
    </row>
    <row r="37" spans="1:41" s="2" customFormat="1">
      <c r="A37" s="16">
        <v>5</v>
      </c>
      <c r="B37" s="2">
        <v>5.66</v>
      </c>
      <c r="C37" s="2">
        <v>0</v>
      </c>
      <c r="D37" s="2">
        <v>-7.73</v>
      </c>
      <c r="E37" s="1">
        <v>0.17</v>
      </c>
      <c r="F37" s="2">
        <v>0</v>
      </c>
      <c r="G37" s="10">
        <v>0</v>
      </c>
      <c r="H37" s="3">
        <f>B37</f>
        <v>5.66</v>
      </c>
      <c r="I37" s="3">
        <f>I12</f>
        <v>-5.750175200000001</v>
      </c>
      <c r="J37" s="3">
        <f>D37</f>
        <v>-7.73</v>
      </c>
      <c r="K37" s="25">
        <f>E37</f>
        <v>0.17</v>
      </c>
      <c r="L37" s="3">
        <v>0</v>
      </c>
      <c r="M37" s="12">
        <v>0</v>
      </c>
      <c r="O37" s="2">
        <f>AVERAGE(O33:O36)</f>
        <v>439.78398249999998</v>
      </c>
      <c r="P37" s="2">
        <f>AVERAGE(P33:P36)</f>
        <v>-4221.4984869999998</v>
      </c>
      <c r="Q37" s="2">
        <f>AVERAGE(Q33:Q36)</f>
        <v>478.44974275000004</v>
      </c>
      <c r="R37" s="16"/>
      <c r="S37" s="2">
        <f>AVERAGE(S33:S36)</f>
        <v>439.78398249999998</v>
      </c>
      <c r="T37" s="2">
        <f>AVERAGE(T33:T36)</f>
        <v>478.44974275000004</v>
      </c>
      <c r="U37" s="2">
        <f>AVERAGE(U33:U36)</f>
        <v>4221.4984869999998</v>
      </c>
      <c r="V37" s="16"/>
      <c r="W37" s="27">
        <f t="shared" ref="W37:AB37" si="28">AVERAGE(W33:W36)</f>
        <v>7.1182112499999732</v>
      </c>
      <c r="X37" s="27">
        <f t="shared" si="28"/>
        <v>-5.4540975000000316</v>
      </c>
      <c r="Y37" s="27">
        <f t="shared" si="28"/>
        <v>-5.9565540000000965</v>
      </c>
      <c r="Z37" s="143">
        <f t="shared" si="28"/>
        <v>13.477006254721697</v>
      </c>
      <c r="AA37" s="156">
        <f t="shared" si="28"/>
        <v>5.5456402362513302</v>
      </c>
      <c r="AB37" s="156">
        <f t="shared" si="28"/>
        <v>-5.5736665890709594</v>
      </c>
      <c r="AC37" s="156">
        <f>-(-854.2-AVERAGE(AC33:AC36))</f>
        <v>-7.3528349274123457</v>
      </c>
      <c r="AD37" s="157">
        <v>0.16969999999999999</v>
      </c>
      <c r="AE37" s="59">
        <f>X37/TAN(K37*3.1416/180)</f>
        <v>-1838.2065884272392</v>
      </c>
      <c r="AF37" s="19">
        <f>AA37-H37</f>
        <v>-0.11435976374866996</v>
      </c>
      <c r="AG37" s="2">
        <f>AB37-I37</f>
        <v>0.17650861092904169</v>
      </c>
      <c r="AH37" s="27">
        <f>AC37-J37</f>
        <v>0.37716507258765475</v>
      </c>
      <c r="AI37" s="21">
        <f>ABS(AD37-K37)</f>
        <v>3.0000000000002247E-4</v>
      </c>
      <c r="AJ37" s="59">
        <f>(AE37)-(-1938+33.75)</f>
        <v>66.04341157276076</v>
      </c>
      <c r="AK37" s="136">
        <f>AVERAGE(AK33:AK36)</f>
        <v>760.1920690168995</v>
      </c>
      <c r="AL37" s="2">
        <f>STDEV(AK33:AK36)</f>
        <v>6.6935092703418926</v>
      </c>
      <c r="AO37" s="2">
        <f>AK37-radius</f>
        <v>6.0780772157158935E-2</v>
      </c>
    </row>
    <row r="38" spans="1:41">
      <c r="E38" s="23"/>
      <c r="F38" s="4"/>
      <c r="I38" s="7">
        <f>SQRT(H37*H37+I37*I37+J37*J37)</f>
        <v>11.17376457737924</v>
      </c>
      <c r="N38" t="s">
        <v>24</v>
      </c>
      <c r="O38">
        <v>435.94723800000003</v>
      </c>
      <c r="P38">
        <v>-4232.1941210000005</v>
      </c>
      <c r="Q38">
        <v>1249.8561709999999</v>
      </c>
      <c r="S38">
        <f>O38</f>
        <v>435.94723800000003</v>
      </c>
      <c r="T38">
        <f>Q38</f>
        <v>1249.8561709999999</v>
      </c>
      <c r="U38">
        <f>-P38</f>
        <v>4232.1941210000005</v>
      </c>
      <c r="W38" s="26">
        <f>S38-flatx</f>
        <v>3.2814667499999928</v>
      </c>
      <c r="X38" s="26">
        <f>T38-flaty</f>
        <v>765.95233074999987</v>
      </c>
      <c r="Y38" s="26">
        <f>U38-flatz</f>
        <v>4.7390800000002855</v>
      </c>
      <c r="AA38" s="155">
        <f>tran11*W38+tran12*X38+tran13*Y38+0</f>
        <v>2.6918807857667595</v>
      </c>
      <c r="AB38" s="155">
        <f>tran21*W38+tran22*X38+tran23*Y38+0</f>
        <v>765.90749868869284</v>
      </c>
      <c r="AC38" s="155">
        <f>tran31*W38+tran32*X38+tran33*Y38+(-854.2)</f>
        <v>-863.92821030337404</v>
      </c>
      <c r="AK38" s="134">
        <f t="shared" ref="AK38:AK40" si="29">SQRT(W38*W38+X38*X38+Y38*Y38)</f>
        <v>765.97402037186282</v>
      </c>
    </row>
    <row r="39" spans="1:41">
      <c r="E39" s="23"/>
      <c r="F39" s="4"/>
      <c r="N39" t="s">
        <v>25</v>
      </c>
      <c r="O39">
        <v>442.54204900000002</v>
      </c>
      <c r="P39">
        <v>-4210.6592950000004</v>
      </c>
      <c r="Q39">
        <v>-270.362435</v>
      </c>
      <c r="S39">
        <f t="shared" ref="S39:S41" si="30">O39</f>
        <v>442.54204900000002</v>
      </c>
      <c r="T39">
        <f t="shared" ref="T39:T41" si="31">Q39</f>
        <v>-270.362435</v>
      </c>
      <c r="U39">
        <f t="shared" ref="U39:U41" si="32">-P39</f>
        <v>4210.6592950000004</v>
      </c>
      <c r="W39" s="26">
        <f>S39-flatx</f>
        <v>9.8762777499999856</v>
      </c>
      <c r="X39" s="26">
        <f>T39-flaty</f>
        <v>-754.26627525000004</v>
      </c>
      <c r="Y39" s="26">
        <f>U39-flatz</f>
        <v>-16.795745999999781</v>
      </c>
      <c r="AA39" s="155">
        <f>tran11*W39+tran12*X39+tran13*Y39+0</f>
        <v>7.2698517742806352</v>
      </c>
      <c r="AB39" s="155">
        <f>tran21*W39+tran22*X39+tran23*Y39+0</f>
        <v>-754.46446540218415</v>
      </c>
      <c r="AC39" s="155">
        <f>tran31*W39+tran32*X39+tran33*Y39+(-854.2)</f>
        <v>-859.46620294157617</v>
      </c>
      <c r="AK39" s="134">
        <f t="shared" si="29"/>
        <v>754.51789370789652</v>
      </c>
    </row>
    <row r="40" spans="1:41">
      <c r="E40" s="23"/>
      <c r="F40" s="4"/>
      <c r="N40" t="s">
        <v>26</v>
      </c>
      <c r="O40">
        <v>1179.385477</v>
      </c>
      <c r="P40">
        <v>-4399.034885</v>
      </c>
      <c r="Q40">
        <v>490.45430900000002</v>
      </c>
      <c r="S40">
        <f t="shared" si="30"/>
        <v>1179.385477</v>
      </c>
      <c r="T40">
        <f t="shared" si="31"/>
        <v>490.45430900000002</v>
      </c>
      <c r="U40">
        <f t="shared" si="32"/>
        <v>4399.034885</v>
      </c>
      <c r="W40" s="26">
        <f>S40-flatx</f>
        <v>746.71970575</v>
      </c>
      <c r="X40" s="26">
        <f>T40-flaty</f>
        <v>6.5504687499999932</v>
      </c>
      <c r="Y40" s="26">
        <f>U40-flatz</f>
        <v>171.57984399999987</v>
      </c>
      <c r="Z40" s="141">
        <f>180*ATAN(Y40/W40)/3.1416</f>
        <v>12.940659149602592</v>
      </c>
      <c r="AA40" s="155">
        <f>tran11*W40+tran12*X40+tran13*Y40+0</f>
        <v>766.0122624493016</v>
      </c>
      <c r="AB40" s="155">
        <f>tran21*W40+tran22*X40+tran23*Y40+0</f>
        <v>8.027471190780215</v>
      </c>
      <c r="AC40" s="155">
        <f>tran31*W40+tran32*X40+tran33*Y40+(-854.2)</f>
        <v>-861.37319229442039</v>
      </c>
      <c r="AK40" s="134">
        <f t="shared" si="29"/>
        <v>766.2068065889755</v>
      </c>
    </row>
    <row r="41" spans="1:41">
      <c r="E41" s="23"/>
      <c r="F41" s="4"/>
      <c r="N41" t="s">
        <v>27</v>
      </c>
      <c r="O41">
        <v>-298.95553899999999</v>
      </c>
      <c r="P41">
        <v>-4044.8859360000001</v>
      </c>
      <c r="Q41">
        <v>488.67199199999999</v>
      </c>
      <c r="S41">
        <f t="shared" si="30"/>
        <v>-298.95553899999999</v>
      </c>
      <c r="T41">
        <f t="shared" si="31"/>
        <v>488.67199199999999</v>
      </c>
      <c r="U41">
        <f t="shared" si="32"/>
        <v>4044.8859360000001</v>
      </c>
      <c r="W41" s="26">
        <f>S41-flatx</f>
        <v>-731.62131025000008</v>
      </c>
      <c r="X41" s="26">
        <f>T41-flaty</f>
        <v>4.7681517499999586</v>
      </c>
      <c r="Y41" s="26">
        <f>U41-flatz</f>
        <v>-182.56910500000004</v>
      </c>
      <c r="Z41" s="141">
        <f>180*ATAN(Y41/W41)/3.1416</f>
        <v>14.011426147476953</v>
      </c>
      <c r="AA41" s="155">
        <f>tran11*W41+tran12*X41+tran13*Y41+0</f>
        <v>-753.9142068940281</v>
      </c>
      <c r="AB41" s="155">
        <f>tran21*W41+tran22*X41+tran23*Y41+0</f>
        <v>3.0630391180993826</v>
      </c>
      <c r="AC41" s="155">
        <f>tran31*W41+tran32*X41+tran33*Y41+(-854.2)</f>
        <v>-861.42875219263158</v>
      </c>
      <c r="AK41" s="134">
        <f>SQRT(W41*W41+X41*X41+Y41*Y41)</f>
        <v>754.07158478723943</v>
      </c>
    </row>
    <row r="42" spans="1:41" s="2" customFormat="1">
      <c r="A42" s="16">
        <v>6</v>
      </c>
      <c r="B42" s="2">
        <v>5.66</v>
      </c>
      <c r="C42" s="2">
        <v>0</v>
      </c>
      <c r="D42" s="2">
        <v>-7.73</v>
      </c>
      <c r="E42" s="1">
        <v>-0.17</v>
      </c>
      <c r="F42" s="2">
        <v>0</v>
      </c>
      <c r="G42" s="10">
        <v>0</v>
      </c>
      <c r="H42" s="3">
        <f>B42</f>
        <v>5.66</v>
      </c>
      <c r="I42" s="3">
        <f>I17</f>
        <v>5.750175200000001</v>
      </c>
      <c r="J42" s="3">
        <f>D42</f>
        <v>-7.73</v>
      </c>
      <c r="K42" s="25">
        <f>E42</f>
        <v>-0.17</v>
      </c>
      <c r="L42" s="3">
        <v>0</v>
      </c>
      <c r="M42" s="12">
        <v>0</v>
      </c>
      <c r="O42" s="2">
        <f>AVERAGE(O38:O41)</f>
        <v>439.72980625000002</v>
      </c>
      <c r="P42" s="2">
        <f>AVERAGE(P38:P41)</f>
        <v>-4221.6935592500004</v>
      </c>
      <c r="Q42" s="2">
        <f>AVERAGE(Q38:Q41)</f>
        <v>489.65500924999998</v>
      </c>
      <c r="R42" s="16"/>
      <c r="S42" s="2">
        <f>AVERAGE(S38:S41)</f>
        <v>439.72980625000002</v>
      </c>
      <c r="T42" s="2">
        <f>AVERAGE(T38:T41)</f>
        <v>489.65500924999998</v>
      </c>
      <c r="U42" s="2">
        <f>AVERAGE(U38:U41)</f>
        <v>4221.6935592500004</v>
      </c>
      <c r="V42" s="16"/>
      <c r="W42" s="27">
        <f t="shared" ref="W42:AB42" si="33">AVERAGE(W38:W41)</f>
        <v>7.0640349999999899</v>
      </c>
      <c r="X42" s="27">
        <f t="shared" si="33"/>
        <v>5.7511689999999476</v>
      </c>
      <c r="Y42" s="27">
        <f t="shared" si="33"/>
        <v>-5.7614817499999162</v>
      </c>
      <c r="Z42" s="143">
        <f t="shared" si="33"/>
        <v>13.476042648539773</v>
      </c>
      <c r="AA42" s="156">
        <f t="shared" si="33"/>
        <v>5.5149470288302211</v>
      </c>
      <c r="AB42" s="156">
        <f t="shared" si="33"/>
        <v>5.6333858988470729</v>
      </c>
      <c r="AC42" s="156">
        <f>-(-854.2-AVERAGE(AC38:AC41))</f>
        <v>-7.3490894330004721</v>
      </c>
      <c r="AD42" s="157">
        <v>-0.16819999999999999</v>
      </c>
      <c r="AE42" s="59">
        <f>X42/TAN(K42*3.1416/180)</f>
        <v>-1938.329255565809</v>
      </c>
      <c r="AF42" s="19">
        <f>AA42-H42</f>
        <v>-0.145052971169779</v>
      </c>
      <c r="AG42" s="2">
        <f>AB42-I42</f>
        <v>-0.11678930115292818</v>
      </c>
      <c r="AH42" s="27">
        <f>AC42-J42</f>
        <v>0.3809105669995283</v>
      </c>
      <c r="AI42" s="21">
        <f>ABS(AD42-K42)</f>
        <v>1.8000000000000238E-3</v>
      </c>
      <c r="AJ42" s="59">
        <f>(AE42)-(-1938+33.75)</f>
        <v>-34.079255565809035</v>
      </c>
      <c r="AK42" s="136">
        <f>AVERAGE(AK38:AK41)</f>
        <v>760.19257636399345</v>
      </c>
      <c r="AL42" s="2">
        <f>STDEV(AK38:AK41)</f>
        <v>6.8133354813756535</v>
      </c>
      <c r="AO42" s="2">
        <f>AK42-radius</f>
        <v>6.1288119251116768E-2</v>
      </c>
    </row>
    <row r="43" spans="1:41">
      <c r="E43" s="23"/>
      <c r="F43" s="4"/>
      <c r="I43" s="7">
        <f>SQRT(H42*H42+I42*I42+J42*J42)</f>
        <v>11.17376457737924</v>
      </c>
      <c r="N43" t="s">
        <v>28</v>
      </c>
      <c r="O43">
        <v>440.91796900000003</v>
      </c>
      <c r="P43">
        <v>-4235.6181269999997</v>
      </c>
      <c r="Q43">
        <v>1244.209646</v>
      </c>
      <c r="S43">
        <f>O43</f>
        <v>440.91796900000003</v>
      </c>
      <c r="T43">
        <f>Q43</f>
        <v>1244.209646</v>
      </c>
      <c r="U43">
        <f>-P43</f>
        <v>4235.6181269999997</v>
      </c>
      <c r="W43" s="26">
        <f>S43-flatx</f>
        <v>8.2521977499999934</v>
      </c>
      <c r="X43" s="26">
        <f>T43-flaty</f>
        <v>760.30580574999999</v>
      </c>
      <c r="Y43" s="26">
        <f>U43-flatz</f>
        <v>8.1630859999995664</v>
      </c>
      <c r="AA43" s="155">
        <f>tran11*W43+tran12*X43+tran13*Y43+0</f>
        <v>8.3343244913803929</v>
      </c>
      <c r="AB43" s="155">
        <f>tran21*W43+tran22*X43+tran23*Y43+0</f>
        <v>760.31214399626299</v>
      </c>
      <c r="AC43" s="155">
        <f>tran31*W43+tran32*X43+tran33*Y43+(-854.2)</f>
        <v>-861.65639875258239</v>
      </c>
      <c r="AK43" s="134">
        <f t="shared" ref="AK43:AK45" si="34">SQRT(W43*W43+X43*X43+Y43*Y43)</f>
        <v>760.39440621160884</v>
      </c>
    </row>
    <row r="44" spans="1:41">
      <c r="E44" s="23"/>
      <c r="F44" s="4"/>
      <c r="N44" t="s">
        <v>29</v>
      </c>
      <c r="O44">
        <v>448.53498400000001</v>
      </c>
      <c r="P44">
        <v>-4209.7170640000004</v>
      </c>
      <c r="Q44">
        <v>-275.94717600000001</v>
      </c>
      <c r="S44">
        <f t="shared" ref="S44:S46" si="35">O44</f>
        <v>448.53498400000001</v>
      </c>
      <c r="T44">
        <f t="shared" ref="T44:T46" si="36">Q44</f>
        <v>-275.94717600000001</v>
      </c>
      <c r="U44">
        <f t="shared" ref="U44:U46" si="37">-P44</f>
        <v>4209.7170640000004</v>
      </c>
      <c r="W44" s="26">
        <f>S44-flatx</f>
        <v>15.869212749999974</v>
      </c>
      <c r="X44" s="26">
        <f>T44-flaty</f>
        <v>-759.85101625000004</v>
      </c>
      <c r="Y44" s="26">
        <f>U44-flatz</f>
        <v>-17.737976999999773</v>
      </c>
      <c r="AA44" s="155">
        <f>tran11*W44+tran12*X44+tran13*Y44+0</f>
        <v>12.889316218372727</v>
      </c>
      <c r="AB44" s="155">
        <f>tran21*W44+tran22*X44+tran23*Y44+0</f>
        <v>-760.07755071026577</v>
      </c>
      <c r="AC44" s="155">
        <f>tran31*W44+tran32*X44+tran33*Y44+(-854.2)</f>
        <v>-861.67902142487083</v>
      </c>
      <c r="AK44" s="134">
        <f t="shared" si="34"/>
        <v>760.22367408382854</v>
      </c>
    </row>
    <row r="45" spans="1:41">
      <c r="E45" s="23"/>
      <c r="F45" s="4"/>
      <c r="N45" t="s">
        <v>30</v>
      </c>
      <c r="O45">
        <v>1185.3894749999999</v>
      </c>
      <c r="P45">
        <v>-4398.048659</v>
      </c>
      <c r="Q45">
        <v>484.87535400000002</v>
      </c>
      <c r="S45">
        <f t="shared" si="35"/>
        <v>1185.3894749999999</v>
      </c>
      <c r="T45">
        <f t="shared" si="36"/>
        <v>484.87535400000002</v>
      </c>
      <c r="U45">
        <f t="shared" si="37"/>
        <v>4398.048659</v>
      </c>
      <c r="W45" s="26">
        <f>S45-flatx</f>
        <v>752.72370374999991</v>
      </c>
      <c r="X45" s="26">
        <f>T45-flaty</f>
        <v>0.97151374999998552</v>
      </c>
      <c r="Y45" s="26">
        <f>U45-flatz</f>
        <v>170.59361799999988</v>
      </c>
      <c r="Z45" s="141">
        <f>180*ATAN(Y45/W45)/3.1416</f>
        <v>12.769492882298158</v>
      </c>
      <c r="AA45" s="155">
        <f>tran11*W45+tran12*X45+tran13*Y45+0</f>
        <v>771.63222653092942</v>
      </c>
      <c r="AB45" s="155">
        <f>tran21*W45+tran22*X45+tran23*Y45+0</f>
        <v>2.4193682604612086</v>
      </c>
      <c r="AC45" s="155">
        <f>tran31*W45+tran32*X45+tran33*Y45+(-854.2)</f>
        <v>-863.63146792307316</v>
      </c>
      <c r="AK45" s="134">
        <f t="shared" si="34"/>
        <v>771.81351408770627</v>
      </c>
    </row>
    <row r="46" spans="1:41">
      <c r="E46" s="23"/>
      <c r="F46" s="4"/>
      <c r="N46" t="s">
        <v>31</v>
      </c>
      <c r="O46">
        <v>-293.96498400000002</v>
      </c>
      <c r="P46">
        <v>-4048.2410359999999</v>
      </c>
      <c r="Q46">
        <v>483.00969400000002</v>
      </c>
      <c r="S46">
        <f t="shared" si="35"/>
        <v>-293.96498400000002</v>
      </c>
      <c r="T46">
        <f t="shared" si="36"/>
        <v>483.00969400000002</v>
      </c>
      <c r="U46">
        <f t="shared" si="37"/>
        <v>4048.2410359999999</v>
      </c>
      <c r="W46" s="26">
        <f>S46-flatx</f>
        <v>-726.63075524999999</v>
      </c>
      <c r="X46" s="26">
        <f>T46-flaty</f>
        <v>-0.89414625000000569</v>
      </c>
      <c r="Y46" s="26">
        <f>U46-flatz</f>
        <v>-179.21400500000027</v>
      </c>
      <c r="Z46" s="141">
        <f>180*ATAN(Y46/W46)/3.1416</f>
        <v>13.854714980404243</v>
      </c>
      <c r="AA46" s="155">
        <f>tran11*W46+tran12*X46+tran13*Y46+0</f>
        <v>-748.26850086679065</v>
      </c>
      <c r="AB46" s="155">
        <f>tran21*W46+tran22*X46+tran23*Y46+0</f>
        <v>-2.5493484962544857</v>
      </c>
      <c r="AC46" s="155">
        <f>tran31*W46+tran32*X46+tran33*Y46+(-854.2)</f>
        <v>-859.22827808622765</v>
      </c>
      <c r="AK46" s="134">
        <f>SQRT(W46*W46+X46*X46+Y46*Y46)</f>
        <v>748.4054473083703</v>
      </c>
    </row>
    <row r="47" spans="1:41" s="2" customFormat="1">
      <c r="A47" s="16">
        <v>7</v>
      </c>
      <c r="B47" s="2">
        <v>5.66</v>
      </c>
      <c r="C47" s="2">
        <v>0</v>
      </c>
      <c r="D47" s="2">
        <v>-7.73</v>
      </c>
      <c r="E47" s="1">
        <v>0</v>
      </c>
      <c r="F47" s="2">
        <v>0.17</v>
      </c>
      <c r="G47" s="10">
        <v>0</v>
      </c>
      <c r="H47" s="3">
        <f>B47+I42</f>
        <v>11.410175200000001</v>
      </c>
      <c r="I47" s="3">
        <v>0</v>
      </c>
      <c r="J47" s="3">
        <f>D47</f>
        <v>-7.73</v>
      </c>
      <c r="K47" s="25">
        <v>0</v>
      </c>
      <c r="L47" s="3">
        <f>F47</f>
        <v>0.17</v>
      </c>
      <c r="M47" s="12">
        <v>0</v>
      </c>
      <c r="O47" s="2">
        <f>AVERAGE(O43:O46)</f>
        <v>445.21936099999999</v>
      </c>
      <c r="P47" s="2">
        <f>AVERAGE(P43:P46)</f>
        <v>-4222.9062215000004</v>
      </c>
      <c r="Q47" s="2">
        <f>AVERAGE(Q43:Q46)</f>
        <v>484.0368795</v>
      </c>
      <c r="R47" s="16"/>
      <c r="S47" s="2">
        <f>AVERAGE(S43:S46)</f>
        <v>445.21936099999999</v>
      </c>
      <c r="T47" s="2">
        <f>AVERAGE(T43:T46)</f>
        <v>484.0368795</v>
      </c>
      <c r="U47" s="2">
        <f>AVERAGE(U43:U46)</f>
        <v>4222.9062215000004</v>
      </c>
      <c r="V47" s="16"/>
      <c r="W47" s="27">
        <f t="shared" ref="W47:AB47" si="38">AVERAGE(W43:W46)</f>
        <v>12.553589749999958</v>
      </c>
      <c r="X47" s="27">
        <f t="shared" si="38"/>
        <v>0.13303924999998173</v>
      </c>
      <c r="Y47" s="27">
        <f t="shared" si="38"/>
        <v>-4.5488195000001497</v>
      </c>
      <c r="Z47" s="143">
        <f t="shared" si="38"/>
        <v>13.312103931351199</v>
      </c>
      <c r="AA47" s="156">
        <f t="shared" si="38"/>
        <v>11.146841593472971</v>
      </c>
      <c r="AB47" s="156">
        <f t="shared" si="38"/>
        <v>2.6153262550985934E-2</v>
      </c>
      <c r="AC47" s="156">
        <f>-(-854.2-AVERAGE(AC43:AC46))</f>
        <v>-7.348791546688517</v>
      </c>
      <c r="AD47" s="157">
        <v>0.16600000000000001</v>
      </c>
      <c r="AE47" s="59">
        <f>(W37-W47)/TAN(L47*3.1416/180)</f>
        <v>-1831.8976823013668</v>
      </c>
      <c r="AF47" s="19">
        <f>AA47-H47</f>
        <v>-0.26333360652703064</v>
      </c>
      <c r="AG47" s="2">
        <f>AB47-I47</f>
        <v>2.6153262550985934E-2</v>
      </c>
      <c r="AH47" s="27">
        <f>AC47-J47</f>
        <v>0.38120845331148345</v>
      </c>
      <c r="AI47" s="21">
        <f>ABS(AD47-L47)</f>
        <v>4.0000000000000036E-3</v>
      </c>
      <c r="AJ47" s="59">
        <f>(AE47)-(-1938+33.75)</f>
        <v>72.352317698633215</v>
      </c>
      <c r="AK47" s="136">
        <f>AVERAGE(AK43:AK46)</f>
        <v>760.2092604228784</v>
      </c>
      <c r="AL47" s="2">
        <f>STDEV(AK43:AK46)</f>
        <v>9.5572519390009276</v>
      </c>
      <c r="AO47" s="2">
        <f>AK47-radius</f>
        <v>7.797217813606494E-2</v>
      </c>
    </row>
    <row r="48" spans="1:41">
      <c r="E48" s="23"/>
      <c r="F48" s="4"/>
      <c r="I48" s="7">
        <f>SQRT(H47*H47+I47*I47+J47*J47)</f>
        <v>13.78205347887952</v>
      </c>
      <c r="N48" t="s">
        <v>32</v>
      </c>
      <c r="O48">
        <v>429.95843600000001</v>
      </c>
      <c r="P48">
        <v>-4232.984496</v>
      </c>
      <c r="Q48">
        <v>1244.232068</v>
      </c>
      <c r="S48">
        <f>O48</f>
        <v>429.95843600000001</v>
      </c>
      <c r="T48">
        <f>Q48</f>
        <v>1244.232068</v>
      </c>
      <c r="U48">
        <f>-P48</f>
        <v>4232.984496</v>
      </c>
      <c r="W48" s="26">
        <f>S48-flatx</f>
        <v>-2.7073352500000283</v>
      </c>
      <c r="X48" s="26">
        <f>T48-flaty</f>
        <v>760.32822775</v>
      </c>
      <c r="Y48" s="26">
        <f>U48-flatz</f>
        <v>5.5294549999998708</v>
      </c>
      <c r="AA48" s="155">
        <f>tran11*W48+tran12*X48+tran13*Y48+0</f>
        <v>-2.9354783227401571</v>
      </c>
      <c r="AB48" s="155">
        <f>tran21*W48+tran22*X48+tran23*Y48+0</f>
        <v>760.31082503125469</v>
      </c>
      <c r="AC48" s="155">
        <f>tran31*W48+tran32*X48+tran33*Y48+(-854.2)</f>
        <v>-861.66539900966029</v>
      </c>
      <c r="AK48" s="134">
        <f t="shared" ref="AK48:AK50" si="39">SQRT(W48*W48+X48*X48+Y48*Y48)</f>
        <v>760.35315377146208</v>
      </c>
    </row>
    <row r="49" spans="1:41">
      <c r="E49" s="23"/>
      <c r="F49" s="4"/>
      <c r="N49" t="s">
        <v>33</v>
      </c>
      <c r="O49">
        <v>437.63824699999998</v>
      </c>
      <c r="P49">
        <v>-4207.097831</v>
      </c>
      <c r="Q49">
        <v>-275.92999300000002</v>
      </c>
      <c r="S49">
        <f t="shared" ref="S49:S51" si="40">O49</f>
        <v>437.63824699999998</v>
      </c>
      <c r="T49">
        <f t="shared" ref="T49:T51" si="41">Q49</f>
        <v>-275.92999300000002</v>
      </c>
      <c r="U49">
        <f t="shared" ref="U49:U51" si="42">-P49</f>
        <v>4207.097831</v>
      </c>
      <c r="W49" s="26">
        <f>S49-flatx</f>
        <v>4.9724757499999441</v>
      </c>
      <c r="X49" s="26">
        <f>T49-flaty</f>
        <v>-759.83383325</v>
      </c>
      <c r="Y49" s="26">
        <f>U49-flatz</f>
        <v>-20.357210000000123</v>
      </c>
      <c r="AA49" s="155">
        <f>tran11*W49+tran12*X49+tran13*Y49+0</f>
        <v>1.6839366872737171</v>
      </c>
      <c r="AB49" s="155">
        <f>tran21*W49+tran22*X49+tran23*Y49+0</f>
        <v>-760.0839840956952</v>
      </c>
      <c r="AC49" s="155">
        <f>tran31*W49+tran32*X49+tran33*Y49+(-854.2)</f>
        <v>-861.68855261053318</v>
      </c>
      <c r="AK49" s="134">
        <f t="shared" si="39"/>
        <v>760.12275039328836</v>
      </c>
    </row>
    <row r="50" spans="1:41">
      <c r="E50" s="23"/>
      <c r="F50" s="4"/>
      <c r="N50" t="s">
        <v>34</v>
      </c>
      <c r="O50">
        <v>1173.4153799999999</v>
      </c>
      <c r="P50">
        <v>-4399.8024759999998</v>
      </c>
      <c r="Q50">
        <v>484.82122399999997</v>
      </c>
      <c r="S50">
        <f t="shared" si="40"/>
        <v>1173.4153799999999</v>
      </c>
      <c r="T50">
        <f t="shared" si="41"/>
        <v>484.82122399999997</v>
      </c>
      <c r="U50">
        <f t="shared" si="42"/>
        <v>4399.8024759999998</v>
      </c>
      <c r="W50" s="26">
        <f>S50-flatx</f>
        <v>740.74960874999988</v>
      </c>
      <c r="X50" s="26">
        <f>T50-flaty</f>
        <v>0.91738374999994221</v>
      </c>
      <c r="Y50" s="26">
        <f>U50-flatz</f>
        <v>172.34743499999968</v>
      </c>
      <c r="Z50" s="141">
        <f>180*ATAN(Y50/W50)/3.1416</f>
        <v>13.097738849854419</v>
      </c>
      <c r="AA50" s="155">
        <f>tran11*W50+tran12*X50+tran13*Y50+0</f>
        <v>760.39780403826535</v>
      </c>
      <c r="AB50" s="155">
        <f>tran21*W50+tran22*X50+tran23*Y50+0</f>
        <v>2.4213741162930615</v>
      </c>
      <c r="AC50" s="155">
        <f>tran31*W50+tran32*X50+tran33*Y50+(-854.2)</f>
        <v>-859.13673167968977</v>
      </c>
      <c r="AK50" s="134">
        <f t="shared" si="39"/>
        <v>760.53564203612564</v>
      </c>
    </row>
    <row r="51" spans="1:41">
      <c r="E51" s="23"/>
      <c r="F51" s="4"/>
      <c r="N51" t="s">
        <v>35</v>
      </c>
      <c r="O51">
        <v>-303.86079999999998</v>
      </c>
      <c r="P51">
        <v>-4041.2599310000001</v>
      </c>
      <c r="Q51">
        <v>483.11099100000001</v>
      </c>
      <c r="S51">
        <f t="shared" si="40"/>
        <v>-303.86079999999998</v>
      </c>
      <c r="T51">
        <f t="shared" si="41"/>
        <v>483.11099100000001</v>
      </c>
      <c r="U51">
        <f t="shared" si="42"/>
        <v>4041.2599310000001</v>
      </c>
      <c r="W51" s="26">
        <f>S51-flatx</f>
        <v>-736.52657124999996</v>
      </c>
      <c r="X51" s="26">
        <f>T51-flaty</f>
        <v>-0.79284925000001749</v>
      </c>
      <c r="Y51" s="26">
        <f>U51-flatz</f>
        <v>-186.19511000000011</v>
      </c>
      <c r="Z51" s="141">
        <f>180*ATAN(Y51/W51)/3.1416</f>
        <v>14.187188978325254</v>
      </c>
      <c r="AA51" s="155">
        <f>tran11*W51+tran12*X51+tran13*Y51+0</f>
        <v>-759.51658430383168</v>
      </c>
      <c r="AB51" s="155">
        <f>tran21*W51+tran22*X51+tran23*Y51+0</f>
        <v>-2.5510641817992949</v>
      </c>
      <c r="AC51" s="155">
        <f>tran31*W51+tran32*X51+tran33*Y51+(-854.2)</f>
        <v>-863.71363442049437</v>
      </c>
      <c r="AK51" s="134">
        <f>SQRT(W51*W51+X51*X51+Y51*Y51)</f>
        <v>759.69772788598402</v>
      </c>
    </row>
    <row r="52" spans="1:41" s="2" customFormat="1">
      <c r="A52" s="16">
        <v>8</v>
      </c>
      <c r="B52" s="2">
        <v>5.66</v>
      </c>
      <c r="C52" s="2">
        <v>0</v>
      </c>
      <c r="D52" s="2">
        <v>-7.73</v>
      </c>
      <c r="E52" s="1">
        <v>0</v>
      </c>
      <c r="F52" s="2">
        <v>-0.17</v>
      </c>
      <c r="G52" s="10">
        <v>0</v>
      </c>
      <c r="H52" s="3">
        <f>B52-I42</f>
        <v>-9.0175200000000899E-2</v>
      </c>
      <c r="I52" s="3">
        <v>0</v>
      </c>
      <c r="J52" s="3">
        <f>D52</f>
        <v>-7.73</v>
      </c>
      <c r="K52" s="25">
        <v>0</v>
      </c>
      <c r="L52" s="3">
        <f>F52</f>
        <v>-0.17</v>
      </c>
      <c r="M52" s="12">
        <v>0</v>
      </c>
      <c r="O52" s="2">
        <f>AVERAGE(O48:O51)</f>
        <v>434.28781574999999</v>
      </c>
      <c r="P52" s="2">
        <f>AVERAGE(P48:P51)</f>
        <v>-4220.2861835000003</v>
      </c>
      <c r="Q52" s="2">
        <f>AVERAGE(Q48:Q51)</f>
        <v>484.05857250000003</v>
      </c>
      <c r="R52" s="16"/>
      <c r="S52" s="2">
        <f>AVERAGE(S48:S51)</f>
        <v>434.28781574999999</v>
      </c>
      <c r="T52" s="2">
        <f>AVERAGE(T48:T51)</f>
        <v>484.05857250000003</v>
      </c>
      <c r="U52" s="2">
        <f>AVERAGE(U48:U51)</f>
        <v>4220.2861835000003</v>
      </c>
      <c r="V52" s="16"/>
      <c r="W52" s="27">
        <f t="shared" ref="W52:AB52" si="43">AVERAGE(W48:W51)</f>
        <v>1.6220444999999586</v>
      </c>
      <c r="X52" s="27">
        <f t="shared" si="43"/>
        <v>0.15473224999998081</v>
      </c>
      <c r="Y52" s="27">
        <f t="shared" si="43"/>
        <v>-7.168857500000172</v>
      </c>
      <c r="Z52" s="143">
        <f t="shared" si="43"/>
        <v>13.642463914089838</v>
      </c>
      <c r="AA52" s="156">
        <f t="shared" si="43"/>
        <v>-9.2580475258188244E-2</v>
      </c>
      <c r="AB52" s="156">
        <f t="shared" si="43"/>
        <v>2.4287717513315155E-2</v>
      </c>
      <c r="AC52" s="156">
        <f>-(-854.2-AVERAGE(AC48:AC51))</f>
        <v>-7.3510794300943871</v>
      </c>
      <c r="AD52" s="157">
        <v>-0.17249999999999999</v>
      </c>
      <c r="AE52" s="59">
        <f>(W42-W52)/TAN(L52*3.1416/180)</f>
        <v>-1834.1261393399084</v>
      </c>
      <c r="AF52" s="19">
        <f>AA52-H52</f>
        <v>-2.4052752581873449E-3</v>
      </c>
      <c r="AG52" s="2">
        <f>AB52-I52</f>
        <v>2.4287717513315155E-2</v>
      </c>
      <c r="AH52" s="27">
        <f>AC52-J52</f>
        <v>0.37892056990561329</v>
      </c>
      <c r="AI52" s="21">
        <f>ABS(AD52-L52)</f>
        <v>2.4999999999999745E-3</v>
      </c>
      <c r="AJ52" s="59">
        <f>(AE52)-(-1938+33.75)</f>
        <v>70.123860660091623</v>
      </c>
      <c r="AK52" s="136">
        <f>AVERAGE(AK48:AK51)</f>
        <v>760.17731852171505</v>
      </c>
      <c r="AL52" s="2">
        <f>STDEV(AK48:AK51)</f>
        <v>0.36161611070030053</v>
      </c>
      <c r="AO52" s="2">
        <f>AK52-radius</f>
        <v>4.6030276972715001E-2</v>
      </c>
    </row>
    <row r="53" spans="1:41">
      <c r="E53" s="23"/>
      <c r="F53" s="4"/>
      <c r="I53" s="7">
        <f>SQRT(H52*H52+I52*I52+J52*J52)</f>
        <v>7.7305259566665345</v>
      </c>
      <c r="N53" t="s">
        <v>36</v>
      </c>
      <c r="O53">
        <v>420.539062</v>
      </c>
      <c r="P53">
        <v>-4248.0685240000003</v>
      </c>
      <c r="Q53">
        <v>1238.3142680000001</v>
      </c>
      <c r="S53">
        <f>O53</f>
        <v>420.539062</v>
      </c>
      <c r="T53">
        <f>Q53</f>
        <v>1238.3142680000001</v>
      </c>
      <c r="U53">
        <f>-P53</f>
        <v>4248.0685240000003</v>
      </c>
      <c r="W53" s="26">
        <f>S53-flatx</f>
        <v>-12.126709250000033</v>
      </c>
      <c r="X53" s="26">
        <f>T53-flaty</f>
        <v>754.41042775000005</v>
      </c>
      <c r="Y53" s="26">
        <f>U53-flatz</f>
        <v>20.613483000000087</v>
      </c>
      <c r="AA53" s="155">
        <f>tran11*W53+tran12*X53+tran13*Y53+0</f>
        <v>-8.5692962527163115</v>
      </c>
      <c r="AB53" s="155">
        <f>tran21*W53+tran22*X53+tran23*Y53+0</f>
        <v>754.68095032629765</v>
      </c>
      <c r="AC53" s="155">
        <f>tran31*W53+tran32*X53+tran33*Y53+(-854.2)</f>
        <v>-844.70012458646875</v>
      </c>
      <c r="AK53" s="134">
        <f t="shared" ref="AK53:AK55" si="44">SQRT(W53*W53+X53*X53+Y53*Y53)</f>
        <v>754.78941848476074</v>
      </c>
    </row>
    <row r="54" spans="1:41">
      <c r="E54" s="23"/>
      <c r="F54" s="4"/>
      <c r="N54" t="s">
        <v>37</v>
      </c>
      <c r="O54">
        <v>429.28676999999999</v>
      </c>
      <c r="P54">
        <v>-4217.8150429999996</v>
      </c>
      <c r="Q54">
        <v>-281.77963299999999</v>
      </c>
      <c r="S54">
        <f t="shared" ref="S54:S56" si="45">O54</f>
        <v>429.28676999999999</v>
      </c>
      <c r="T54">
        <f t="shared" ref="T54:T56" si="46">Q54</f>
        <v>-281.77963299999999</v>
      </c>
      <c r="U54">
        <f t="shared" ref="U54:U56" si="47">-P54</f>
        <v>4217.8150429999996</v>
      </c>
      <c r="W54" s="26">
        <f>S54-flatx</f>
        <v>-3.3790012500000444</v>
      </c>
      <c r="X54" s="26">
        <f>T54-flaty</f>
        <v>-765.68347325000002</v>
      </c>
      <c r="Y54" s="26">
        <f>U54-flatz</f>
        <v>-9.6399980000005598</v>
      </c>
      <c r="AA54" s="155">
        <f>tran11*W54+tran12*X54+tran13*Y54+0</f>
        <v>-3.9285793039964734</v>
      </c>
      <c r="AB54" s="155">
        <f>tran21*W54+tran22*X54+tran23*Y54+0</f>
        <v>-765.72532028510511</v>
      </c>
      <c r="AC54" s="155">
        <f>tran31*W54+tran32*X54+tran33*Y54+(-854.2)</f>
        <v>-849.21922492150543</v>
      </c>
      <c r="AK54" s="134">
        <f t="shared" si="44"/>
        <v>765.75161013155628</v>
      </c>
    </row>
    <row r="55" spans="1:41">
      <c r="E55" s="23"/>
      <c r="F55" s="4"/>
      <c r="N55" t="s">
        <v>38</v>
      </c>
      <c r="O55">
        <v>1165.0596390000001</v>
      </c>
      <c r="P55">
        <v>-4410.4329790000002</v>
      </c>
      <c r="Q55">
        <v>478.97232000000002</v>
      </c>
      <c r="S55">
        <f t="shared" si="45"/>
        <v>1165.0596390000001</v>
      </c>
      <c r="T55">
        <f t="shared" si="46"/>
        <v>478.97232000000002</v>
      </c>
      <c r="U55">
        <f t="shared" si="47"/>
        <v>4410.4329790000002</v>
      </c>
      <c r="W55" s="26">
        <f>S55-flatx</f>
        <v>732.39386775000003</v>
      </c>
      <c r="X55" s="26">
        <f>T55-flaty</f>
        <v>-4.9315202500000055</v>
      </c>
      <c r="Y55" s="26">
        <f>U55-flatz</f>
        <v>182.97793799999999</v>
      </c>
      <c r="Z55" s="141">
        <f>180*ATAN(Y55/W55)/3.1416</f>
        <v>14.027335895311461</v>
      </c>
      <c r="AA55" s="155">
        <f>tran11*W55+tran12*X55+tran13*Y55+0</f>
        <v>754.76094811183009</v>
      </c>
      <c r="AB55" s="155">
        <f>tran21*W55+tran22*X55+tran23*Y55+0</f>
        <v>-3.2207536836863802</v>
      </c>
      <c r="AC55" s="155">
        <f>tran31*W55+tran32*X55+tran33*Y55+(-854.2)</f>
        <v>-846.7507351437423</v>
      </c>
      <c r="AK55" s="134">
        <f t="shared" si="44"/>
        <v>754.9212033083403</v>
      </c>
    </row>
    <row r="56" spans="1:41">
      <c r="E56" s="23"/>
      <c r="F56" s="4"/>
      <c r="N56" t="s">
        <v>39</v>
      </c>
      <c r="O56">
        <v>-313.25098700000001</v>
      </c>
      <c r="P56">
        <v>-4056.3036550000002</v>
      </c>
      <c r="Q56">
        <v>477.178157</v>
      </c>
      <c r="S56">
        <f t="shared" si="45"/>
        <v>-313.25098700000001</v>
      </c>
      <c r="T56">
        <f t="shared" si="46"/>
        <v>477.178157</v>
      </c>
      <c r="U56">
        <f t="shared" si="47"/>
        <v>4056.3036550000002</v>
      </c>
      <c r="W56" s="26">
        <f>S56-flatx</f>
        <v>-745.91675825000004</v>
      </c>
      <c r="X56" s="26">
        <f>T56-flaty</f>
        <v>-6.7256832500000314</v>
      </c>
      <c r="Y56" s="26">
        <f>U56-flatz</f>
        <v>-171.151386</v>
      </c>
      <c r="Z56" s="141">
        <f>180*ATAN(Y56/W56)/3.1416</f>
        <v>12.922858629660151</v>
      </c>
      <c r="AA56" s="155">
        <f>tran11*W56+tran12*X56+tran13*Y56+0</f>
        <v>-765.13137671275342</v>
      </c>
      <c r="AB56" s="155">
        <f>tran21*W56+tran22*X56+tran23*Y56+0</f>
        <v>-8.1967457101030057</v>
      </c>
      <c r="AC56" s="155">
        <f>tran31*W56+tran32*X56+tran33*Y56+(-854.2)</f>
        <v>-846.79407991985283</v>
      </c>
      <c r="AK56" s="134">
        <f>SQRT(W56*W56+X56*X56+Y56*Y56)</f>
        <v>765.329890951013</v>
      </c>
    </row>
    <row r="57" spans="1:41" s="2" customFormat="1">
      <c r="A57" s="16">
        <v>9</v>
      </c>
      <c r="B57" s="2">
        <v>-5.66</v>
      </c>
      <c r="C57" s="2">
        <v>0</v>
      </c>
      <c r="D57" s="2">
        <v>7.73</v>
      </c>
      <c r="E57" s="1">
        <v>0.17</v>
      </c>
      <c r="F57" s="2">
        <v>0</v>
      </c>
      <c r="G57" s="10">
        <v>0</v>
      </c>
      <c r="H57" s="3">
        <f>B57</f>
        <v>-5.66</v>
      </c>
      <c r="I57" s="3">
        <f>I37</f>
        <v>-5.750175200000001</v>
      </c>
      <c r="J57" s="3">
        <f>D57</f>
        <v>7.73</v>
      </c>
      <c r="K57" s="25">
        <f>E57</f>
        <v>0.17</v>
      </c>
      <c r="L57" s="3">
        <v>0</v>
      </c>
      <c r="M57" s="12">
        <v>0</v>
      </c>
      <c r="O57" s="2">
        <f>AVERAGE(O53:O56)</f>
        <v>425.40862100000004</v>
      </c>
      <c r="P57" s="2">
        <f>AVERAGE(P53:P56)</f>
        <v>-4233.1550502500004</v>
      </c>
      <c r="Q57" s="2">
        <f>AVERAGE(Q53:Q56)</f>
        <v>478.17127800000003</v>
      </c>
      <c r="R57" s="16"/>
      <c r="S57" s="2">
        <f>AVERAGE(S53:S56)</f>
        <v>425.40862100000004</v>
      </c>
      <c r="T57" s="2">
        <f>AVERAGE(T53:T56)</f>
        <v>478.17127800000003</v>
      </c>
      <c r="U57" s="2">
        <f>AVERAGE(U53:U56)</f>
        <v>4233.1550502500004</v>
      </c>
      <c r="V57" s="16"/>
      <c r="W57" s="27">
        <f t="shared" ref="W57:AB57" si="48">AVERAGE(W53:W56)</f>
        <v>-7.2571502500000236</v>
      </c>
      <c r="X57" s="27">
        <f t="shared" si="48"/>
        <v>-5.7325622500000009</v>
      </c>
      <c r="Y57" s="27">
        <f t="shared" si="48"/>
        <v>5.70000924999988</v>
      </c>
      <c r="Z57" s="143">
        <f t="shared" si="48"/>
        <v>13.475097262485807</v>
      </c>
      <c r="AA57" s="156">
        <f t="shared" si="48"/>
        <v>-5.7170760394090223</v>
      </c>
      <c r="AB57" s="156">
        <f t="shared" si="48"/>
        <v>-5.6154673381492124</v>
      </c>
      <c r="AC57" s="156">
        <f>-(-854.2-AVERAGE(AC53:AC56))</f>
        <v>7.3339588571077456</v>
      </c>
      <c r="AD57" s="157">
        <v>0.17030000000000001</v>
      </c>
      <c r="AE57" s="59">
        <f>X57/TAN(K57*3.1416/180)</f>
        <v>-1932.0581813066633</v>
      </c>
      <c r="AF57" s="19">
        <f>AA57-H57</f>
        <v>-5.7076039409022172E-2</v>
      </c>
      <c r="AG57" s="2">
        <f>AB57-I57</f>
        <v>0.13470786185078865</v>
      </c>
      <c r="AH57" s="27">
        <f>AC57-J57</f>
        <v>-0.39604114289225478</v>
      </c>
      <c r="AI57" s="2">
        <f>ABS(AD57-K57)</f>
        <v>2.9999999999999472E-4</v>
      </c>
      <c r="AJ57" s="59">
        <f>(AE57)-(-1938+33.75)</f>
        <v>-27.8081813066633</v>
      </c>
      <c r="AK57" s="136">
        <f>AVERAGE(AK53:AK56)</f>
        <v>760.19803071891761</v>
      </c>
      <c r="AL57" s="2">
        <f>STDEV(AK53:AK56)</f>
        <v>6.1718778221526058</v>
      </c>
      <c r="AO57" s="2">
        <f>AK57-radius</f>
        <v>6.6742474175271127E-2</v>
      </c>
    </row>
    <row r="58" spans="1:41">
      <c r="E58" s="23"/>
      <c r="F58" s="4"/>
      <c r="I58" s="7">
        <f>SQRT(H57*H57+I57*I57+J57*J57)</f>
        <v>11.17376457737924</v>
      </c>
      <c r="N58" t="s">
        <v>40</v>
      </c>
      <c r="O58">
        <v>421.53284500000001</v>
      </c>
      <c r="P58">
        <v>-4243.8559100000002</v>
      </c>
      <c r="Q58">
        <v>1249.6293780000001</v>
      </c>
      <c r="S58">
        <f>O58</f>
        <v>421.53284500000001</v>
      </c>
      <c r="T58">
        <f>Q58</f>
        <v>1249.6293780000001</v>
      </c>
      <c r="U58">
        <f>-P58</f>
        <v>4243.8559100000002</v>
      </c>
      <c r="W58" s="26">
        <f>S58-flatx</f>
        <v>-11.132926250000025</v>
      </c>
      <c r="X58" s="26">
        <f>T58-flaty</f>
        <v>765.72553775000006</v>
      </c>
      <c r="Y58" s="26">
        <f>U58-flatz</f>
        <v>16.400869000000057</v>
      </c>
      <c r="AA58" s="155">
        <f>tran11*W58+tran12*X58+tran13*Y58+0</f>
        <v>-8.6076787440204097</v>
      </c>
      <c r="AB58" s="155">
        <f>tran21*W58+tran22*X58+tran23*Y58+0</f>
        <v>765.91753571738263</v>
      </c>
      <c r="AC58" s="155">
        <f>tran31*W58+tran32*X58+tran33*Y58+(-854.2)</f>
        <v>-849.22816142642841</v>
      </c>
      <c r="AK58" s="134">
        <f t="shared" ref="AK58:AK60" si="49">SQRT(W58*W58+X58*X58+Y58*Y58)</f>
        <v>765.98206879363033</v>
      </c>
    </row>
    <row r="59" spans="1:41">
      <c r="E59" s="23"/>
      <c r="F59" s="4"/>
      <c r="N59" t="s">
        <v>41</v>
      </c>
      <c r="O59">
        <v>428.17647299999999</v>
      </c>
      <c r="P59">
        <v>-4222.2783470000004</v>
      </c>
      <c r="Q59">
        <v>-270.59925600000003</v>
      </c>
      <c r="S59">
        <f t="shared" ref="S59:S61" si="50">O59</f>
        <v>428.17647299999999</v>
      </c>
      <c r="T59">
        <f t="shared" ref="T59:T61" si="51">Q59</f>
        <v>-270.59925600000003</v>
      </c>
      <c r="U59">
        <f t="shared" ref="U59:U61" si="52">-P59</f>
        <v>4222.2783470000004</v>
      </c>
      <c r="W59" s="26">
        <f>S59-flatx</f>
        <v>-4.4892982500000471</v>
      </c>
      <c r="X59" s="26">
        <f>T59-flaty</f>
        <v>-754.50309625</v>
      </c>
      <c r="Y59" s="26">
        <f>U59-flatz</f>
        <v>-5.1766939999997703</v>
      </c>
      <c r="AA59" s="155">
        <f>tran11*W59+tran12*X59+tran13*Y59+0</f>
        <v>-3.992172152924093</v>
      </c>
      <c r="AB59" s="155">
        <f>tran21*W59+tran22*X59+tran23*Y59+0</f>
        <v>-754.465314172533</v>
      </c>
      <c r="AC59" s="155">
        <f>tran31*W59+tran32*X59+tran33*Y59+(-854.2)</f>
        <v>-844.81889973204534</v>
      </c>
      <c r="AK59" s="134">
        <f t="shared" si="49"/>
        <v>754.53421009943872</v>
      </c>
    </row>
    <row r="60" spans="1:41">
      <c r="E60" s="23"/>
      <c r="F60" s="4"/>
      <c r="N60" t="s">
        <v>42</v>
      </c>
      <c r="O60">
        <v>1164.9977799999999</v>
      </c>
      <c r="P60">
        <v>-4410.6704460000001</v>
      </c>
      <c r="Q60">
        <v>490.20423399999999</v>
      </c>
      <c r="S60">
        <f t="shared" si="50"/>
        <v>1164.9977799999999</v>
      </c>
      <c r="T60">
        <f t="shared" si="51"/>
        <v>490.20423399999999</v>
      </c>
      <c r="U60">
        <f t="shared" si="52"/>
        <v>4410.6704460000001</v>
      </c>
      <c r="W60" s="26">
        <f>S60-flatx</f>
        <v>732.33200874999989</v>
      </c>
      <c r="X60" s="26">
        <f>T60-flaty</f>
        <v>6.3003937499999552</v>
      </c>
      <c r="Y60" s="26">
        <f>U60-flatz</f>
        <v>183.21540499999992</v>
      </c>
      <c r="Z60" s="141">
        <f>180*ATAN(Y60/W60)/3.1416</f>
        <v>14.045959719748732</v>
      </c>
      <c r="AA60" s="155">
        <f>tran11*W60+tran12*X60+tran13*Y60+0</f>
        <v>754.73260152552928</v>
      </c>
      <c r="AB60" s="155">
        <f>tran21*W60+tran22*X60+tran23*Y60+0</f>
        <v>8.0137093360850784</v>
      </c>
      <c r="AC60" s="155">
        <f>tran31*W60+tran32*X60+tran33*Y60+(-854.2)</f>
        <v>-846.70445036924048</v>
      </c>
      <c r="AK60" s="134">
        <f t="shared" si="49"/>
        <v>754.92897058632536</v>
      </c>
    </row>
    <row r="61" spans="1:41">
      <c r="E61" s="23"/>
      <c r="F61" s="4"/>
      <c r="N61" t="s">
        <v>43</v>
      </c>
      <c r="O61">
        <v>-313.35801199999997</v>
      </c>
      <c r="P61">
        <v>-4056.5226309999998</v>
      </c>
      <c r="Q61">
        <v>488.43971099999999</v>
      </c>
      <c r="S61">
        <f t="shared" si="50"/>
        <v>-313.35801199999997</v>
      </c>
      <c r="T61">
        <f t="shared" si="51"/>
        <v>488.43971099999999</v>
      </c>
      <c r="U61">
        <f t="shared" si="52"/>
        <v>4056.5226309999998</v>
      </c>
      <c r="W61" s="26">
        <f>S61-flatx</f>
        <v>-746.02378324999995</v>
      </c>
      <c r="X61" s="26">
        <f>T61-flaty</f>
        <v>4.5358707499999582</v>
      </c>
      <c r="Y61" s="26">
        <f>U61-flatz</f>
        <v>-170.93241000000035</v>
      </c>
      <c r="Z61" s="141">
        <f>180*ATAN(Y61/W61)/3.1416</f>
        <v>12.905089155782836</v>
      </c>
      <c r="AA61" s="155">
        <f>tran11*W61+tran12*X61+tran13*Y61+0</f>
        <v>-765.2080083390972</v>
      </c>
      <c r="AB61" s="155">
        <f>tran21*W61+tran22*X61+tran23*Y61+0</f>
        <v>3.0671194370418768</v>
      </c>
      <c r="AC61" s="155">
        <f>tran31*W61+tran32*X61+tran33*Y61+(-854.2)</f>
        <v>-846.75578196971469</v>
      </c>
      <c r="AK61" s="134">
        <f>SQRT(W61*W61+X61*X61+Y61*Y61)</f>
        <v>765.36915804499972</v>
      </c>
    </row>
    <row r="62" spans="1:41" s="2" customFormat="1">
      <c r="A62" s="16">
        <v>10</v>
      </c>
      <c r="B62" s="2">
        <v>-5.66</v>
      </c>
      <c r="C62" s="2">
        <v>0</v>
      </c>
      <c r="D62" s="2">
        <v>7.73</v>
      </c>
      <c r="E62" s="1">
        <v>-0.17</v>
      </c>
      <c r="F62" s="2">
        <v>0</v>
      </c>
      <c r="G62" s="10">
        <v>0</v>
      </c>
      <c r="H62" s="3">
        <f>B62</f>
        <v>-5.66</v>
      </c>
      <c r="I62" s="3">
        <f>I42</f>
        <v>5.750175200000001</v>
      </c>
      <c r="J62" s="3">
        <f>D62</f>
        <v>7.73</v>
      </c>
      <c r="K62" s="25">
        <f>E62</f>
        <v>-0.17</v>
      </c>
      <c r="L62" s="3">
        <v>0</v>
      </c>
      <c r="M62" s="12">
        <v>0</v>
      </c>
      <c r="O62" s="2">
        <f>AVERAGE(O58:O61)</f>
        <v>425.33727149999999</v>
      </c>
      <c r="P62" s="2">
        <f>AVERAGE(P58:P61)</f>
        <v>-4233.3318335000004</v>
      </c>
      <c r="Q62" s="2">
        <f>AVERAGE(Q58:Q61)</f>
        <v>489.41851675000004</v>
      </c>
      <c r="R62" s="16"/>
      <c r="S62" s="2">
        <f>AVERAGE(S58:S61)</f>
        <v>425.33727149999999</v>
      </c>
      <c r="T62" s="2">
        <f>AVERAGE(T58:T61)</f>
        <v>489.41851675000004</v>
      </c>
      <c r="U62" s="2">
        <f>AVERAGE(U58:U61)</f>
        <v>4233.3318335000004</v>
      </c>
      <c r="V62" s="16"/>
      <c r="W62" s="27">
        <f t="shared" ref="W62:AB62" si="53">AVERAGE(W58:W61)</f>
        <v>-7.3284997500000486</v>
      </c>
      <c r="X62" s="27">
        <f t="shared" si="53"/>
        <v>5.5146764999999931</v>
      </c>
      <c r="Y62" s="27">
        <f t="shared" si="53"/>
        <v>5.876792499999965</v>
      </c>
      <c r="Z62" s="143">
        <f t="shared" si="53"/>
        <v>13.475524437765785</v>
      </c>
      <c r="AA62" s="156">
        <f t="shared" si="53"/>
        <v>-5.768814427628115</v>
      </c>
      <c r="AB62" s="156">
        <f t="shared" si="53"/>
        <v>5.633262579494148</v>
      </c>
      <c r="AC62" s="156">
        <f>-(-854.2-AVERAGE(AC58:AC61))</f>
        <v>7.3231766256428728</v>
      </c>
      <c r="AD62" s="157">
        <v>-0.16619999999999999</v>
      </c>
      <c r="AE62" s="59">
        <f>X62/TAN(K62*3.1416/180)</f>
        <v>-1858.6236632815599</v>
      </c>
      <c r="AF62" s="19">
        <f>AA62-H62</f>
        <v>-0.10881442762811488</v>
      </c>
      <c r="AG62" s="2">
        <f>AB62-I62</f>
        <v>-0.11691262050585305</v>
      </c>
      <c r="AH62" s="27">
        <f>AC62-J62</f>
        <v>-0.40682337435712768</v>
      </c>
      <c r="AI62" s="21">
        <f>ABS(AD62-K62)</f>
        <v>3.8000000000000256E-3</v>
      </c>
      <c r="AJ62" s="59">
        <f>(AE62)-(-1938+33.75)</f>
        <v>45.626336718440143</v>
      </c>
      <c r="AK62" s="136">
        <f>AVERAGE(AK58:AK61)</f>
        <v>760.20360188109862</v>
      </c>
      <c r="AL62" s="2">
        <f>STDEV(AK58:AK61)</f>
        <v>6.3255405252935937</v>
      </c>
      <c r="AO62" s="2">
        <f>AK62-radius</f>
        <v>7.2313636356284405E-2</v>
      </c>
    </row>
    <row r="63" spans="1:41">
      <c r="E63" s="23"/>
      <c r="F63" s="4"/>
      <c r="I63" s="7">
        <f>SQRT(H62*H62+I62*I62+J62*J62)</f>
        <v>11.17376457737924</v>
      </c>
      <c r="AF63" s="17">
        <f>AVERAGE(AF12:AF62)</f>
        <v>-9.2169191967200706E-2</v>
      </c>
      <c r="AG63" s="26">
        <f>AVERAGE(AG12:AG62)</f>
        <v>2.9821479645740612E-2</v>
      </c>
      <c r="AH63">
        <f>AVERAGE(AH12:AH62)</f>
        <v>-8.3168503558304959E-3</v>
      </c>
      <c r="AI63" s="56">
        <f>AVERAGE(AI12:AI62)</f>
        <v>2.4800000000000074E-3</v>
      </c>
      <c r="AJ63" s="63">
        <f>AVERAGE(AJ12:AJ62)</f>
        <v>32.746212289914205</v>
      </c>
      <c r="AO63">
        <f>AVERAGE(AO12:AO62)</f>
        <v>6.226797140927829E-2</v>
      </c>
    </row>
    <row r="64" spans="1:41">
      <c r="AF64" s="17">
        <f>STDEV(AF12:AF62)</f>
        <v>9.9859321928614561E-2</v>
      </c>
      <c r="AG64">
        <f t="shared" ref="AG64:AH64" si="54">STDEV(AG12:AG62)</f>
        <v>0.10821847473709753</v>
      </c>
      <c r="AH64">
        <f t="shared" si="54"/>
        <v>0.36859819033451596</v>
      </c>
      <c r="AI64" s="7" t="s">
        <v>68</v>
      </c>
      <c r="AJ64" s="63">
        <f>STDEV(AJ12:AJ62)</f>
        <v>45.849218426583057</v>
      </c>
      <c r="AO64">
        <f>STDEV(AO12:AO62)</f>
        <v>1.319930679447083E-2</v>
      </c>
    </row>
    <row r="65" spans="17:42">
      <c r="Q65" s="28" t="s">
        <v>69</v>
      </c>
      <c r="R65" s="29"/>
      <c r="S65" s="29"/>
      <c r="T65" s="29"/>
      <c r="U65" s="29"/>
      <c r="V65" s="29"/>
      <c r="W65" s="30"/>
      <c r="X65" s="30"/>
      <c r="Y65" s="30"/>
      <c r="AA65" s="139"/>
      <c r="AB65" s="139"/>
      <c r="AC65" s="139"/>
      <c r="AJ65" s="57">
        <f>AJ63-AJ64</f>
        <v>-13.103006136668853</v>
      </c>
      <c r="AK65" s="134">
        <f>AJ63+AJ64</f>
        <v>78.595430716497262</v>
      </c>
      <c r="AO65">
        <f>AO63-AO64</f>
        <v>4.906866461480746E-2</v>
      </c>
      <c r="AP65">
        <f>AO63+AO64</f>
        <v>7.5467278203749127E-2</v>
      </c>
    </row>
    <row r="66" spans="17:42">
      <c r="Q66" s="23" t="s">
        <v>81</v>
      </c>
      <c r="R66" s="4"/>
      <c r="S66" s="4"/>
      <c r="T66" s="4"/>
      <c r="U66" s="4"/>
      <c r="V66" s="4"/>
      <c r="W66" s="31"/>
      <c r="X66" s="31"/>
      <c r="Y66" s="31"/>
      <c r="AA66" s="139"/>
      <c r="AB66" s="139"/>
      <c r="AC66" s="139"/>
    </row>
    <row r="67" spans="17:42">
      <c r="Q67" s="32" t="s">
        <v>82</v>
      </c>
      <c r="R67" s="33"/>
      <c r="S67" s="33"/>
      <c r="T67" s="33"/>
      <c r="U67" s="33"/>
      <c r="V67" s="33"/>
      <c r="W67" s="34"/>
      <c r="X67" s="34"/>
      <c r="Y67" s="34"/>
      <c r="AA67" s="139"/>
      <c r="AB67" s="139"/>
      <c r="AC67" s="1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workbookViewId="0">
      <selection activeCell="AD36" sqref="AD36"/>
    </sheetView>
  </sheetViews>
  <sheetFormatPr defaultRowHeight="14.4"/>
  <cols>
    <col min="1" max="1" width="2.6640625" style="118" customWidth="1"/>
    <col min="2" max="12" width="4.5546875" customWidth="1"/>
    <col min="13" max="13" width="2.44140625" customWidth="1"/>
    <col min="14" max="16" width="5.88671875" style="100" customWidth="1"/>
    <col min="17" max="17" width="5" style="26" customWidth="1"/>
    <col min="18" max="18" width="4.6640625" customWidth="1"/>
    <col min="19" max="22" width="5" style="26" customWidth="1"/>
    <col min="23" max="23" width="4.109375" customWidth="1"/>
    <col min="24" max="24" width="5.6640625" customWidth="1"/>
  </cols>
  <sheetData>
    <row r="1" spans="1:24" ht="9.9" customHeight="1">
      <c r="A1" s="119" t="s">
        <v>61</v>
      </c>
      <c r="B1" s="79" t="s">
        <v>60</v>
      </c>
      <c r="C1" s="79"/>
      <c r="D1" s="79"/>
      <c r="E1" s="120"/>
      <c r="F1" s="79"/>
      <c r="G1" s="121"/>
      <c r="H1" s="79" t="s">
        <v>83</v>
      </c>
      <c r="I1" s="79"/>
      <c r="J1" s="79"/>
      <c r="K1" s="78"/>
      <c r="L1" s="79"/>
      <c r="M1" s="122"/>
      <c r="N1" s="123" t="s">
        <v>99</v>
      </c>
      <c r="O1" s="123"/>
      <c r="P1" s="123"/>
      <c r="Q1" s="124" t="s">
        <v>67</v>
      </c>
      <c r="R1" s="125" t="s">
        <v>71</v>
      </c>
      <c r="S1" s="126" t="s">
        <v>62</v>
      </c>
      <c r="T1" s="92"/>
      <c r="U1" s="92"/>
      <c r="V1" s="127"/>
      <c r="W1" s="128" t="s">
        <v>72</v>
      </c>
      <c r="X1" s="146" t="s">
        <v>74</v>
      </c>
    </row>
    <row r="2" spans="1:24" ht="9.9" customHeight="1">
      <c r="A2" s="115"/>
      <c r="B2" s="74" t="s">
        <v>44</v>
      </c>
      <c r="C2" s="74" t="s">
        <v>45</v>
      </c>
      <c r="D2" s="74" t="s">
        <v>46</v>
      </c>
      <c r="E2" s="73" t="s">
        <v>57</v>
      </c>
      <c r="F2" s="74" t="s">
        <v>58</v>
      </c>
      <c r="G2" s="75" t="s">
        <v>59</v>
      </c>
      <c r="H2" s="74" t="s">
        <v>44</v>
      </c>
      <c r="I2" s="74" t="s">
        <v>45</v>
      </c>
      <c r="J2" s="74" t="s">
        <v>46</v>
      </c>
      <c r="K2" s="24" t="s">
        <v>57</v>
      </c>
      <c r="L2" s="74" t="s">
        <v>58</v>
      </c>
      <c r="M2" s="76" t="s">
        <v>59</v>
      </c>
      <c r="N2" s="96" t="s">
        <v>44</v>
      </c>
      <c r="O2" s="96" t="s">
        <v>45</v>
      </c>
      <c r="P2" s="96" t="s">
        <v>46</v>
      </c>
      <c r="Q2" s="77" t="s">
        <v>101</v>
      </c>
      <c r="R2" s="105" t="s">
        <v>54</v>
      </c>
      <c r="S2" s="102" t="s">
        <v>63</v>
      </c>
      <c r="T2" s="77" t="s">
        <v>64</v>
      </c>
      <c r="U2" s="77" t="s">
        <v>65</v>
      </c>
      <c r="V2" s="109" t="s">
        <v>66</v>
      </c>
      <c r="W2" s="129" t="s">
        <v>73</v>
      </c>
      <c r="X2" s="147" t="s">
        <v>75</v>
      </c>
    </row>
    <row r="3" spans="1:24" ht="9.9" customHeight="1">
      <c r="A3" s="115"/>
      <c r="B3" s="81"/>
      <c r="C3" s="81"/>
      <c r="D3" s="81"/>
      <c r="E3" s="80"/>
      <c r="F3" s="81"/>
      <c r="G3" s="82"/>
      <c r="H3" s="74"/>
      <c r="I3" s="74"/>
      <c r="J3" s="74"/>
      <c r="K3" s="24"/>
      <c r="L3" s="74"/>
      <c r="M3" s="76"/>
      <c r="N3" s="98">
        <v>-2.8434602957696322</v>
      </c>
      <c r="O3" s="98">
        <v>760.26901993147817</v>
      </c>
      <c r="P3" s="98">
        <v>-854.319097869659</v>
      </c>
      <c r="Q3" s="93"/>
      <c r="R3" s="104"/>
      <c r="S3" s="101"/>
      <c r="T3" s="93"/>
      <c r="U3" s="93"/>
      <c r="V3" s="110"/>
      <c r="W3" s="130"/>
      <c r="X3" s="148">
        <v>760.27435974798686</v>
      </c>
    </row>
    <row r="4" spans="1:24" ht="9.9" customHeight="1">
      <c r="A4" s="115"/>
      <c r="B4" s="81"/>
      <c r="C4" s="81"/>
      <c r="D4" s="81"/>
      <c r="E4" s="80"/>
      <c r="F4" s="81"/>
      <c r="G4" s="82"/>
      <c r="H4" s="74"/>
      <c r="I4" s="74"/>
      <c r="J4" s="74"/>
      <c r="K4" s="24"/>
      <c r="L4" s="74"/>
      <c r="M4" s="76"/>
      <c r="N4" s="98">
        <v>1.777951929929261</v>
      </c>
      <c r="O4" s="98">
        <v>-760.09155862405123</v>
      </c>
      <c r="P4" s="98">
        <v>-854.31894648798971</v>
      </c>
      <c r="Q4" s="93"/>
      <c r="R4" s="104"/>
      <c r="S4" s="101"/>
      <c r="T4" s="93"/>
      <c r="U4" s="93"/>
      <c r="V4" s="110"/>
      <c r="W4" s="130"/>
      <c r="X4" s="148">
        <v>760.09365915195076</v>
      </c>
    </row>
    <row r="5" spans="1:24" ht="9.9" customHeight="1">
      <c r="A5" s="115"/>
      <c r="B5" s="81"/>
      <c r="C5" s="81"/>
      <c r="D5" s="81"/>
      <c r="E5" s="80"/>
      <c r="F5" s="81"/>
      <c r="G5" s="82"/>
      <c r="H5" s="74"/>
      <c r="I5" s="74"/>
      <c r="J5" s="74"/>
      <c r="K5" s="24"/>
      <c r="L5" s="74"/>
      <c r="M5" s="76"/>
      <c r="N5" s="98">
        <v>760.4786453983703</v>
      </c>
      <c r="O5" s="98">
        <v>2.3984793644611777</v>
      </c>
      <c r="P5" s="98">
        <v>-854.08085291412408</v>
      </c>
      <c r="Q5" s="93"/>
      <c r="R5" s="104"/>
      <c r="S5" s="101"/>
      <c r="T5" s="93"/>
      <c r="U5" s="93"/>
      <c r="V5" s="110"/>
      <c r="W5" s="130"/>
      <c r="X5" s="148">
        <v>760.60022221470251</v>
      </c>
    </row>
    <row r="6" spans="1:24" ht="9.9" customHeight="1">
      <c r="A6" s="115"/>
      <c r="B6" s="81"/>
      <c r="C6" s="81"/>
      <c r="D6" s="81"/>
      <c r="E6" s="80"/>
      <c r="F6" s="81"/>
      <c r="G6" s="82"/>
      <c r="H6" s="74"/>
      <c r="I6" s="74"/>
      <c r="J6" s="74"/>
      <c r="K6" s="24"/>
      <c r="L6" s="74"/>
      <c r="M6" s="76"/>
      <c r="N6" s="98">
        <v>-759.41313703253024</v>
      </c>
      <c r="O6" s="98">
        <v>-2.5759406718880808</v>
      </c>
      <c r="P6" s="98">
        <v>-854.0811027282283</v>
      </c>
      <c r="Q6" s="93"/>
      <c r="R6" s="104"/>
      <c r="S6" s="101"/>
      <c r="T6" s="93"/>
      <c r="U6" s="93"/>
      <c r="V6" s="110"/>
      <c r="W6" s="130"/>
      <c r="X6" s="148">
        <v>759.53514398048117</v>
      </c>
    </row>
    <row r="7" spans="1:24" ht="9.9" customHeight="1">
      <c r="A7" s="116">
        <v>0</v>
      </c>
      <c r="B7" s="83">
        <v>0</v>
      </c>
      <c r="C7" s="83">
        <v>0</v>
      </c>
      <c r="D7" s="83">
        <v>0</v>
      </c>
      <c r="E7" s="84">
        <v>0</v>
      </c>
      <c r="F7" s="83">
        <v>0</v>
      </c>
      <c r="G7" s="85">
        <v>0</v>
      </c>
      <c r="H7" s="86">
        <v>0</v>
      </c>
      <c r="I7" s="86">
        <v>0</v>
      </c>
      <c r="J7" s="86">
        <v>0</v>
      </c>
      <c r="K7" s="87">
        <v>0</v>
      </c>
      <c r="L7" s="86">
        <v>0</v>
      </c>
      <c r="M7" s="88">
        <v>0</v>
      </c>
      <c r="N7" s="107">
        <v>0</v>
      </c>
      <c r="O7" s="107">
        <v>8.7707618945387367E-15</v>
      </c>
      <c r="P7" s="107">
        <v>0</v>
      </c>
      <c r="Q7" s="108">
        <v>0</v>
      </c>
      <c r="R7" s="106"/>
      <c r="S7" s="103">
        <v>0</v>
      </c>
      <c r="T7" s="89">
        <v>-1.4210854715202004E-14</v>
      </c>
      <c r="U7" s="89">
        <v>-2.2737367544323206E-13</v>
      </c>
      <c r="V7" s="111">
        <v>0</v>
      </c>
      <c r="W7" s="128"/>
      <c r="X7" s="149">
        <v>760.12584627378033</v>
      </c>
    </row>
    <row r="8" spans="1:24" ht="9.9" customHeight="1">
      <c r="A8" s="115"/>
      <c r="B8" s="81"/>
      <c r="C8" s="81"/>
      <c r="D8" s="81"/>
      <c r="E8" s="80"/>
      <c r="F8" s="81"/>
      <c r="G8" s="82"/>
      <c r="H8" s="74"/>
      <c r="I8" s="74"/>
      <c r="J8" s="74"/>
      <c r="K8" s="24"/>
      <c r="L8" s="74"/>
      <c r="M8" s="76"/>
      <c r="N8" s="98">
        <v>2.8669915513648991</v>
      </c>
      <c r="O8" s="98">
        <v>754.68917889947375</v>
      </c>
      <c r="P8" s="98">
        <v>-844.32145873618697</v>
      </c>
      <c r="Q8" s="93"/>
      <c r="R8" s="104"/>
      <c r="S8" s="101"/>
      <c r="T8" s="93"/>
      <c r="U8" s="93"/>
      <c r="V8" s="110"/>
      <c r="W8" s="130"/>
      <c r="X8" s="148">
        <v>754.75928398937481</v>
      </c>
    </row>
    <row r="9" spans="1:24" ht="9.9" customHeight="1">
      <c r="A9" s="115"/>
      <c r="B9" s="81"/>
      <c r="C9" s="81"/>
      <c r="D9" s="81"/>
      <c r="E9" s="80"/>
      <c r="F9" s="81"/>
      <c r="G9" s="82"/>
      <c r="H9" s="74"/>
      <c r="I9" s="74"/>
      <c r="J9" s="74"/>
      <c r="K9" s="24"/>
      <c r="L9" s="74"/>
      <c r="M9" s="76"/>
      <c r="N9" s="98">
        <v>7.444869608793474</v>
      </c>
      <c r="O9" s="98">
        <v>-765.69037013616662</v>
      </c>
      <c r="P9" s="98">
        <v>-848.79762193163515</v>
      </c>
      <c r="Q9" s="93"/>
      <c r="R9" s="104"/>
      <c r="S9" s="101"/>
      <c r="T9" s="93"/>
      <c r="U9" s="93"/>
      <c r="V9" s="110"/>
      <c r="W9" s="130"/>
      <c r="X9" s="148">
        <v>765.7456424913787</v>
      </c>
    </row>
    <row r="10" spans="1:24" ht="9.9" customHeight="1">
      <c r="A10" s="115"/>
      <c r="B10" s="81"/>
      <c r="C10" s="81"/>
      <c r="D10" s="81"/>
      <c r="E10" s="80"/>
      <c r="F10" s="81"/>
      <c r="G10" s="82"/>
      <c r="H10" s="74"/>
      <c r="I10" s="74"/>
      <c r="J10" s="74"/>
      <c r="K10" s="24"/>
      <c r="L10" s="74"/>
      <c r="M10" s="76"/>
      <c r="N10" s="98">
        <v>766.15573098247796</v>
      </c>
      <c r="O10" s="98">
        <v>-3.1998136859231963</v>
      </c>
      <c r="P10" s="98">
        <v>-846.34818281348703</v>
      </c>
      <c r="Q10" s="93"/>
      <c r="R10" s="104"/>
      <c r="S10" s="101"/>
      <c r="T10" s="93"/>
      <c r="U10" s="93"/>
      <c r="V10" s="110"/>
      <c r="W10" s="130"/>
      <c r="X10" s="148">
        <v>766.32101856703662</v>
      </c>
    </row>
    <row r="11" spans="1:24" ht="9.9" customHeight="1">
      <c r="A11" s="115"/>
      <c r="B11" s="81"/>
      <c r="C11" s="81"/>
      <c r="D11" s="81"/>
      <c r="E11" s="80"/>
      <c r="F11" s="81"/>
      <c r="G11" s="82"/>
      <c r="H11" s="74"/>
      <c r="I11" s="74"/>
      <c r="J11" s="74"/>
      <c r="K11" s="24"/>
      <c r="L11" s="74"/>
      <c r="M11" s="76"/>
      <c r="N11" s="98">
        <v>-753.71690452487201</v>
      </c>
      <c r="O11" s="98">
        <v>-8.1692000937848182</v>
      </c>
      <c r="P11" s="98">
        <v>-846.41131589399436</v>
      </c>
      <c r="Q11" s="93"/>
      <c r="R11" s="104"/>
      <c r="S11" s="101"/>
      <c r="T11" s="93"/>
      <c r="U11" s="93"/>
      <c r="V11" s="110"/>
      <c r="W11" s="130"/>
      <c r="X11" s="148">
        <v>753.91843047778764</v>
      </c>
    </row>
    <row r="12" spans="1:24" ht="9.9" customHeight="1">
      <c r="A12" s="116">
        <v>1</v>
      </c>
      <c r="B12" s="83">
        <v>5.66</v>
      </c>
      <c r="C12" s="83">
        <v>0</v>
      </c>
      <c r="D12" s="83">
        <v>7.73</v>
      </c>
      <c r="E12" s="84">
        <v>0.17</v>
      </c>
      <c r="F12" s="83">
        <v>0</v>
      </c>
      <c r="G12" s="85">
        <v>0</v>
      </c>
      <c r="H12" s="86">
        <v>5.66</v>
      </c>
      <c r="I12" s="86">
        <v>-5.750175200000001</v>
      </c>
      <c r="J12" s="86">
        <v>7.73</v>
      </c>
      <c r="K12" s="87">
        <v>0.17</v>
      </c>
      <c r="L12" s="86">
        <v>0</v>
      </c>
      <c r="M12" s="88">
        <v>0</v>
      </c>
      <c r="N12" s="107">
        <v>5.6876719044410891</v>
      </c>
      <c r="O12" s="107">
        <v>-5.592551254100222</v>
      </c>
      <c r="P12" s="107">
        <v>7.7303551561741415</v>
      </c>
      <c r="Q12" s="108">
        <v>0.16869999999999999</v>
      </c>
      <c r="R12" s="106">
        <v>-1934.7460132610358</v>
      </c>
      <c r="S12" s="103">
        <v>2.7671904441088913E-2</v>
      </c>
      <c r="T12" s="89">
        <v>0.15762394589977902</v>
      </c>
      <c r="U12" s="89">
        <v>3.5515617414105805E-4</v>
      </c>
      <c r="V12" s="111">
        <v>1.3000000000000234E-3</v>
      </c>
      <c r="W12" s="128">
        <v>-30.496013261035841</v>
      </c>
      <c r="X12" s="149">
        <v>760.18609388139441</v>
      </c>
    </row>
    <row r="13" spans="1:24" ht="9.9" customHeight="1">
      <c r="A13" s="115"/>
      <c r="B13" s="81"/>
      <c r="C13" s="81"/>
      <c r="D13" s="81"/>
      <c r="E13" s="80"/>
      <c r="F13" s="81"/>
      <c r="G13" s="82"/>
      <c r="H13" s="74"/>
      <c r="I13" s="74"/>
      <c r="J13" s="74"/>
      <c r="K13" s="24"/>
      <c r="L13" s="74"/>
      <c r="M13" s="76"/>
      <c r="N13" s="98">
        <v>2.7913062523744849</v>
      </c>
      <c r="O13" s="98">
        <v>765.95136759577349</v>
      </c>
      <c r="P13" s="98">
        <v>-848.8237446725858</v>
      </c>
      <c r="Q13" s="93"/>
      <c r="R13" s="104"/>
      <c r="S13" s="101"/>
      <c r="T13" s="93"/>
      <c r="U13" s="93"/>
      <c r="V13" s="110"/>
      <c r="W13" s="130"/>
      <c r="X13" s="148">
        <v>765.97533195575863</v>
      </c>
    </row>
    <row r="14" spans="1:24" ht="9.9" customHeight="1">
      <c r="A14" s="115"/>
      <c r="B14" s="81"/>
      <c r="C14" s="81"/>
      <c r="D14" s="81"/>
      <c r="E14" s="80"/>
      <c r="F14" s="81"/>
      <c r="G14" s="82"/>
      <c r="H14" s="74"/>
      <c r="I14" s="74"/>
      <c r="J14" s="74"/>
      <c r="K14" s="24"/>
      <c r="L14" s="74"/>
      <c r="M14" s="76"/>
      <c r="N14" s="98">
        <v>7.3572653902469591</v>
      </c>
      <c r="O14" s="98">
        <v>-754.41985018525691</v>
      </c>
      <c r="P14" s="98">
        <v>-844.39225095328288</v>
      </c>
      <c r="Q14" s="93">
        <v>0.1697150605950242</v>
      </c>
      <c r="R14" s="104"/>
      <c r="S14" s="101"/>
      <c r="T14" s="93"/>
      <c r="U14" s="93"/>
      <c r="V14" s="110"/>
      <c r="W14" s="130"/>
      <c r="X14" s="148">
        <v>754.51949120118354</v>
      </c>
    </row>
    <row r="15" spans="1:24" ht="9.9" customHeight="1">
      <c r="A15" s="115"/>
      <c r="B15" s="81"/>
      <c r="C15" s="81"/>
      <c r="D15" s="81"/>
      <c r="E15" s="80"/>
      <c r="F15" s="81"/>
      <c r="G15" s="82"/>
      <c r="H15" s="74"/>
      <c r="I15" s="74"/>
      <c r="J15" s="74"/>
      <c r="K15" s="24"/>
      <c r="L15" s="74"/>
      <c r="M15" s="76"/>
      <c r="N15" s="98">
        <v>766.09623885897292</v>
      </c>
      <c r="O15" s="98">
        <v>8.0466962440083751</v>
      </c>
      <c r="P15" s="98">
        <v>-846.27152619124638</v>
      </c>
      <c r="Q15" s="93"/>
      <c r="R15" s="104"/>
      <c r="S15" s="101"/>
      <c r="T15" s="93"/>
      <c r="U15" s="93"/>
      <c r="V15" s="110"/>
      <c r="W15" s="130"/>
      <c r="X15" s="148">
        <v>766.29787181122958</v>
      </c>
    </row>
    <row r="16" spans="1:24" ht="9.9" customHeight="1">
      <c r="A16" s="115"/>
      <c r="B16" s="81"/>
      <c r="C16" s="81"/>
      <c r="D16" s="81"/>
      <c r="E16" s="80"/>
      <c r="F16" s="81"/>
      <c r="G16" s="82"/>
      <c r="H16" s="74"/>
      <c r="I16" s="74"/>
      <c r="J16" s="74"/>
      <c r="K16" s="24"/>
      <c r="L16" s="74"/>
      <c r="M16" s="76"/>
      <c r="N16" s="98">
        <v>-753.82317448498509</v>
      </c>
      <c r="O16" s="98">
        <v>3.0940264166225111</v>
      </c>
      <c r="P16" s="98">
        <v>-846.36396100196589</v>
      </c>
      <c r="Q16" s="93"/>
      <c r="R16" s="104"/>
      <c r="S16" s="101"/>
      <c r="T16" s="93"/>
      <c r="U16" s="93"/>
      <c r="V16" s="110"/>
      <c r="W16" s="130"/>
      <c r="X16" s="148">
        <v>753.98729513016087</v>
      </c>
    </row>
    <row r="17" spans="1:24" ht="9.9" customHeight="1">
      <c r="A17" s="116">
        <v>2</v>
      </c>
      <c r="B17" s="83">
        <v>5.66</v>
      </c>
      <c r="C17" s="83">
        <v>0</v>
      </c>
      <c r="D17" s="83">
        <v>7.73</v>
      </c>
      <c r="E17" s="84">
        <v>-0.17</v>
      </c>
      <c r="F17" s="83">
        <v>0</v>
      </c>
      <c r="G17" s="85">
        <v>0</v>
      </c>
      <c r="H17" s="86">
        <v>5.66</v>
      </c>
      <c r="I17" s="86">
        <v>5.750175200000001</v>
      </c>
      <c r="J17" s="86">
        <v>7.73</v>
      </c>
      <c r="K17" s="87">
        <v>-0.17</v>
      </c>
      <c r="L17" s="86">
        <v>0</v>
      </c>
      <c r="M17" s="88">
        <v>0</v>
      </c>
      <c r="N17" s="107">
        <v>5.6054090041523068</v>
      </c>
      <c r="O17" s="107">
        <v>5.6680600177868676</v>
      </c>
      <c r="P17" s="107">
        <v>7.7371292952298063</v>
      </c>
      <c r="Q17" s="108">
        <v>-0.16700000000000001</v>
      </c>
      <c r="R17" s="106">
        <v>-1859.8562743680784</v>
      </c>
      <c r="S17" s="103">
        <v>-5.4590995847693335E-2</v>
      </c>
      <c r="T17" s="89">
        <v>-8.2115182213133409E-2</v>
      </c>
      <c r="U17" s="89">
        <v>7.1292952298058765E-3</v>
      </c>
      <c r="V17" s="111">
        <v>3.0000000000000027E-3</v>
      </c>
      <c r="W17" s="128">
        <v>44.393725631921598</v>
      </c>
      <c r="X17" s="149">
        <v>760.19499752458319</v>
      </c>
    </row>
    <row r="18" spans="1:24" ht="9.9" customHeight="1">
      <c r="A18" s="115"/>
      <c r="B18" s="81"/>
      <c r="C18" s="81"/>
      <c r="D18" s="81"/>
      <c r="E18" s="80"/>
      <c r="F18" s="81"/>
      <c r="G18" s="82"/>
      <c r="H18" s="74"/>
      <c r="I18" s="74"/>
      <c r="J18" s="74"/>
      <c r="K18" s="24"/>
      <c r="L18" s="74"/>
      <c r="M18" s="76"/>
      <c r="N18" s="98">
        <v>8.3534809772341738</v>
      </c>
      <c r="O18" s="98">
        <v>760.35014889855643</v>
      </c>
      <c r="P18" s="98">
        <v>-846.96578623229482</v>
      </c>
      <c r="Q18" s="93"/>
      <c r="R18" s="104"/>
      <c r="S18" s="101"/>
      <c r="T18" s="93"/>
      <c r="U18" s="93"/>
      <c r="V18" s="110"/>
      <c r="W18" s="130"/>
      <c r="X18" s="148">
        <v>760.43046513129491</v>
      </c>
    </row>
    <row r="19" spans="1:24" ht="9.9" customHeight="1">
      <c r="A19" s="115"/>
      <c r="B19" s="81"/>
      <c r="C19" s="81"/>
      <c r="D19" s="81"/>
      <c r="E19" s="80"/>
      <c r="F19" s="81"/>
      <c r="G19" s="82"/>
      <c r="H19" s="74"/>
      <c r="I19" s="74"/>
      <c r="J19" s="74"/>
      <c r="K19" s="24"/>
      <c r="L19" s="74"/>
      <c r="M19" s="76"/>
      <c r="N19" s="98">
        <v>12.928953417603392</v>
      </c>
      <c r="O19" s="98">
        <v>-760.04760300654914</v>
      </c>
      <c r="P19" s="98">
        <v>-847.00419809281846</v>
      </c>
      <c r="Q19" s="93">
        <v>-0.16314576597596403</v>
      </c>
      <c r="R19" s="104"/>
      <c r="S19" s="101"/>
      <c r="T19" s="93"/>
      <c r="U19" s="93"/>
      <c r="V19" s="110"/>
      <c r="W19" s="130"/>
      <c r="X19" s="148">
        <v>760.19166254272238</v>
      </c>
    </row>
    <row r="20" spans="1:24" ht="9.9" customHeight="1">
      <c r="A20" s="115"/>
      <c r="B20" s="81"/>
      <c r="C20" s="81"/>
      <c r="D20" s="81"/>
      <c r="E20" s="80"/>
      <c r="F20" s="81"/>
      <c r="G20" s="82"/>
      <c r="H20" s="74"/>
      <c r="I20" s="74"/>
      <c r="J20" s="74"/>
      <c r="K20" s="24"/>
      <c r="L20" s="74"/>
      <c r="M20" s="76"/>
      <c r="N20" s="98">
        <v>771.67417347879712</v>
      </c>
      <c r="O20" s="98">
        <v>2.4419462140307866</v>
      </c>
      <c r="P20" s="98">
        <v>-848.94363097177052</v>
      </c>
      <c r="Q20" s="93"/>
      <c r="R20" s="104"/>
      <c r="S20" s="101"/>
      <c r="T20" s="93"/>
      <c r="U20" s="93"/>
      <c r="V20" s="110"/>
      <c r="W20" s="130"/>
      <c r="X20" s="148">
        <v>771.81526519434772</v>
      </c>
    </row>
    <row r="21" spans="1:24" ht="9.9" customHeight="1">
      <c r="A21" s="115"/>
      <c r="B21" s="81"/>
      <c r="C21" s="81"/>
      <c r="D21" s="81"/>
      <c r="E21" s="80"/>
      <c r="F21" s="81"/>
      <c r="G21" s="82"/>
      <c r="H21" s="74"/>
      <c r="I21" s="74"/>
      <c r="J21" s="74"/>
      <c r="K21" s="24"/>
      <c r="L21" s="74"/>
      <c r="M21" s="76"/>
      <c r="N21" s="98">
        <v>-748.226418382784</v>
      </c>
      <c r="O21" s="98">
        <v>-2.5033287476551083</v>
      </c>
      <c r="P21" s="98">
        <v>-844.5698568029419</v>
      </c>
      <c r="Q21" s="93"/>
      <c r="R21" s="104"/>
      <c r="S21" s="101"/>
      <c r="T21" s="93"/>
      <c r="U21" s="93"/>
      <c r="V21" s="110"/>
      <c r="W21" s="130"/>
      <c r="X21" s="148">
        <v>748.40881531542618</v>
      </c>
    </row>
    <row r="22" spans="1:24" ht="9.9" customHeight="1">
      <c r="A22" s="116">
        <v>3</v>
      </c>
      <c r="B22" s="83">
        <v>5.66</v>
      </c>
      <c r="C22" s="83">
        <v>0</v>
      </c>
      <c r="D22" s="83">
        <v>7.73</v>
      </c>
      <c r="E22" s="84">
        <v>0</v>
      </c>
      <c r="F22" s="83">
        <v>0.17</v>
      </c>
      <c r="G22" s="85">
        <v>0</v>
      </c>
      <c r="H22" s="86">
        <v>11.410175200000001</v>
      </c>
      <c r="I22" s="86">
        <v>0</v>
      </c>
      <c r="J22" s="86">
        <v>7.73</v>
      </c>
      <c r="K22" s="87">
        <v>0</v>
      </c>
      <c r="L22" s="86">
        <v>0.17</v>
      </c>
      <c r="M22" s="88">
        <v>0</v>
      </c>
      <c r="N22" s="107">
        <v>11.182547372712662</v>
      </c>
      <c r="O22" s="107">
        <v>6.0290839595741552E-2</v>
      </c>
      <c r="P22" s="107">
        <v>7.3291319750435378</v>
      </c>
      <c r="Q22" s="108">
        <v>0.16489999999999999</v>
      </c>
      <c r="R22" s="106">
        <v>-1864.2577466449418</v>
      </c>
      <c r="S22" s="103">
        <v>-0.2276278272873391</v>
      </c>
      <c r="T22" s="89">
        <v>6.0290839595741552E-2</v>
      </c>
      <c r="U22" s="89">
        <v>-0.40086802495646268</v>
      </c>
      <c r="V22" s="111">
        <v>5.1000000000000212E-3</v>
      </c>
      <c r="W22" s="128">
        <v>39.99225335505821</v>
      </c>
      <c r="X22" s="149">
        <v>760.21155204594777</v>
      </c>
    </row>
    <row r="23" spans="1:24" ht="9.9" customHeight="1">
      <c r="A23" s="115"/>
      <c r="B23" s="81"/>
      <c r="C23" s="81"/>
      <c r="D23" s="81"/>
      <c r="E23" s="80"/>
      <c r="F23" s="81"/>
      <c r="G23" s="82"/>
      <c r="H23" s="74"/>
      <c r="I23" s="74"/>
      <c r="J23" s="74"/>
      <c r="K23" s="24"/>
      <c r="L23" s="74"/>
      <c r="M23" s="76"/>
      <c r="N23" s="98">
        <v>-2.9008174931495487</v>
      </c>
      <c r="O23" s="98">
        <v>760.31723045789579</v>
      </c>
      <c r="P23" s="98">
        <v>-846.97867424805713</v>
      </c>
      <c r="Q23" s="93"/>
      <c r="R23" s="104"/>
      <c r="S23" s="101"/>
      <c r="T23" s="93"/>
      <c r="U23" s="93"/>
      <c r="V23" s="110"/>
      <c r="W23" s="130"/>
      <c r="X23" s="148">
        <v>760.35707067565204</v>
      </c>
    </row>
    <row r="24" spans="1:24" ht="9.9" customHeight="1">
      <c r="A24" s="115"/>
      <c r="B24" s="81"/>
      <c r="C24" s="81"/>
      <c r="D24" s="81"/>
      <c r="E24" s="80"/>
      <c r="F24" s="81"/>
      <c r="G24" s="82"/>
      <c r="H24" s="74"/>
      <c r="I24" s="74"/>
      <c r="J24" s="74"/>
      <c r="K24" s="24"/>
      <c r="L24" s="74"/>
      <c r="M24" s="76"/>
      <c r="N24" s="98">
        <v>1.7040506630046259</v>
      </c>
      <c r="O24" s="98">
        <v>-760.06527899375021</v>
      </c>
      <c r="P24" s="98">
        <v>-847.01113102808438</v>
      </c>
      <c r="Q24" s="93"/>
      <c r="R24" s="104"/>
      <c r="S24" s="101"/>
      <c r="T24" s="93"/>
      <c r="U24" s="93"/>
      <c r="V24" s="110"/>
      <c r="W24" s="130"/>
      <c r="X24" s="148">
        <v>760.10119644261465</v>
      </c>
    </row>
    <row r="25" spans="1:24" ht="9.9" customHeight="1">
      <c r="A25" s="115"/>
      <c r="B25" s="81"/>
      <c r="C25" s="81"/>
      <c r="D25" s="81"/>
      <c r="E25" s="80"/>
      <c r="F25" s="81"/>
      <c r="G25" s="82"/>
      <c r="H25" s="74"/>
      <c r="I25" s="74"/>
      <c r="J25" s="74"/>
      <c r="K25" s="24"/>
      <c r="L25" s="74"/>
      <c r="M25" s="76"/>
      <c r="N25" s="98">
        <v>760.41525190238212</v>
      </c>
      <c r="O25" s="98">
        <v>2.4219303097535856</v>
      </c>
      <c r="P25" s="98">
        <v>-844.46418850126406</v>
      </c>
      <c r="Q25" s="93"/>
      <c r="R25" s="104"/>
      <c r="S25" s="101"/>
      <c r="T25" s="93"/>
      <c r="U25" s="93"/>
      <c r="V25" s="110"/>
      <c r="W25" s="130"/>
      <c r="X25" s="148">
        <v>760.5988403363001</v>
      </c>
    </row>
    <row r="26" spans="1:24" ht="9.9" customHeight="1">
      <c r="A26" s="115"/>
      <c r="B26" s="81"/>
      <c r="C26" s="81"/>
      <c r="D26" s="81"/>
      <c r="E26" s="80"/>
      <c r="F26" s="81"/>
      <c r="G26" s="82"/>
      <c r="H26" s="74"/>
      <c r="I26" s="74"/>
      <c r="J26" s="74"/>
      <c r="K26" s="24"/>
      <c r="L26" s="74"/>
      <c r="M26" s="76"/>
      <c r="N26" s="98">
        <v>-759.48359754118621</v>
      </c>
      <c r="O26" s="98">
        <v>-2.5360431259404876</v>
      </c>
      <c r="P26" s="98">
        <v>-849.04650652483781</v>
      </c>
      <c r="Q26" s="93"/>
      <c r="R26" s="104"/>
      <c r="S26" s="101"/>
      <c r="T26" s="93"/>
      <c r="U26" s="93"/>
      <c r="V26" s="110"/>
      <c r="W26" s="130"/>
      <c r="X26" s="148">
        <v>759.62313968178557</v>
      </c>
    </row>
    <row r="27" spans="1:24" ht="9.9" customHeight="1">
      <c r="A27" s="116">
        <v>4</v>
      </c>
      <c r="B27" s="83">
        <v>5.66</v>
      </c>
      <c r="C27" s="83">
        <v>0</v>
      </c>
      <c r="D27" s="83">
        <v>7.73</v>
      </c>
      <c r="E27" s="84">
        <v>0</v>
      </c>
      <c r="F27" s="83">
        <v>-0.17</v>
      </c>
      <c r="G27" s="85">
        <v>0</v>
      </c>
      <c r="H27" s="86">
        <v>-9.0175200000000899E-2</v>
      </c>
      <c r="I27" s="86">
        <v>0</v>
      </c>
      <c r="J27" s="86">
        <v>7.73</v>
      </c>
      <c r="K27" s="87">
        <v>0</v>
      </c>
      <c r="L27" s="86">
        <v>-0.17</v>
      </c>
      <c r="M27" s="88">
        <v>0</v>
      </c>
      <c r="N27" s="107">
        <v>-6.6278117237260403E-2</v>
      </c>
      <c r="O27" s="107">
        <v>3.4459661989668766E-2</v>
      </c>
      <c r="P27" s="107">
        <v>7.3248749244393139</v>
      </c>
      <c r="Q27" s="108">
        <v>-0.17269999999999999</v>
      </c>
      <c r="R27" s="106">
        <v>-1822.9363326042553</v>
      </c>
      <c r="S27" s="103">
        <v>2.3897082762740496E-2</v>
      </c>
      <c r="T27" s="89">
        <v>3.4459661989668766E-2</v>
      </c>
      <c r="U27" s="89">
        <v>-0.40512507556068655</v>
      </c>
      <c r="V27" s="111">
        <v>2.6999999999999802E-3</v>
      </c>
      <c r="W27" s="128">
        <v>81.313667395744687</v>
      </c>
      <c r="X27" s="149">
        <v>760.17006178408815</v>
      </c>
    </row>
    <row r="28" spans="1:24" ht="9.9" customHeight="1">
      <c r="A28" s="115"/>
      <c r="B28" s="81"/>
      <c r="C28" s="81"/>
      <c r="D28" s="81"/>
      <c r="E28" s="80"/>
      <c r="F28" s="81"/>
      <c r="G28" s="82"/>
      <c r="H28" s="74"/>
      <c r="I28" s="74"/>
      <c r="J28" s="74"/>
      <c r="K28" s="24"/>
      <c r="L28" s="74"/>
      <c r="M28" s="76"/>
      <c r="N28" s="98">
        <v>2.7303597169174552</v>
      </c>
      <c r="O28" s="98">
        <v>754.72082642131306</v>
      </c>
      <c r="P28" s="98">
        <v>-859.39718363372731</v>
      </c>
      <c r="Q28" s="93"/>
      <c r="R28" s="104"/>
      <c r="S28" s="101"/>
      <c r="T28" s="93"/>
      <c r="U28" s="93"/>
      <c r="V28" s="110"/>
      <c r="W28" s="130"/>
      <c r="X28" s="148">
        <v>754.74367116402959</v>
      </c>
    </row>
    <row r="29" spans="1:24" ht="9.9" customHeight="1">
      <c r="A29" s="115"/>
      <c r="B29" s="81"/>
      <c r="C29" s="81"/>
      <c r="D29" s="81"/>
      <c r="E29" s="80"/>
      <c r="F29" s="81"/>
      <c r="G29" s="82"/>
      <c r="H29" s="74"/>
      <c r="I29" s="74"/>
      <c r="J29" s="74"/>
      <c r="K29" s="24"/>
      <c r="L29" s="74"/>
      <c r="M29" s="76"/>
      <c r="N29" s="98">
        <v>7.2961589022870958</v>
      </c>
      <c r="O29" s="98">
        <v>-765.6876418134201</v>
      </c>
      <c r="P29" s="98">
        <v>-863.90062367463736</v>
      </c>
      <c r="Q29" s="93"/>
      <c r="R29" s="104"/>
      <c r="S29" s="101"/>
      <c r="T29" s="93"/>
      <c r="U29" s="93"/>
      <c r="V29" s="110"/>
      <c r="W29" s="130"/>
      <c r="X29" s="148">
        <v>765.7838746550018</v>
      </c>
    </row>
    <row r="30" spans="1:24" ht="9.9" customHeight="1">
      <c r="A30" s="115"/>
      <c r="B30" s="81"/>
      <c r="C30" s="81"/>
      <c r="D30" s="81"/>
      <c r="E30" s="80"/>
      <c r="F30" s="81"/>
      <c r="G30" s="82"/>
      <c r="H30" s="74"/>
      <c r="I30" s="74"/>
      <c r="J30" s="74"/>
      <c r="K30" s="24"/>
      <c r="L30" s="74"/>
      <c r="M30" s="76"/>
      <c r="N30" s="98">
        <v>766.02074754217836</v>
      </c>
      <c r="O30" s="98">
        <v>-3.1875343989868945</v>
      </c>
      <c r="P30" s="98">
        <v>-861.41818514676618</v>
      </c>
      <c r="Q30" s="93"/>
      <c r="R30" s="104"/>
      <c r="S30" s="101"/>
      <c r="T30" s="93"/>
      <c r="U30" s="93"/>
      <c r="V30" s="110"/>
      <c r="W30" s="130"/>
      <c r="X30" s="148">
        <v>766.18029856874273</v>
      </c>
    </row>
    <row r="31" spans="1:24" ht="9.9" customHeight="1">
      <c r="A31" s="115"/>
      <c r="B31" s="81"/>
      <c r="C31" s="81"/>
      <c r="D31" s="81"/>
      <c r="E31" s="80"/>
      <c r="F31" s="81"/>
      <c r="G31" s="82"/>
      <c r="H31" s="74"/>
      <c r="I31" s="74"/>
      <c r="J31" s="74"/>
      <c r="K31" s="24"/>
      <c r="L31" s="74"/>
      <c r="M31" s="76"/>
      <c r="N31" s="98">
        <v>-753.86470521637762</v>
      </c>
      <c r="O31" s="98">
        <v>-8.1403165651899059</v>
      </c>
      <c r="P31" s="98">
        <v>-861.49534725451895</v>
      </c>
      <c r="Q31" s="93"/>
      <c r="R31" s="104"/>
      <c r="S31" s="101"/>
      <c r="T31" s="93"/>
      <c r="U31" s="93"/>
      <c r="V31" s="110"/>
      <c r="W31" s="130"/>
      <c r="X31" s="148">
        <v>754.06043167982386</v>
      </c>
    </row>
    <row r="32" spans="1:24" ht="9.9" customHeight="1">
      <c r="A32" s="116">
        <v>5</v>
      </c>
      <c r="B32" s="83">
        <v>5.66</v>
      </c>
      <c r="C32" s="83">
        <v>0</v>
      </c>
      <c r="D32" s="83">
        <v>-7.73</v>
      </c>
      <c r="E32" s="84">
        <v>0.17</v>
      </c>
      <c r="F32" s="83">
        <v>0</v>
      </c>
      <c r="G32" s="85">
        <v>0</v>
      </c>
      <c r="H32" s="86">
        <v>5.66</v>
      </c>
      <c r="I32" s="86">
        <v>-5.750175200000001</v>
      </c>
      <c r="J32" s="86">
        <v>-7.73</v>
      </c>
      <c r="K32" s="87">
        <v>0.17</v>
      </c>
      <c r="L32" s="86">
        <v>0</v>
      </c>
      <c r="M32" s="88">
        <v>0</v>
      </c>
      <c r="N32" s="107">
        <v>5.5456402362513302</v>
      </c>
      <c r="O32" s="107">
        <v>-5.5736665890709594</v>
      </c>
      <c r="P32" s="107">
        <v>-7.3528349274123457</v>
      </c>
      <c r="Q32" s="108">
        <v>0.16969999999999999</v>
      </c>
      <c r="R32" s="106">
        <v>-1838.2065884272392</v>
      </c>
      <c r="S32" s="103">
        <v>-0.11435976374866996</v>
      </c>
      <c r="T32" s="89">
        <v>0.17650861092904169</v>
      </c>
      <c r="U32" s="89">
        <v>0.37716507258765475</v>
      </c>
      <c r="V32" s="111">
        <v>3.0000000000002247E-4</v>
      </c>
      <c r="W32" s="128">
        <v>66.04341157276076</v>
      </c>
      <c r="X32" s="149">
        <v>760.1920690168995</v>
      </c>
    </row>
    <row r="33" spans="1:31" ht="9.9" customHeight="1">
      <c r="A33" s="115"/>
      <c r="B33" s="81"/>
      <c r="C33" s="81"/>
      <c r="D33" s="81"/>
      <c r="E33" s="80"/>
      <c r="F33" s="81"/>
      <c r="G33" s="82"/>
      <c r="H33" s="74"/>
      <c r="I33" s="74"/>
      <c r="J33" s="74"/>
      <c r="K33" s="24"/>
      <c r="L33" s="74"/>
      <c r="M33" s="76"/>
      <c r="N33" s="98">
        <v>2.6918807857667595</v>
      </c>
      <c r="O33" s="98">
        <v>765.90749868869284</v>
      </c>
      <c r="P33" s="98">
        <v>-863.92821030337404</v>
      </c>
      <c r="Q33" s="93"/>
      <c r="R33" s="104"/>
      <c r="S33" s="101"/>
      <c r="T33" s="93"/>
      <c r="U33" s="93"/>
      <c r="V33" s="110"/>
      <c r="W33" s="130"/>
      <c r="X33" s="148">
        <v>765.97402037186282</v>
      </c>
    </row>
    <row r="34" spans="1:31" ht="9.9" customHeight="1">
      <c r="A34" s="115"/>
      <c r="B34" s="81"/>
      <c r="C34" s="81"/>
      <c r="D34" s="81"/>
      <c r="E34" s="80"/>
      <c r="F34" s="81"/>
      <c r="G34" s="82"/>
      <c r="H34" s="74"/>
      <c r="I34" s="74"/>
      <c r="J34" s="74"/>
      <c r="K34" s="24"/>
      <c r="L34" s="74"/>
      <c r="M34" s="76"/>
      <c r="N34" s="98">
        <v>7.2698517742806352</v>
      </c>
      <c r="O34" s="98">
        <v>-754.46446540218415</v>
      </c>
      <c r="P34" s="98">
        <v>-859.46620294157617</v>
      </c>
      <c r="Q34" s="93"/>
      <c r="R34" s="104"/>
      <c r="S34" s="101"/>
      <c r="T34" s="93"/>
      <c r="U34" s="93"/>
      <c r="V34" s="110"/>
      <c r="W34" s="130"/>
      <c r="X34" s="148">
        <v>754.51789370789652</v>
      </c>
    </row>
    <row r="35" spans="1:31" ht="9.9" customHeight="1">
      <c r="A35" s="115"/>
      <c r="B35" s="81"/>
      <c r="C35" s="81"/>
      <c r="D35" s="81"/>
      <c r="E35" s="80"/>
      <c r="F35" s="81"/>
      <c r="G35" s="82"/>
      <c r="H35" s="74"/>
      <c r="I35" s="74"/>
      <c r="J35" s="74"/>
      <c r="K35" s="24"/>
      <c r="L35" s="74"/>
      <c r="M35" s="76"/>
      <c r="N35" s="98">
        <v>766.0122624493016</v>
      </c>
      <c r="O35" s="98">
        <v>8.027471190780215</v>
      </c>
      <c r="P35" s="98">
        <v>-861.37319229442039</v>
      </c>
      <c r="Q35" s="93"/>
      <c r="R35" s="104"/>
      <c r="S35" s="101"/>
      <c r="T35" s="93"/>
      <c r="U35" s="93"/>
      <c r="V35" s="110"/>
      <c r="W35" s="130"/>
      <c r="X35" s="148">
        <v>766.2068065889755</v>
      </c>
    </row>
    <row r="36" spans="1:31" ht="9.9" customHeight="1">
      <c r="A36" s="115"/>
      <c r="B36" s="81"/>
      <c r="C36" s="81"/>
      <c r="D36" s="81"/>
      <c r="E36" s="80"/>
      <c r="F36" s="81"/>
      <c r="G36" s="82"/>
      <c r="H36" s="74"/>
      <c r="I36" s="74"/>
      <c r="J36" s="74"/>
      <c r="K36" s="24"/>
      <c r="L36" s="74"/>
      <c r="M36" s="76"/>
      <c r="N36" s="98">
        <v>-753.9142068940281</v>
      </c>
      <c r="O36" s="98">
        <v>3.0630391180993826</v>
      </c>
      <c r="P36" s="98">
        <v>-861.42875219263158</v>
      </c>
      <c r="Q36" s="93"/>
      <c r="R36" s="104"/>
      <c r="S36" s="101"/>
      <c r="T36" s="93"/>
      <c r="U36" s="93"/>
      <c r="V36" s="110"/>
      <c r="W36" s="130"/>
      <c r="X36" s="148">
        <v>754.07158478723943</v>
      </c>
    </row>
    <row r="37" spans="1:31" ht="9.9" customHeight="1">
      <c r="A37" s="116">
        <v>6</v>
      </c>
      <c r="B37" s="83">
        <v>5.66</v>
      </c>
      <c r="C37" s="83">
        <v>0</v>
      </c>
      <c r="D37" s="83">
        <v>-7.73</v>
      </c>
      <c r="E37" s="84">
        <v>-0.17</v>
      </c>
      <c r="F37" s="83">
        <v>0</v>
      </c>
      <c r="G37" s="85">
        <v>0</v>
      </c>
      <c r="H37" s="86">
        <v>5.66</v>
      </c>
      <c r="I37" s="86">
        <v>5.750175200000001</v>
      </c>
      <c r="J37" s="86">
        <v>-7.73</v>
      </c>
      <c r="K37" s="87">
        <v>-0.17</v>
      </c>
      <c r="L37" s="86">
        <v>0</v>
      </c>
      <c r="M37" s="88">
        <v>0</v>
      </c>
      <c r="N37" s="107">
        <v>5.5149470288302211</v>
      </c>
      <c r="O37" s="107">
        <v>5.6333858988470729</v>
      </c>
      <c r="P37" s="107">
        <v>-7.3490894330004721</v>
      </c>
      <c r="Q37" s="108">
        <v>-0.16819999999999999</v>
      </c>
      <c r="R37" s="106">
        <v>-1938.329255565809</v>
      </c>
      <c r="S37" s="103">
        <v>-0.145052971169779</v>
      </c>
      <c r="T37" s="89">
        <v>-0.11678930115292818</v>
      </c>
      <c r="U37" s="89">
        <v>0.3809105669995283</v>
      </c>
      <c r="V37" s="111">
        <v>1.8000000000000238E-3</v>
      </c>
      <c r="W37" s="128">
        <v>-34.079255565809035</v>
      </c>
      <c r="X37" s="149">
        <v>760.19257636399345</v>
      </c>
      <c r="AE37">
        <f>SQRT(5.46*5.46+1.31*1.31)</f>
        <v>5.6149532500279999</v>
      </c>
    </row>
    <row r="38" spans="1:31" ht="9.9" customHeight="1">
      <c r="A38" s="115"/>
      <c r="B38" s="81"/>
      <c r="C38" s="81"/>
      <c r="D38" s="81"/>
      <c r="E38" s="80"/>
      <c r="F38" s="81"/>
      <c r="G38" s="82"/>
      <c r="H38" s="74"/>
      <c r="I38" s="74"/>
      <c r="J38" s="74"/>
      <c r="K38" s="24"/>
      <c r="L38" s="74"/>
      <c r="M38" s="76"/>
      <c r="N38" s="98">
        <v>8.3343244913803929</v>
      </c>
      <c r="O38" s="98">
        <v>760.31214399626299</v>
      </c>
      <c r="P38" s="98">
        <v>-861.65639875258239</v>
      </c>
      <c r="Q38" s="93"/>
      <c r="R38" s="104"/>
      <c r="S38" s="101"/>
      <c r="T38" s="93"/>
      <c r="U38" s="93"/>
      <c r="V38" s="110"/>
      <c r="W38" s="130"/>
      <c r="X38" s="148">
        <v>760.39440621160884</v>
      </c>
      <c r="AE38">
        <f>SQRT(0.02*0.02+7.28*7.28+0.13*0.13)</f>
        <v>7.2811880898655543</v>
      </c>
    </row>
    <row r="39" spans="1:31" ht="9.9" customHeight="1">
      <c r="A39" s="115"/>
      <c r="B39" s="81"/>
      <c r="C39" s="81"/>
      <c r="D39" s="81"/>
      <c r="E39" s="80"/>
      <c r="F39" s="81"/>
      <c r="G39" s="82"/>
      <c r="H39" s="74"/>
      <c r="I39" s="74"/>
      <c r="J39" s="74"/>
      <c r="K39" s="24"/>
      <c r="L39" s="74"/>
      <c r="M39" s="76"/>
      <c r="N39" s="98">
        <v>12.889316218372727</v>
      </c>
      <c r="O39" s="98">
        <v>-760.07755071026577</v>
      </c>
      <c r="P39" s="98">
        <v>-861.67902142487083</v>
      </c>
      <c r="Q39" s="93"/>
      <c r="R39" s="104"/>
      <c r="S39" s="101"/>
      <c r="T39" s="93"/>
      <c r="U39" s="93"/>
      <c r="V39" s="110"/>
      <c r="W39" s="130"/>
      <c r="X39" s="148">
        <v>760.22367408382854</v>
      </c>
    </row>
    <row r="40" spans="1:31" ht="9.9" customHeight="1">
      <c r="A40" s="115"/>
      <c r="B40" s="81"/>
      <c r="C40" s="81"/>
      <c r="D40" s="81"/>
      <c r="E40" s="80"/>
      <c r="F40" s="81"/>
      <c r="G40" s="82"/>
      <c r="H40" s="74"/>
      <c r="I40" s="74"/>
      <c r="J40" s="74"/>
      <c r="K40" s="24"/>
      <c r="L40" s="74"/>
      <c r="M40" s="76"/>
      <c r="N40" s="98">
        <v>771.63222653092942</v>
      </c>
      <c r="O40" s="98">
        <v>2.4193682604612086</v>
      </c>
      <c r="P40" s="98">
        <v>-863.63146792307316</v>
      </c>
      <c r="Q40" s="93"/>
      <c r="R40" s="104"/>
      <c r="S40" s="101"/>
      <c r="T40" s="93"/>
      <c r="U40" s="93"/>
      <c r="V40" s="110"/>
      <c r="W40" s="130"/>
      <c r="X40" s="148">
        <v>771.81351408770627</v>
      </c>
    </row>
    <row r="41" spans="1:31" ht="9.9" customHeight="1">
      <c r="A41" s="115"/>
      <c r="B41" s="81"/>
      <c r="C41" s="81"/>
      <c r="D41" s="81"/>
      <c r="E41" s="80"/>
      <c r="F41" s="81"/>
      <c r="G41" s="82"/>
      <c r="H41" s="74"/>
      <c r="I41" s="74"/>
      <c r="J41" s="74"/>
      <c r="K41" s="24"/>
      <c r="L41" s="74"/>
      <c r="M41" s="76"/>
      <c r="N41" s="98">
        <v>-748.26850086679065</v>
      </c>
      <c r="O41" s="98">
        <v>-2.5493484962544857</v>
      </c>
      <c r="P41" s="98">
        <v>-859.22827808622765</v>
      </c>
      <c r="Q41" s="93"/>
      <c r="R41" s="104"/>
      <c r="S41" s="101"/>
      <c r="T41" s="93"/>
      <c r="U41" s="93"/>
      <c r="V41" s="110"/>
      <c r="W41" s="130"/>
      <c r="X41" s="148">
        <v>748.4054473083703</v>
      </c>
    </row>
    <row r="42" spans="1:31" ht="9.9" customHeight="1">
      <c r="A42" s="116">
        <v>7</v>
      </c>
      <c r="B42" s="83">
        <v>5.66</v>
      </c>
      <c r="C42" s="83">
        <v>0</v>
      </c>
      <c r="D42" s="83">
        <v>-7.73</v>
      </c>
      <c r="E42" s="84">
        <v>0</v>
      </c>
      <c r="F42" s="83">
        <v>0.17</v>
      </c>
      <c r="G42" s="85">
        <v>0</v>
      </c>
      <c r="H42" s="86">
        <v>11.410175200000001</v>
      </c>
      <c r="I42" s="86">
        <v>0</v>
      </c>
      <c r="J42" s="86">
        <v>-7.73</v>
      </c>
      <c r="K42" s="87">
        <v>0</v>
      </c>
      <c r="L42" s="86">
        <v>0.17</v>
      </c>
      <c r="M42" s="88">
        <v>0</v>
      </c>
      <c r="N42" s="107">
        <v>11.146841593472971</v>
      </c>
      <c r="O42" s="107">
        <v>2.6153262550985934E-2</v>
      </c>
      <c r="P42" s="107">
        <v>-7.348791546688517</v>
      </c>
      <c r="Q42" s="108">
        <v>0.16600000000000001</v>
      </c>
      <c r="R42" s="106">
        <v>-1831.8976823013668</v>
      </c>
      <c r="S42" s="103">
        <v>-0.26333360652703064</v>
      </c>
      <c r="T42" s="89">
        <v>2.6153262550985934E-2</v>
      </c>
      <c r="U42" s="89">
        <v>0.38120845331148345</v>
      </c>
      <c r="V42" s="111">
        <v>4.0000000000000036E-3</v>
      </c>
      <c r="W42" s="128">
        <v>72.352317698633215</v>
      </c>
      <c r="X42" s="149">
        <v>760.2092604228784</v>
      </c>
    </row>
    <row r="43" spans="1:31" ht="9.9" customHeight="1">
      <c r="A43" s="115"/>
      <c r="B43" s="81"/>
      <c r="C43" s="81"/>
      <c r="D43" s="81"/>
      <c r="E43" s="80"/>
      <c r="F43" s="81"/>
      <c r="G43" s="82"/>
      <c r="H43" s="74"/>
      <c r="I43" s="74"/>
      <c r="J43" s="74"/>
      <c r="K43" s="24"/>
      <c r="L43" s="74"/>
      <c r="M43" s="76"/>
      <c r="N43" s="98">
        <v>-2.9354783227401571</v>
      </c>
      <c r="O43" s="98">
        <v>760.31082503125469</v>
      </c>
      <c r="P43" s="98">
        <v>-861.66539900966029</v>
      </c>
      <c r="Q43" s="93"/>
      <c r="R43" s="104"/>
      <c r="S43" s="101"/>
      <c r="T43" s="93"/>
      <c r="U43" s="93"/>
      <c r="V43" s="110"/>
      <c r="W43" s="130"/>
      <c r="X43" s="148">
        <v>760.35315377146208</v>
      </c>
    </row>
    <row r="44" spans="1:31" ht="9.9" customHeight="1">
      <c r="A44" s="115"/>
      <c r="B44" s="81"/>
      <c r="C44" s="81"/>
      <c r="D44" s="81"/>
      <c r="E44" s="80"/>
      <c r="F44" s="81"/>
      <c r="G44" s="82"/>
      <c r="H44" s="74"/>
      <c r="I44" s="74"/>
      <c r="J44" s="74"/>
      <c r="K44" s="24"/>
      <c r="L44" s="74"/>
      <c r="M44" s="76"/>
      <c r="N44" s="98">
        <v>1.6839366872737171</v>
      </c>
      <c r="O44" s="98">
        <v>-760.0839840956952</v>
      </c>
      <c r="P44" s="98">
        <v>-861.68855261053318</v>
      </c>
      <c r="Q44" s="93"/>
      <c r="R44" s="104"/>
      <c r="S44" s="101"/>
      <c r="T44" s="93"/>
      <c r="U44" s="93"/>
      <c r="V44" s="110"/>
      <c r="W44" s="130"/>
      <c r="X44" s="148">
        <v>760.12275039328836</v>
      </c>
    </row>
    <row r="45" spans="1:31" ht="9.9" customHeight="1">
      <c r="A45" s="115"/>
      <c r="B45" s="81"/>
      <c r="C45" s="81"/>
      <c r="D45" s="81"/>
      <c r="E45" s="80"/>
      <c r="F45" s="81"/>
      <c r="G45" s="82"/>
      <c r="H45" s="74"/>
      <c r="I45" s="74"/>
      <c r="J45" s="74"/>
      <c r="K45" s="24"/>
      <c r="L45" s="74"/>
      <c r="M45" s="76"/>
      <c r="N45" s="98">
        <v>760.39780403826535</v>
      </c>
      <c r="O45" s="98">
        <v>2.4213741162930615</v>
      </c>
      <c r="P45" s="98">
        <v>-859.13673167968977</v>
      </c>
      <c r="Q45" s="93"/>
      <c r="R45" s="104"/>
      <c r="S45" s="101"/>
      <c r="T45" s="93"/>
      <c r="U45" s="93"/>
      <c r="V45" s="110"/>
      <c r="W45" s="130"/>
      <c r="X45" s="148">
        <v>760.53564203612564</v>
      </c>
    </row>
    <row r="46" spans="1:31" ht="9.9" customHeight="1">
      <c r="A46" s="115"/>
      <c r="B46" s="81"/>
      <c r="C46" s="81"/>
      <c r="D46" s="81"/>
      <c r="E46" s="80"/>
      <c r="F46" s="81"/>
      <c r="G46" s="82"/>
      <c r="H46" s="74"/>
      <c r="I46" s="74"/>
      <c r="J46" s="74"/>
      <c r="K46" s="24"/>
      <c r="L46" s="74"/>
      <c r="M46" s="76"/>
      <c r="N46" s="98">
        <v>-759.51658430383168</v>
      </c>
      <c r="O46" s="98">
        <v>-2.5510641817992949</v>
      </c>
      <c r="P46" s="98">
        <v>-863.71363442049437</v>
      </c>
      <c r="Q46" s="93"/>
      <c r="R46" s="104"/>
      <c r="S46" s="101"/>
      <c r="T46" s="93"/>
      <c r="U46" s="93"/>
      <c r="V46" s="110"/>
      <c r="W46" s="130"/>
      <c r="X46" s="148">
        <v>759.69772788598402</v>
      </c>
    </row>
    <row r="47" spans="1:31" ht="9.9" customHeight="1">
      <c r="A47" s="116">
        <v>8</v>
      </c>
      <c r="B47" s="83">
        <v>5.66</v>
      </c>
      <c r="C47" s="83">
        <v>0</v>
      </c>
      <c r="D47" s="83">
        <v>-7.73</v>
      </c>
      <c r="E47" s="84">
        <v>0</v>
      </c>
      <c r="F47" s="83">
        <v>-0.17</v>
      </c>
      <c r="G47" s="85">
        <v>0</v>
      </c>
      <c r="H47" s="86">
        <v>-9.0175200000000899E-2</v>
      </c>
      <c r="I47" s="86">
        <v>0</v>
      </c>
      <c r="J47" s="86">
        <v>-7.73</v>
      </c>
      <c r="K47" s="87">
        <v>0</v>
      </c>
      <c r="L47" s="86">
        <v>-0.17</v>
      </c>
      <c r="M47" s="88">
        <v>0</v>
      </c>
      <c r="N47" s="107">
        <v>-9.2580475258188244E-2</v>
      </c>
      <c r="O47" s="107">
        <v>2.4287717513315155E-2</v>
      </c>
      <c r="P47" s="107">
        <v>-7.3510794300943871</v>
      </c>
      <c r="Q47" s="108">
        <v>-0.17249999999999999</v>
      </c>
      <c r="R47" s="106">
        <v>-1834.1261393399084</v>
      </c>
      <c r="S47" s="103">
        <v>-2.4052752581873449E-3</v>
      </c>
      <c r="T47" s="89">
        <v>2.4287717513315155E-2</v>
      </c>
      <c r="U47" s="89">
        <v>0.37892056990561329</v>
      </c>
      <c r="V47" s="111">
        <v>2.4999999999999745E-3</v>
      </c>
      <c r="W47" s="128">
        <v>70.123860660091623</v>
      </c>
      <c r="X47" s="149">
        <v>760.17731852171505</v>
      </c>
    </row>
    <row r="48" spans="1:31" ht="9.9" customHeight="1">
      <c r="A48" s="115"/>
      <c r="B48" s="81"/>
      <c r="C48" s="81"/>
      <c r="D48" s="81"/>
      <c r="E48" s="80"/>
      <c r="F48" s="81"/>
      <c r="G48" s="82"/>
      <c r="H48" s="74"/>
      <c r="I48" s="74"/>
      <c r="J48" s="74"/>
      <c r="K48" s="24"/>
      <c r="L48" s="74"/>
      <c r="M48" s="76"/>
      <c r="N48" s="98">
        <v>-8.5692962527163115</v>
      </c>
      <c r="O48" s="98">
        <v>754.68095032629765</v>
      </c>
      <c r="P48" s="98">
        <v>-844.70012458646875</v>
      </c>
      <c r="Q48" s="93"/>
      <c r="R48" s="104"/>
      <c r="S48" s="101"/>
      <c r="T48" s="93"/>
      <c r="U48" s="93"/>
      <c r="V48" s="110"/>
      <c r="W48" s="130"/>
      <c r="X48" s="148">
        <v>754.78941848476074</v>
      </c>
    </row>
    <row r="49" spans="1:33" ht="9.9" customHeight="1">
      <c r="A49" s="115"/>
      <c r="B49" s="81"/>
      <c r="C49" s="81"/>
      <c r="D49" s="81"/>
      <c r="E49" s="80"/>
      <c r="F49" s="81"/>
      <c r="G49" s="82"/>
      <c r="H49" s="74"/>
      <c r="I49" s="74"/>
      <c r="J49" s="74"/>
      <c r="K49" s="24"/>
      <c r="L49" s="74"/>
      <c r="M49" s="76"/>
      <c r="N49" s="98">
        <v>-3.9285793039964734</v>
      </c>
      <c r="O49" s="98">
        <v>-765.72532028510511</v>
      </c>
      <c r="P49" s="98">
        <v>-849.21922492150543</v>
      </c>
      <c r="Q49" s="93"/>
      <c r="R49" s="104"/>
      <c r="S49" s="101"/>
      <c r="T49" s="93"/>
      <c r="U49" s="93"/>
      <c r="V49" s="110"/>
      <c r="W49" s="130"/>
      <c r="X49" s="148">
        <v>765.75161013155628</v>
      </c>
    </row>
    <row r="50" spans="1:33" ht="9.9" customHeight="1">
      <c r="A50" s="115"/>
      <c r="B50" s="81"/>
      <c r="C50" s="81"/>
      <c r="D50" s="81"/>
      <c r="E50" s="80"/>
      <c r="F50" s="81"/>
      <c r="G50" s="82"/>
      <c r="H50" s="74"/>
      <c r="I50" s="74"/>
      <c r="J50" s="74"/>
      <c r="K50" s="24"/>
      <c r="L50" s="74"/>
      <c r="M50" s="76"/>
      <c r="N50" s="98">
        <v>754.76094811183009</v>
      </c>
      <c r="O50" s="98">
        <v>-3.2207536836863802</v>
      </c>
      <c r="P50" s="98">
        <v>-846.7507351437423</v>
      </c>
      <c r="Q50" s="93"/>
      <c r="R50" s="104"/>
      <c r="S50" s="101"/>
      <c r="T50" s="93"/>
      <c r="U50" s="93"/>
      <c r="V50" s="110"/>
      <c r="W50" s="130"/>
      <c r="X50" s="148">
        <v>754.9212033083403</v>
      </c>
    </row>
    <row r="51" spans="1:33" ht="9.9" customHeight="1">
      <c r="A51" s="115"/>
      <c r="B51" s="81"/>
      <c r="C51" s="81"/>
      <c r="D51" s="81"/>
      <c r="E51" s="80"/>
      <c r="F51" s="81"/>
      <c r="G51" s="82"/>
      <c r="H51" s="74"/>
      <c r="I51" s="74"/>
      <c r="J51" s="74"/>
      <c r="K51" s="24"/>
      <c r="L51" s="74"/>
      <c r="M51" s="76"/>
      <c r="N51" s="98">
        <v>-765.13137671275342</v>
      </c>
      <c r="O51" s="98">
        <v>-8.1967457101030057</v>
      </c>
      <c r="P51" s="98">
        <v>-846.79407991985283</v>
      </c>
      <c r="Q51" s="93"/>
      <c r="R51" s="104"/>
      <c r="S51" s="101"/>
      <c r="T51" s="93"/>
      <c r="U51" s="93"/>
      <c r="V51" s="110"/>
      <c r="W51" s="130"/>
      <c r="X51" s="148">
        <v>765.329890951013</v>
      </c>
    </row>
    <row r="52" spans="1:33" ht="9.9" customHeight="1">
      <c r="A52" s="116">
        <v>9</v>
      </c>
      <c r="B52" s="83">
        <v>-5.66</v>
      </c>
      <c r="C52" s="83">
        <v>0</v>
      </c>
      <c r="D52" s="83">
        <v>7.73</v>
      </c>
      <c r="E52" s="84">
        <v>0.17</v>
      </c>
      <c r="F52" s="83">
        <v>0</v>
      </c>
      <c r="G52" s="85">
        <v>0</v>
      </c>
      <c r="H52" s="86">
        <v>-5.66</v>
      </c>
      <c r="I52" s="86">
        <v>-5.750175200000001</v>
      </c>
      <c r="J52" s="86">
        <v>7.73</v>
      </c>
      <c r="K52" s="87">
        <v>0.17</v>
      </c>
      <c r="L52" s="86">
        <v>0</v>
      </c>
      <c r="M52" s="88">
        <v>0</v>
      </c>
      <c r="N52" s="107">
        <v>-5.7170760394090223</v>
      </c>
      <c r="O52" s="107">
        <v>-5.6154673381492124</v>
      </c>
      <c r="P52" s="107">
        <v>7.3339588571077456</v>
      </c>
      <c r="Q52" s="108">
        <v>0.17030000000000001</v>
      </c>
      <c r="R52" s="106">
        <v>-1932.0581813066633</v>
      </c>
      <c r="S52" s="103">
        <v>-5.7076039409022172E-2</v>
      </c>
      <c r="T52" s="89">
        <v>0.13470786185078865</v>
      </c>
      <c r="U52" s="89">
        <v>-0.39604114289225478</v>
      </c>
      <c r="V52" s="111">
        <v>2.9999999999999472E-4</v>
      </c>
      <c r="W52" s="128">
        <v>-27.8081813066633</v>
      </c>
      <c r="X52" s="149">
        <v>760.19803071891761</v>
      </c>
    </row>
    <row r="53" spans="1:33" ht="9.9" customHeight="1">
      <c r="A53" s="115"/>
      <c r="B53" s="81"/>
      <c r="C53" s="81"/>
      <c r="D53" s="81"/>
      <c r="E53" s="80"/>
      <c r="F53" s="81"/>
      <c r="G53" s="82"/>
      <c r="H53" s="74"/>
      <c r="I53" s="74"/>
      <c r="J53" s="74"/>
      <c r="K53" s="24"/>
      <c r="L53" s="74"/>
      <c r="M53" s="76"/>
      <c r="N53" s="98">
        <v>-8.6076787440204097</v>
      </c>
      <c r="O53" s="98">
        <v>765.91753571738263</v>
      </c>
      <c r="P53" s="98">
        <v>-849.22816142642841</v>
      </c>
      <c r="Q53" s="93"/>
      <c r="R53" s="104"/>
      <c r="S53" s="101"/>
      <c r="T53" s="93"/>
      <c r="U53" s="93"/>
      <c r="V53" s="110"/>
      <c r="W53" s="130"/>
      <c r="X53" s="148">
        <v>765.98206879363033</v>
      </c>
    </row>
    <row r="54" spans="1:33" ht="9.9" customHeight="1">
      <c r="A54" s="115"/>
      <c r="B54" s="81"/>
      <c r="C54" s="81"/>
      <c r="D54" s="81"/>
      <c r="E54" s="80"/>
      <c r="F54" s="81"/>
      <c r="G54" s="82"/>
      <c r="H54" s="74"/>
      <c r="I54" s="74"/>
      <c r="J54" s="74"/>
      <c r="K54" s="24"/>
      <c r="L54" s="74"/>
      <c r="M54" s="76"/>
      <c r="N54" s="98">
        <v>-3.992172152924093</v>
      </c>
      <c r="O54" s="98">
        <v>-754.465314172533</v>
      </c>
      <c r="P54" s="98">
        <v>-844.81889973204534</v>
      </c>
      <c r="Q54" s="93"/>
      <c r="R54" s="104"/>
      <c r="S54" s="101"/>
      <c r="T54" s="93"/>
      <c r="U54" s="93"/>
      <c r="V54" s="110"/>
      <c r="W54" s="130"/>
      <c r="X54" s="148">
        <v>754.53421009943872</v>
      </c>
    </row>
    <row r="55" spans="1:33" ht="9.9" customHeight="1">
      <c r="A55" s="115"/>
      <c r="B55" s="81"/>
      <c r="C55" s="81"/>
      <c r="D55" s="81"/>
      <c r="E55" s="80"/>
      <c r="F55" s="81"/>
      <c r="G55" s="82"/>
      <c r="H55" s="74"/>
      <c r="I55" s="74"/>
      <c r="J55" s="74"/>
      <c r="K55" s="24"/>
      <c r="L55" s="74"/>
      <c r="M55" s="76"/>
      <c r="N55" s="98">
        <v>754.73260152552928</v>
      </c>
      <c r="O55" s="98">
        <v>8.0137093360850784</v>
      </c>
      <c r="P55" s="98">
        <v>-846.70445036924048</v>
      </c>
      <c r="Q55" s="93"/>
      <c r="R55" s="104"/>
      <c r="S55" s="101"/>
      <c r="T55" s="93"/>
      <c r="U55" s="93"/>
      <c r="V55" s="110"/>
      <c r="W55" s="130"/>
      <c r="X55" s="148">
        <v>754.92897058632536</v>
      </c>
    </row>
    <row r="56" spans="1:33" ht="9.9" customHeight="1">
      <c r="A56" s="115"/>
      <c r="B56" s="81"/>
      <c r="C56" s="81"/>
      <c r="D56" s="81"/>
      <c r="E56" s="80"/>
      <c r="F56" s="81"/>
      <c r="G56" s="82"/>
      <c r="H56" s="74"/>
      <c r="I56" s="74"/>
      <c r="J56" s="74"/>
      <c r="K56" s="24"/>
      <c r="L56" s="74"/>
      <c r="M56" s="76"/>
      <c r="N56" s="98">
        <v>-765.2080083390972</v>
      </c>
      <c r="O56" s="98">
        <v>3.0671194370418768</v>
      </c>
      <c r="P56" s="98">
        <v>-846.75578196971469</v>
      </c>
      <c r="Q56" s="93"/>
      <c r="R56" s="104"/>
      <c r="S56" s="101"/>
      <c r="T56" s="93"/>
      <c r="U56" s="93"/>
      <c r="V56" s="110"/>
      <c r="W56" s="130"/>
      <c r="X56" s="148">
        <v>765.36915804499972</v>
      </c>
    </row>
    <row r="57" spans="1:33" ht="9.9" customHeight="1">
      <c r="A57" s="116">
        <v>10</v>
      </c>
      <c r="B57" s="83">
        <v>-5.66</v>
      </c>
      <c r="C57" s="83">
        <v>0</v>
      </c>
      <c r="D57" s="83">
        <v>7.73</v>
      </c>
      <c r="E57" s="84">
        <v>-0.17</v>
      </c>
      <c r="F57" s="83">
        <v>0</v>
      </c>
      <c r="G57" s="85">
        <v>0</v>
      </c>
      <c r="H57" s="86">
        <v>-5.66</v>
      </c>
      <c r="I57" s="86">
        <v>5.750175200000001</v>
      </c>
      <c r="J57" s="86">
        <v>7.73</v>
      </c>
      <c r="K57" s="87">
        <v>-0.17</v>
      </c>
      <c r="L57" s="86">
        <v>0</v>
      </c>
      <c r="M57" s="88">
        <v>0</v>
      </c>
      <c r="N57" s="107">
        <v>-5.768814427628115</v>
      </c>
      <c r="O57" s="107">
        <v>5.633262579494148</v>
      </c>
      <c r="P57" s="107">
        <v>7.3231766256428728</v>
      </c>
      <c r="Q57" s="108">
        <v>-0.16619999999999999</v>
      </c>
      <c r="R57" s="106">
        <v>-1858.6236632815599</v>
      </c>
      <c r="S57" s="103">
        <v>-0.10881442762811488</v>
      </c>
      <c r="T57" s="89">
        <v>-0.11691262050585305</v>
      </c>
      <c r="U57" s="89">
        <v>-0.40682337435712768</v>
      </c>
      <c r="V57" s="111">
        <v>3.8000000000000256E-3</v>
      </c>
      <c r="W57" s="128">
        <v>45.626336718440143</v>
      </c>
      <c r="X57" s="149">
        <v>760.20360188109862</v>
      </c>
    </row>
    <row r="58" spans="1:33" ht="9.9" customHeight="1">
      <c r="A58" s="115"/>
      <c r="B58" s="81"/>
      <c r="C58" s="81"/>
      <c r="D58" s="81"/>
      <c r="E58" s="80"/>
      <c r="F58" s="81"/>
      <c r="G58" s="82"/>
      <c r="H58" s="74"/>
      <c r="I58" s="74"/>
      <c r="J58" s="74"/>
      <c r="K58" s="24"/>
      <c r="L58" s="74"/>
      <c r="M58" s="76"/>
      <c r="N58" s="98"/>
      <c r="O58" s="98"/>
      <c r="P58" s="98"/>
      <c r="Q58" s="93"/>
      <c r="R58" s="104"/>
      <c r="S58" s="101">
        <v>-9.2169191967200706E-2</v>
      </c>
      <c r="T58" s="93">
        <v>2.9821479645740612E-2</v>
      </c>
      <c r="U58" s="93">
        <v>-8.3168503558304959E-3</v>
      </c>
      <c r="V58" s="112">
        <v>2.4800000000000074E-3</v>
      </c>
      <c r="W58" s="131">
        <v>32.746212289914205</v>
      </c>
      <c r="X58" s="148"/>
    </row>
    <row r="59" spans="1:33" ht="9.9" customHeight="1">
      <c r="A59" s="115"/>
      <c r="B59" s="81"/>
      <c r="C59" s="81"/>
      <c r="D59" s="81"/>
      <c r="E59" s="81"/>
      <c r="F59" s="81"/>
      <c r="G59" s="82"/>
      <c r="H59" s="74"/>
      <c r="I59" s="74"/>
      <c r="J59" s="74"/>
      <c r="K59" s="24"/>
      <c r="L59" s="74"/>
      <c r="M59" s="76"/>
      <c r="N59" s="98"/>
      <c r="O59" s="98"/>
      <c r="P59" s="98"/>
      <c r="Q59" s="93"/>
      <c r="R59" s="104"/>
      <c r="S59" s="101">
        <v>9.9859321928614561E-2</v>
      </c>
      <c r="T59" s="93">
        <v>0.10821847473709753</v>
      </c>
      <c r="U59" s="93">
        <v>0.36859819033451596</v>
      </c>
      <c r="V59" s="112" t="s">
        <v>68</v>
      </c>
      <c r="W59" s="131">
        <v>45.849218426583057</v>
      </c>
      <c r="X59" s="148"/>
    </row>
    <row r="60" spans="1:33" ht="9.9" customHeight="1">
      <c r="A60" s="133"/>
      <c r="B60" s="151"/>
      <c r="C60" s="113"/>
      <c r="D60" s="113"/>
      <c r="E60" s="113"/>
      <c r="F60" s="113"/>
      <c r="G60" s="113"/>
      <c r="H60" s="97" t="s">
        <v>69</v>
      </c>
      <c r="I60" s="97"/>
      <c r="J60" s="97"/>
      <c r="K60" s="92"/>
      <c r="L60" s="91"/>
      <c r="M60" s="92"/>
      <c r="N60" s="92"/>
      <c r="O60" s="92"/>
      <c r="P60" s="92"/>
      <c r="Q60" s="91"/>
      <c r="R60" s="29"/>
      <c r="S60" s="30"/>
      <c r="T60" s="30"/>
      <c r="U60" s="30"/>
      <c r="V60" s="30"/>
      <c r="W60" s="47"/>
      <c r="X60" s="146"/>
      <c r="Z60" s="20"/>
      <c r="AA60" s="60"/>
      <c r="AB60" s="4"/>
      <c r="AC60" s="4"/>
      <c r="AD60" s="4"/>
      <c r="AE60" s="4"/>
      <c r="AF60" s="60"/>
      <c r="AG60" s="60"/>
    </row>
    <row r="61" spans="1:33" ht="9.9" customHeight="1">
      <c r="A61" s="117"/>
      <c r="B61" s="152"/>
      <c r="C61" s="90"/>
      <c r="D61" s="90"/>
      <c r="E61" s="90"/>
      <c r="F61" s="90"/>
      <c r="G61" s="90"/>
      <c r="H61" s="98" t="s">
        <v>97</v>
      </c>
      <c r="I61" s="98"/>
      <c r="J61" s="98"/>
      <c r="K61" s="93"/>
      <c r="L61" s="81"/>
      <c r="M61" s="93"/>
      <c r="N61" s="93"/>
      <c r="O61" s="93"/>
      <c r="P61" s="93"/>
      <c r="Q61" s="81"/>
      <c r="R61" s="4"/>
      <c r="S61" s="31"/>
      <c r="T61" s="31"/>
      <c r="U61" s="31"/>
      <c r="V61" s="31"/>
      <c r="W61" s="48"/>
      <c r="X61" s="148"/>
      <c r="Z61" s="20"/>
      <c r="AA61" s="60"/>
      <c r="AB61" s="4"/>
      <c r="AC61" s="4"/>
      <c r="AD61" s="4"/>
      <c r="AE61" s="4"/>
      <c r="AF61" s="60"/>
      <c r="AG61" s="4"/>
    </row>
    <row r="62" spans="1:33" ht="9.9" customHeight="1">
      <c r="A62" s="132"/>
      <c r="B62" s="153"/>
      <c r="C62" s="114"/>
      <c r="D62" s="114"/>
      <c r="E62" s="114"/>
      <c r="F62" s="114"/>
      <c r="G62" s="114"/>
      <c r="H62" s="99" t="s">
        <v>98</v>
      </c>
      <c r="I62" s="99"/>
      <c r="J62" s="99"/>
      <c r="K62" s="95"/>
      <c r="L62" s="94"/>
      <c r="M62" s="95"/>
      <c r="N62" s="95"/>
      <c r="O62" s="95"/>
      <c r="P62" s="95"/>
      <c r="Q62" s="94"/>
      <c r="R62" s="33"/>
      <c r="S62" s="34"/>
      <c r="T62" s="34"/>
      <c r="U62" s="34"/>
      <c r="V62" s="34"/>
      <c r="W62" s="55"/>
      <c r="X62" s="150"/>
      <c r="Z62" s="20"/>
      <c r="AA62" s="60"/>
      <c r="AB62" s="4"/>
      <c r="AC62" s="4"/>
      <c r="AD62" s="4"/>
      <c r="AE62" s="4"/>
      <c r="AF62" s="60"/>
      <c r="AG62" s="4"/>
    </row>
    <row r="63" spans="1:33">
      <c r="AA63" s="4"/>
      <c r="AB63" s="4"/>
      <c r="AC63" s="4"/>
      <c r="AD63" s="4"/>
      <c r="AE63" s="4"/>
      <c r="AF63" s="4"/>
      <c r="AG63" s="4"/>
    </row>
    <row r="64" spans="1:33">
      <c r="AA64" s="4"/>
      <c r="AB64" s="4"/>
      <c r="AC64" s="4"/>
      <c r="AD64" s="4"/>
      <c r="AE64" s="4"/>
      <c r="AF64" s="4"/>
      <c r="AG6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workbookViewId="0">
      <selection activeCell="V24" sqref="V24"/>
    </sheetView>
  </sheetViews>
  <sheetFormatPr defaultRowHeight="14.4"/>
  <cols>
    <col min="8" max="8" width="11.44140625" customWidth="1"/>
  </cols>
  <sheetData>
    <row r="1" spans="1:22">
      <c r="H1" t="s">
        <v>86</v>
      </c>
    </row>
    <row r="2" spans="1:22">
      <c r="A2" s="160" t="s">
        <v>102</v>
      </c>
    </row>
    <row r="3" spans="1:22">
      <c r="A3" s="159"/>
      <c r="B3" s="4"/>
      <c r="C3" s="4"/>
      <c r="D3" s="4"/>
      <c r="E3" s="4"/>
      <c r="F3" s="4"/>
      <c r="G3" s="4"/>
      <c r="H3" s="4"/>
      <c r="I3" s="31"/>
      <c r="J3" s="31"/>
      <c r="K3" s="31"/>
      <c r="L3" s="4"/>
      <c r="M3" s="4"/>
      <c r="N3" s="4"/>
      <c r="O3" s="4"/>
      <c r="P3" s="4"/>
      <c r="Q3" s="4"/>
      <c r="R3" s="4"/>
      <c r="S3" s="4"/>
      <c r="T3" s="4"/>
    </row>
    <row r="4" spans="1:22">
      <c r="A4" s="160" t="s">
        <v>103</v>
      </c>
      <c r="B4" s="4"/>
      <c r="C4" s="4"/>
      <c r="D4" s="4"/>
      <c r="E4" s="4"/>
      <c r="F4" s="4"/>
      <c r="G4" s="4"/>
      <c r="H4" s="4"/>
      <c r="I4" s="31"/>
      <c r="J4" t="s">
        <v>151</v>
      </c>
      <c r="K4" s="31"/>
      <c r="L4" s="4"/>
      <c r="M4" s="4"/>
      <c r="N4" s="4"/>
      <c r="O4" s="4"/>
      <c r="P4" s="4"/>
      <c r="Q4" s="4"/>
      <c r="R4" s="4"/>
      <c r="S4" s="4"/>
      <c r="T4" s="4"/>
    </row>
    <row r="5" spans="1:22">
      <c r="A5" s="160" t="s">
        <v>104</v>
      </c>
      <c r="B5" s="4"/>
      <c r="C5" s="4"/>
      <c r="D5" s="4"/>
      <c r="E5" s="4"/>
      <c r="F5" s="4"/>
      <c r="G5" s="4"/>
      <c r="H5" s="4"/>
      <c r="I5" s="31"/>
      <c r="K5" s="31"/>
      <c r="L5" s="4"/>
      <c r="M5" s="4"/>
      <c r="N5" s="4"/>
      <c r="O5" s="4"/>
      <c r="P5" s="4"/>
      <c r="Q5" s="4"/>
      <c r="R5" s="4"/>
      <c r="S5" s="4"/>
      <c r="T5" s="4"/>
    </row>
    <row r="6" spans="1:22">
      <c r="A6" s="160" t="s">
        <v>105</v>
      </c>
      <c r="B6" s="4"/>
      <c r="C6" s="4"/>
      <c r="D6" s="4"/>
      <c r="E6" s="4"/>
      <c r="F6" s="4"/>
      <c r="G6" s="4"/>
      <c r="H6" s="4"/>
      <c r="I6" s="4"/>
      <c r="J6" t="s">
        <v>152</v>
      </c>
      <c r="K6" s="4"/>
      <c r="L6" s="4"/>
      <c r="M6" s="4"/>
      <c r="N6" s="4"/>
      <c r="O6" s="4"/>
      <c r="P6" s="4"/>
      <c r="Q6" s="4"/>
      <c r="R6" s="4"/>
      <c r="S6" s="4"/>
      <c r="T6" s="4"/>
    </row>
    <row r="7" spans="1:22">
      <c r="A7" s="160" t="s">
        <v>106</v>
      </c>
      <c r="B7" s="4"/>
      <c r="C7" s="4"/>
      <c r="D7" s="4"/>
      <c r="E7" s="4"/>
      <c r="F7" s="4"/>
      <c r="G7" s="4"/>
      <c r="H7" s="4"/>
      <c r="I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2">
      <c r="A8" s="160" t="s">
        <v>107</v>
      </c>
      <c r="B8" s="4"/>
      <c r="C8" s="4"/>
      <c r="D8" s="4"/>
      <c r="E8" s="4"/>
      <c r="F8" s="4"/>
      <c r="G8" s="4"/>
      <c r="H8" s="4"/>
      <c r="I8" s="4"/>
      <c r="J8" t="s">
        <v>153</v>
      </c>
      <c r="K8" s="4"/>
      <c r="L8" s="4"/>
      <c r="M8" s="4"/>
      <c r="N8" s="4"/>
      <c r="O8" s="4"/>
      <c r="P8" s="4"/>
      <c r="Q8" s="4"/>
      <c r="R8" s="4"/>
      <c r="S8" s="4"/>
      <c r="T8" s="4"/>
    </row>
    <row r="9" spans="1:22">
      <c r="A9" s="159"/>
      <c r="B9" s="4"/>
      <c r="C9" s="4"/>
      <c r="D9" s="4"/>
      <c r="E9" s="4"/>
      <c r="F9" s="4"/>
      <c r="G9" s="4"/>
      <c r="H9" s="4"/>
      <c r="I9" s="4"/>
      <c r="J9" t="s">
        <v>154</v>
      </c>
      <c r="K9" s="4"/>
      <c r="L9" s="4"/>
      <c r="M9" s="4"/>
      <c r="N9" s="4"/>
      <c r="O9" s="4"/>
      <c r="P9" s="4"/>
      <c r="Q9" s="4"/>
      <c r="R9" s="4"/>
      <c r="S9" s="28" t="s">
        <v>181</v>
      </c>
      <c r="T9" s="29"/>
      <c r="U9" s="29"/>
      <c r="V9" s="47"/>
    </row>
    <row r="10" spans="1:22">
      <c r="A10" s="160" t="s">
        <v>108</v>
      </c>
      <c r="B10" s="4"/>
      <c r="C10" s="4"/>
      <c r="D10" s="4"/>
      <c r="E10" s="4"/>
      <c r="F10" s="4"/>
      <c r="G10" s="4"/>
      <c r="H10" s="4"/>
      <c r="I10" s="4"/>
      <c r="J10" t="s">
        <v>155</v>
      </c>
      <c r="K10" s="4"/>
      <c r="L10" s="4"/>
      <c r="M10" s="4"/>
      <c r="N10" s="4"/>
      <c r="O10" s="4"/>
      <c r="P10" s="4"/>
      <c r="Q10" s="4"/>
      <c r="R10" s="4"/>
      <c r="S10" s="23" t="s">
        <v>150</v>
      </c>
      <c r="T10" s="4"/>
      <c r="U10" s="4"/>
      <c r="V10" s="48"/>
    </row>
    <row r="11" spans="1:22">
      <c r="A11" s="160" t="s">
        <v>109</v>
      </c>
      <c r="B11" s="4"/>
      <c r="C11" s="4"/>
      <c r="D11" s="4"/>
      <c r="E11" s="4"/>
      <c r="F11" s="4"/>
      <c r="G11" s="4"/>
      <c r="H11" s="4"/>
      <c r="I11" s="4"/>
      <c r="K11" s="4"/>
      <c r="L11" s="4"/>
      <c r="M11" s="4"/>
      <c r="N11" s="4"/>
      <c r="O11" s="4"/>
      <c r="P11" s="4"/>
      <c r="Q11" s="4"/>
      <c r="R11" s="4"/>
      <c r="S11" s="23"/>
      <c r="T11" s="40">
        <v>0.97234529999999997</v>
      </c>
      <c r="U11" s="40">
        <v>-2.0920999999999999E-3</v>
      </c>
      <c r="V11" s="161">
        <v>0.23287450000000001</v>
      </c>
    </row>
    <row r="12" spans="1:22">
      <c r="A12" s="159"/>
      <c r="B12" s="4"/>
      <c r="C12" s="4"/>
      <c r="D12" s="4"/>
      <c r="E12" s="4"/>
      <c r="F12" s="4"/>
      <c r="G12" s="4"/>
      <c r="H12" s="4"/>
      <c r="I12" s="4"/>
      <c r="J12" t="s">
        <v>156</v>
      </c>
      <c r="K12" s="4"/>
      <c r="L12" s="4"/>
      <c r="M12" s="4"/>
      <c r="N12" s="4"/>
      <c r="O12" s="4"/>
      <c r="P12" s="4"/>
      <c r="Q12" s="4"/>
      <c r="R12" s="4"/>
      <c r="S12" s="23"/>
      <c r="T12" s="40">
        <v>-2.0920999999999999E-3</v>
      </c>
      <c r="U12" s="40">
        <v>0.99984079999999997</v>
      </c>
      <c r="V12" s="161">
        <v>1.7719200000000001E-2</v>
      </c>
    </row>
    <row r="13" spans="1:22">
      <c r="A13" s="160" t="s">
        <v>110</v>
      </c>
      <c r="B13" s="4"/>
      <c r="C13" s="4"/>
      <c r="D13" s="4"/>
      <c r="E13" s="4"/>
      <c r="F13" s="4"/>
      <c r="G13" s="4"/>
      <c r="H13" s="4"/>
      <c r="I13" s="4"/>
      <c r="K13" s="4"/>
      <c r="L13" s="4"/>
      <c r="M13" s="4"/>
      <c r="N13" s="4"/>
      <c r="O13" s="4"/>
      <c r="P13" s="4"/>
      <c r="Q13" s="4"/>
      <c r="R13" s="4"/>
      <c r="S13" s="32"/>
      <c r="T13" s="162">
        <v>-0.23287450000000001</v>
      </c>
      <c r="U13" s="162">
        <v>-1.7719200000000001E-2</v>
      </c>
      <c r="V13" s="163">
        <v>0.97234529999999997</v>
      </c>
    </row>
    <row r="14" spans="1:22">
      <c r="A14" s="160" t="s">
        <v>111</v>
      </c>
      <c r="B14" s="4"/>
      <c r="C14" s="4"/>
      <c r="D14" s="4"/>
      <c r="E14" s="4"/>
      <c r="F14" s="4"/>
      <c r="G14" s="4"/>
      <c r="H14" s="4"/>
      <c r="I14" s="4"/>
      <c r="J14" t="s">
        <v>157</v>
      </c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2">
      <c r="A15" s="160" t="s">
        <v>112</v>
      </c>
      <c r="B15" s="4"/>
      <c r="C15" s="4"/>
      <c r="D15" s="4"/>
      <c r="E15" s="4"/>
      <c r="F15" s="4"/>
      <c r="G15" s="4"/>
      <c r="H15" s="4"/>
      <c r="I15" s="4"/>
      <c r="J15" t="s">
        <v>158</v>
      </c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2">
      <c r="A16" s="159"/>
      <c r="B16" s="4"/>
      <c r="C16" s="4"/>
      <c r="D16" s="4"/>
      <c r="E16" s="4"/>
      <c r="F16" s="4"/>
      <c r="G16" s="4"/>
      <c r="H16" s="4"/>
      <c r="I16" s="4"/>
      <c r="J16" t="s">
        <v>159</v>
      </c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160" t="s">
        <v>113</v>
      </c>
      <c r="B17" s="4"/>
      <c r="C17" s="4"/>
      <c r="D17" s="4"/>
      <c r="E17" s="4"/>
      <c r="F17" s="4"/>
      <c r="G17" s="4"/>
      <c r="H17" s="4"/>
      <c r="I17" s="42"/>
      <c r="K17" s="42"/>
      <c r="L17" s="4"/>
      <c r="M17" s="4"/>
      <c r="N17" s="4"/>
      <c r="O17" s="40"/>
      <c r="P17" s="40"/>
      <c r="Q17" s="40"/>
      <c r="R17" s="4"/>
      <c r="S17" s="4"/>
      <c r="T17" s="4"/>
    </row>
    <row r="18" spans="1:20">
      <c r="A18" s="160" t="s">
        <v>114</v>
      </c>
      <c r="B18" s="4"/>
      <c r="C18" s="4"/>
      <c r="D18" s="4"/>
      <c r="E18" s="4"/>
      <c r="F18" s="4"/>
      <c r="G18" s="4"/>
      <c r="H18" s="4"/>
      <c r="I18" s="42"/>
      <c r="J18" t="s">
        <v>160</v>
      </c>
      <c r="K18" s="42"/>
      <c r="L18" s="4"/>
      <c r="M18" s="4"/>
      <c r="N18" s="4"/>
      <c r="O18" s="40"/>
      <c r="P18" s="40"/>
      <c r="Q18" s="40"/>
      <c r="R18" s="4"/>
      <c r="S18" s="4"/>
      <c r="T18" s="4"/>
    </row>
    <row r="19" spans="1:20">
      <c r="A19" s="159"/>
      <c r="B19" s="4"/>
      <c r="C19" s="4"/>
      <c r="D19" s="4"/>
      <c r="E19" s="4"/>
      <c r="F19" s="4"/>
      <c r="G19" s="4"/>
      <c r="H19" s="4"/>
      <c r="I19" s="42"/>
      <c r="K19" s="42"/>
      <c r="L19" s="4"/>
      <c r="M19" s="4"/>
      <c r="N19" s="4"/>
      <c r="O19" s="40"/>
      <c r="P19" s="40"/>
      <c r="Q19" s="40"/>
      <c r="R19" s="4"/>
      <c r="S19" s="4"/>
      <c r="T19" s="4"/>
    </row>
    <row r="20" spans="1:20">
      <c r="A20" s="160" t="s">
        <v>115</v>
      </c>
      <c r="B20" s="4"/>
      <c r="C20" s="4"/>
      <c r="D20" s="4"/>
      <c r="E20" s="4"/>
      <c r="F20" s="4"/>
      <c r="G20" s="4"/>
      <c r="H20" s="4"/>
      <c r="I20" s="4"/>
      <c r="J20" t="s">
        <v>161</v>
      </c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160" t="s">
        <v>116</v>
      </c>
      <c r="B21" s="4"/>
      <c r="C21" s="4"/>
      <c r="D21" s="4"/>
      <c r="E21" s="4"/>
      <c r="F21" s="4"/>
      <c r="G21" s="4"/>
      <c r="H21" s="4"/>
      <c r="I21" s="4"/>
      <c r="J21" t="s">
        <v>91</v>
      </c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159"/>
      <c r="B22" s="4"/>
      <c r="C22" s="4"/>
      <c r="D22" s="4"/>
      <c r="E22" s="4"/>
      <c r="F22" s="4"/>
      <c r="G22" s="4"/>
      <c r="H22" s="4"/>
      <c r="I22" s="4"/>
      <c r="J22" t="s">
        <v>92</v>
      </c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160" t="s">
        <v>117</v>
      </c>
      <c r="C23" t="s">
        <v>93</v>
      </c>
    </row>
    <row r="24" spans="1:20">
      <c r="A24" s="160" t="s">
        <v>118</v>
      </c>
      <c r="C24" t="s">
        <v>94</v>
      </c>
      <c r="J24" t="s">
        <v>162</v>
      </c>
    </row>
    <row r="25" spans="1:20">
      <c r="A25" s="159"/>
      <c r="C25" t="s">
        <v>95</v>
      </c>
    </row>
    <row r="26" spans="1:20">
      <c r="A26" s="160" t="s">
        <v>119</v>
      </c>
      <c r="J26" t="s">
        <v>163</v>
      </c>
    </row>
    <row r="27" spans="1:20">
      <c r="A27" s="160" t="s">
        <v>120</v>
      </c>
      <c r="J27" t="s">
        <v>163</v>
      </c>
    </row>
    <row r="28" spans="1:20">
      <c r="A28" s="159"/>
      <c r="J28" t="s">
        <v>164</v>
      </c>
    </row>
    <row r="29" spans="1:20">
      <c r="A29" s="160" t="s">
        <v>121</v>
      </c>
    </row>
    <row r="30" spans="1:20">
      <c r="A30" s="159"/>
      <c r="J30" t="s">
        <v>180</v>
      </c>
      <c r="L30" t="s">
        <v>165</v>
      </c>
    </row>
    <row r="31" spans="1:20">
      <c r="A31" s="160" t="s">
        <v>122</v>
      </c>
    </row>
    <row r="32" spans="1:20">
      <c r="A32" s="160" t="s">
        <v>123</v>
      </c>
      <c r="L32" t="s">
        <v>166</v>
      </c>
    </row>
    <row r="33" spans="1:12">
      <c r="A33" s="160" t="s">
        <v>124</v>
      </c>
      <c r="L33" t="s">
        <v>167</v>
      </c>
    </row>
    <row r="34" spans="1:12">
      <c r="A34" s="159"/>
      <c r="L34" t="s">
        <v>168</v>
      </c>
    </row>
    <row r="35" spans="1:12">
      <c r="A35" s="160" t="s">
        <v>125</v>
      </c>
    </row>
    <row r="36" spans="1:12">
      <c r="A36" s="160" t="s">
        <v>126</v>
      </c>
      <c r="L36" t="s">
        <v>169</v>
      </c>
    </row>
    <row r="37" spans="1:12">
      <c r="A37" s="160" t="s">
        <v>127</v>
      </c>
    </row>
    <row r="38" spans="1:12">
      <c r="A38" s="159"/>
      <c r="L38" t="s">
        <v>170</v>
      </c>
    </row>
    <row r="39" spans="1:12">
      <c r="A39" s="160" t="s">
        <v>128</v>
      </c>
      <c r="L39" t="s">
        <v>171</v>
      </c>
    </row>
    <row r="40" spans="1:12">
      <c r="A40" s="160" t="s">
        <v>129</v>
      </c>
      <c r="L40" t="s">
        <v>168</v>
      </c>
    </row>
    <row r="41" spans="1:12">
      <c r="A41" s="160" t="s">
        <v>130</v>
      </c>
    </row>
    <row r="42" spans="1:12">
      <c r="A42" s="159"/>
      <c r="L42" t="s">
        <v>172</v>
      </c>
    </row>
    <row r="43" spans="1:12">
      <c r="A43" s="160" t="s">
        <v>131</v>
      </c>
    </row>
    <row r="44" spans="1:12" ht="15.6">
      <c r="A44" s="160" t="s">
        <v>147</v>
      </c>
      <c r="L44" t="s">
        <v>173</v>
      </c>
    </row>
    <row r="45" spans="1:12">
      <c r="A45" s="160" t="s">
        <v>132</v>
      </c>
      <c r="L45" t="s">
        <v>174</v>
      </c>
    </row>
    <row r="46" spans="1:12">
      <c r="A46" s="160" t="s">
        <v>133</v>
      </c>
      <c r="L46" t="s">
        <v>175</v>
      </c>
    </row>
    <row r="47" spans="1:12">
      <c r="A47" s="159"/>
    </row>
    <row r="48" spans="1:12">
      <c r="A48" s="160" t="s">
        <v>134</v>
      </c>
      <c r="L48" t="s">
        <v>176</v>
      </c>
    </row>
    <row r="49" spans="1:12" ht="15.6">
      <c r="A49" s="160" t="s">
        <v>148</v>
      </c>
    </row>
    <row r="50" spans="1:12">
      <c r="A50" s="160" t="s">
        <v>135</v>
      </c>
      <c r="L50" t="s">
        <v>177</v>
      </c>
    </row>
    <row r="51" spans="1:12">
      <c r="A51" s="159"/>
      <c r="L51" t="s">
        <v>178</v>
      </c>
    </row>
    <row r="52" spans="1:12">
      <c r="A52" s="160" t="s">
        <v>136</v>
      </c>
      <c r="L52" t="s">
        <v>179</v>
      </c>
    </row>
    <row r="53" spans="1:12">
      <c r="A53" s="160" t="s">
        <v>137</v>
      </c>
    </row>
    <row r="54" spans="1:12" ht="15.6">
      <c r="A54" s="160" t="s">
        <v>149</v>
      </c>
    </row>
    <row r="55" spans="1:12">
      <c r="A55" s="159"/>
    </row>
    <row r="56" spans="1:12">
      <c r="A56" s="160" t="s">
        <v>138</v>
      </c>
    </row>
    <row r="57" spans="1:12">
      <c r="A57" s="159"/>
    </row>
    <row r="58" spans="1:12">
      <c r="A58" s="160" t="s">
        <v>139</v>
      </c>
    </row>
    <row r="59" spans="1:12">
      <c r="A59" s="160" t="s">
        <v>140</v>
      </c>
    </row>
    <row r="60" spans="1:12">
      <c r="A60" s="159"/>
    </row>
    <row r="61" spans="1:12">
      <c r="A61" s="160" t="s">
        <v>141</v>
      </c>
    </row>
    <row r="62" spans="1:12">
      <c r="A62" s="160" t="s">
        <v>142</v>
      </c>
    </row>
    <row r="63" spans="1:12">
      <c r="A63" s="160" t="s">
        <v>143</v>
      </c>
    </row>
    <row r="64" spans="1:12">
      <c r="A64" s="160" t="s">
        <v>144</v>
      </c>
    </row>
    <row r="65" spans="1:1">
      <c r="A65" s="160" t="s">
        <v>145</v>
      </c>
    </row>
    <row r="66" spans="1:1">
      <c r="A66" s="159"/>
    </row>
    <row r="67" spans="1:1">
      <c r="A67" s="159"/>
    </row>
    <row r="68" spans="1:1">
      <c r="A68" s="159"/>
    </row>
    <row r="69" spans="1:1">
      <c r="A69" s="16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xyzRxRy</vt:lpstr>
      <vt:lpstr>for reporting</vt:lpstr>
      <vt:lpstr>coord transf. SA to hexapod</vt:lpstr>
      <vt:lpstr>flatx</vt:lpstr>
      <vt:lpstr>flaty</vt:lpstr>
      <vt:lpstr>flatz</vt:lpstr>
      <vt:lpstr>pos1x</vt:lpstr>
      <vt:lpstr>pos2y</vt:lpstr>
      <vt:lpstr>pos3z</vt:lpstr>
      <vt:lpstr>radius</vt:lpstr>
      <vt:lpstr>tran11</vt:lpstr>
      <vt:lpstr>tran12</vt:lpstr>
      <vt:lpstr>tran13</vt:lpstr>
      <vt:lpstr>tran21</vt:lpstr>
      <vt:lpstr>tran22</vt:lpstr>
      <vt:lpstr>tran23</vt:lpstr>
      <vt:lpstr>tran31</vt:lpstr>
      <vt:lpstr>tran32</vt:lpstr>
      <vt:lpstr>tran33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tighe</dc:creator>
  <cp:lastModifiedBy>Roberto Tighe</cp:lastModifiedBy>
  <dcterms:created xsi:type="dcterms:W3CDTF">2020-01-20T15:18:12Z</dcterms:created>
  <dcterms:modified xsi:type="dcterms:W3CDTF">2020-01-24T17:17:58Z</dcterms:modified>
</cp:coreProperties>
</file>